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drawings/drawing40.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Override PartName="/xl/drawings/drawing5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externalLinks/externalLink7.xml" ContentType="application/vnd.openxmlformats-officedocument.spreadsheetml.externalLink+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drawings/drawing22.xml" ContentType="application/vnd.openxmlformats-officedocument.drawing+xml"/>
  <Override PartName="/xl/drawings/drawing3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Objects="placeholders" codeName="ThisWorkbook"/>
  <bookViews>
    <workbookView xWindow="9705" yWindow="-15" windowWidth="9540" windowHeight="11325" tabRatio="911" activeTab="16"/>
  </bookViews>
  <sheets>
    <sheet name="PT TAP CHAT" sheetId="112" r:id="rId1"/>
    <sheet name="1" sheetId="98" r:id="rId2"/>
    <sheet name="2" sheetId="99" r:id="rId3"/>
    <sheet name="3" sheetId="100" r:id="rId4"/>
    <sheet name="4" sheetId="108" r:id="rId5"/>
    <sheet name="5" sheetId="101" r:id="rId6"/>
    <sheet name="6" sheetId="102" r:id="rId7"/>
    <sheet name="7" sheetId="104" r:id="rId8"/>
    <sheet name="8" sheetId="109" r:id="rId9"/>
    <sheet name="MENU" sheetId="73" r:id="rId10"/>
    <sheet name="XM.HN" sheetId="7" r:id="rId11"/>
    <sheet name="XM.FILE GOC" sheetId="10" r:id="rId12"/>
    <sheet name="1. XL-1E kh" sheetId="46" r:id="rId13"/>
    <sheet name="2. XL-1F kh" sheetId="58" r:id="rId14"/>
    <sheet name="3.XT-C kh.mau HALO" sheetId="60" r:id="rId15"/>
    <sheet name="3.XT-C kh.mau JASCO " sheetId="120" r:id="rId16"/>
    <sheet name="4. Zn-Ni" sheetId="121" r:id="rId17"/>
    <sheet name="XM.GUI MAIL" sheetId="24" r:id="rId18"/>
    <sheet name="1. XL-1E TT" sheetId="61" r:id="rId19"/>
    <sheet name="2. XL-1F TT " sheetId="54" r:id="rId20"/>
    <sheet name="3.XT-C TT" sheetId="56" r:id="rId21"/>
    <sheet name="4.ZN-NI tt(CA1)" sheetId="117" r:id="rId22"/>
    <sheet name="1. XL-1E TT(CA2)" sheetId="113" r:id="rId23"/>
    <sheet name="2. XL-1F TT(CA2)" sheetId="114" r:id="rId24"/>
    <sheet name="3.XT-C TT(CA2)" sheetId="115" r:id="rId25"/>
    <sheet name="4.ZN-NI tt(CA2)" sheetId="118" r:id="rId26"/>
    <sheet name="XM.chart" sheetId="62" r:id="rId27"/>
    <sheet name="XM.chart 1" sheetId="69" r:id="rId28"/>
    <sheet name="BS-XT" sheetId="119" r:id="rId29"/>
    <sheet name="ED-XI DEN" sheetId="75" r:id="rId30"/>
    <sheet name="R.HN" sheetId="76" r:id="rId31"/>
    <sheet name="R.FILE GOC" sheetId="77" r:id="rId32"/>
    <sheet name="1.xi den" sheetId="78" r:id="rId33"/>
    <sheet name="2.RL E" sheetId="79" r:id="rId34"/>
    <sheet name="3.RL G" sheetId="80" r:id="rId35"/>
    <sheet name="4.RL F" sheetId="81" r:id="rId36"/>
    <sheet name="5.ML" sheetId="82" r:id="rId37"/>
    <sheet name="1.xi den TT" sheetId="83" r:id="rId38"/>
    <sheet name="2.RL E tt" sheetId="84" r:id="rId39"/>
    <sheet name="3.RL G tt" sheetId="85" r:id="rId40"/>
    <sheet name="4.RL F tt" sheetId="86" r:id="rId41"/>
    <sheet name="5.ML tt" sheetId="87" r:id="rId42"/>
    <sheet name="R.GUI MAIL" sheetId="88" r:id="rId43"/>
    <sheet name="RL-LINE" sheetId="89" r:id="rId44"/>
    <sheet name="RL.chart" sheetId="90" r:id="rId45"/>
    <sheet name="RL.chart1" sheetId="91" r:id="rId46"/>
    <sheet name="ACID Đ.VAO" sheetId="94" r:id="rId47"/>
    <sheet name="GHI CHU" sheetId="65" r:id="rId48"/>
    <sheet name="tg import" sheetId="110" r:id="rId49"/>
    <sheet name="IT.NONG DO" sheetId="74" r:id="rId50"/>
    <sheet name="IT.NHIET DO" sheetId="92" r:id="rId51"/>
  </sheets>
  <externalReferences>
    <externalReference r:id="rId52"/>
    <externalReference r:id="rId53"/>
    <externalReference r:id="rId54"/>
    <externalReference r:id="rId55"/>
    <externalReference r:id="rId56"/>
    <externalReference r:id="rId57"/>
    <externalReference r:id="rId58"/>
  </externalReferences>
  <definedNames>
    <definedName name="_NEW2">[1]吊電B線入出料標準數據!$B$4:$P$4003</definedName>
    <definedName name="_XM_XT_THUCTE" localSheetId="28">'[2]XM.GUI MAIL'!$A$6:$AQ$108</definedName>
    <definedName name="_XM_XT_THUCTE">'XM.GUI MAIL'!$A$6:$AW$120</definedName>
    <definedName name="AB" localSheetId="22">#REF!</definedName>
    <definedName name="AB" localSheetId="23">#REF!</definedName>
    <definedName name="AB" localSheetId="15">#REF!</definedName>
    <definedName name="AB" localSheetId="24">#REF!</definedName>
    <definedName name="AB" localSheetId="16">#REF!</definedName>
    <definedName name="AB" localSheetId="21">#REF!</definedName>
    <definedName name="AB" localSheetId="25">#REF!</definedName>
    <definedName name="AB" localSheetId="28">#REF!</definedName>
    <definedName name="AB">#REF!</definedName>
    <definedName name="abcd" localSheetId="1">#REF!</definedName>
    <definedName name="abcd" localSheetId="2">#REF!</definedName>
    <definedName name="abcd" localSheetId="3">#REF!</definedName>
    <definedName name="abcd" localSheetId="4">#REF!</definedName>
    <definedName name="abcd" localSheetId="21">#REF!</definedName>
    <definedName name="abcd" localSheetId="25">#REF!</definedName>
    <definedName name="abcd" localSheetId="5">#REF!</definedName>
    <definedName name="abcd" localSheetId="6">#REF!</definedName>
    <definedName name="abcd" localSheetId="7">#REF!</definedName>
    <definedName name="abcd" localSheetId="8">#REF!</definedName>
    <definedName name="CCC" localSheetId="22">#REF!</definedName>
    <definedName name="CCC" localSheetId="23">#REF!</definedName>
    <definedName name="CCC" localSheetId="15">#REF!</definedName>
    <definedName name="CCC" localSheetId="24">#REF!</definedName>
    <definedName name="CCC" localSheetId="16">#REF!</definedName>
    <definedName name="CCC" localSheetId="21">#REF!</definedName>
    <definedName name="CCC" localSheetId="25">#REF!</definedName>
    <definedName name="CCC" localSheetId="28">#REF!</definedName>
    <definedName name="CCC">#REF!</definedName>
    <definedName name="CXXTA" localSheetId="22">#REF!</definedName>
    <definedName name="CXXTA" localSheetId="23">#REF!</definedName>
    <definedName name="CXXTA" localSheetId="15">#REF!</definedName>
    <definedName name="CXXTA" localSheetId="24">#REF!</definedName>
    <definedName name="CXXTA" localSheetId="16">#REF!</definedName>
    <definedName name="CXXTA" localSheetId="21">#REF!</definedName>
    <definedName name="CXXTA" localSheetId="25">#REF!</definedName>
    <definedName name="CXXTA" localSheetId="28">#REF!</definedName>
    <definedName name="CXXTA">#REF!</definedName>
    <definedName name="CXXTB">[1]吊電B線入出料標準數據!$B$3:$P$428</definedName>
    <definedName name="HUANGHAIDONGA" localSheetId="22">#REF!</definedName>
    <definedName name="HUANGHAIDONGA" localSheetId="23">#REF!</definedName>
    <definedName name="HUANGHAIDONGA" localSheetId="15">#REF!</definedName>
    <definedName name="HUANGHAIDONGA" localSheetId="24">#REF!</definedName>
    <definedName name="HUANGHAIDONGA" localSheetId="16">#REF!</definedName>
    <definedName name="HUANGHAIDONGA" localSheetId="21">#REF!</definedName>
    <definedName name="HUANGHAIDONGA" localSheetId="25">#REF!</definedName>
    <definedName name="HUANGHAIDONGA" localSheetId="28">#REF!</definedName>
    <definedName name="HUANGHAIDONGA">#REF!</definedName>
    <definedName name="HUANGHAIDONGB">[1]吊電B線入出料標準數據!$A$3:$P$428</definedName>
    <definedName name="PartNo">[3]All!$B$5:$Q$65536</definedName>
    <definedName name="_xlnm.Print_Area" localSheetId="12">'1. XL-1E kh'!$A$1:$AG$79</definedName>
    <definedName name="_xlnm.Print_Area" localSheetId="32">'1.xi den'!$A$1:$P$34</definedName>
    <definedName name="_xlnm.Print_Area" localSheetId="37">'1.xi den TT'!$A$1:$P$34</definedName>
    <definedName name="_xlnm.Print_Area" localSheetId="13">'2. XL-1F kh'!$A$1:$AG$75</definedName>
    <definedName name="_xlnm.Print_Area" localSheetId="33">'2.RL E'!$A$1:$S$42</definedName>
    <definedName name="_xlnm.Print_Area" localSheetId="38">'2.RL E tt'!$A$1:$S$44</definedName>
    <definedName name="_xlnm.Print_Area" localSheetId="34">'3.RL G'!$A$1:$Q$35</definedName>
    <definedName name="_xlnm.Print_Area" localSheetId="39">'3.RL G tt'!$A$1:$Q$35</definedName>
    <definedName name="_xlnm.Print_Area" localSheetId="14">'3.XT-C kh.mau HALO'!$A$1:$AG$81</definedName>
    <definedName name="_xlnm.Print_Area" localSheetId="15">'3.XT-C kh.mau JASCO '!$A$1:$AG$81</definedName>
    <definedName name="_xlnm.Print_Area" localSheetId="16">'4. Zn-Ni'!$A$1:$AG$65</definedName>
    <definedName name="_xlnm.Print_Area" localSheetId="35">'4.RL F'!$A$1:$R$42</definedName>
    <definedName name="_xlnm.Print_Area" localSheetId="40">'4.RL F tt'!$A$1:$R$44</definedName>
    <definedName name="_xlnm.Print_Area" localSheetId="21">'4.ZN-NI tt(CA1)'!$A$1:$T$21</definedName>
    <definedName name="_xlnm.Print_Area" localSheetId="25">'4.ZN-NI tt(CA2)'!$A$1:$T$21</definedName>
    <definedName name="_xlnm.Print_Area" localSheetId="36">'5.ML'!$A$1:$R$33</definedName>
    <definedName name="_xlnm.Print_Area" localSheetId="41">'5.ML tt'!$A$1:$R$33</definedName>
    <definedName name="_xlnm.Print_Area" localSheetId="46">'ACID Đ.VAO'!$C$1:$I$8</definedName>
    <definedName name="_xlnm.Print_Area" localSheetId="0">'PT TAP CHAT'!$B$1:$G$79</definedName>
    <definedName name="RLMLXD" localSheetId="28">'[2]R.GUI MAIL'!$A$6:$AQ$114</definedName>
    <definedName name="RLMLXD">'R.GUI MAIL'!$A$6:$AQ$114</definedName>
    <definedName name="sss">'[4]附表-01'!$A$2:$L$1662</definedName>
    <definedName name="WUJIWEI" localSheetId="22">#REF!</definedName>
    <definedName name="WUJIWEI" localSheetId="23">#REF!</definedName>
    <definedName name="WUJIWEI" localSheetId="15">#REF!</definedName>
    <definedName name="WUJIWEI" localSheetId="24">#REF!</definedName>
    <definedName name="WUJIWEI" localSheetId="16">#REF!</definedName>
    <definedName name="WUJIWEI" localSheetId="21">#REF!</definedName>
    <definedName name="WUJIWEI" localSheetId="25">#REF!</definedName>
    <definedName name="WUJIWEI" localSheetId="28">#REF!</definedName>
    <definedName name="WUJIWEI">#REF!</definedName>
    <definedName name="XTB123" localSheetId="22">[5]輸入!#REF!</definedName>
    <definedName name="XTB123" localSheetId="23">[5]輸入!#REF!</definedName>
    <definedName name="XTB123" localSheetId="15">[5]輸入!#REF!</definedName>
    <definedName name="XTB123" localSheetId="24">[5]輸入!#REF!</definedName>
    <definedName name="XTB123" localSheetId="16">[5]輸入!#REF!</definedName>
    <definedName name="XTB123" localSheetId="21">[5]輸入!#REF!</definedName>
    <definedName name="XTB123" localSheetId="25">[5]輸入!#REF!</definedName>
    <definedName name="XTB123" localSheetId="28">[5]輸入!#REF!</definedName>
    <definedName name="XTB123">[5]輸入!#REF!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AS60" i="10"/>
  <c r="AS59"/>
  <c r="AL60"/>
  <c r="AL59"/>
  <c r="AE60"/>
  <c r="AE59"/>
  <c r="I91" l="1"/>
  <c r="AD12" i="54"/>
  <c r="AD10"/>
  <c r="AD18"/>
  <c r="AH12"/>
  <c r="AH10"/>
  <c r="X60" i="24"/>
  <c r="X59"/>
  <c r="X60" i="10"/>
  <c r="X59"/>
  <c r="Q60" i="24" l="1"/>
  <c r="Q59"/>
  <c r="Q60" i="10"/>
  <c r="T66" i="88" l="1"/>
  <c r="T67"/>
  <c r="T68"/>
  <c r="T69"/>
  <c r="T70"/>
  <c r="T71"/>
  <c r="T72"/>
  <c r="I96" i="24"/>
  <c r="C89" i="10"/>
  <c r="C127" i="24"/>
  <c r="C96"/>
  <c r="C89"/>
  <c r="C60"/>
  <c r="C54"/>
  <c r="C25"/>
  <c r="C19"/>
  <c r="H60" i="7"/>
  <c r="I60"/>
  <c r="N60"/>
  <c r="H19" i="115"/>
  <c r="G19"/>
  <c r="H19" i="56"/>
  <c r="G19"/>
  <c r="AQ91" i="10"/>
  <c r="AJ91"/>
  <c r="AC91"/>
  <c r="V91"/>
  <c r="W91" s="1"/>
  <c r="O91"/>
  <c r="P91" s="1"/>
  <c r="H91"/>
  <c r="AV91" i="24"/>
  <c r="AQ91"/>
  <c r="AR91" s="1"/>
  <c r="Q19" i="115" s="1"/>
  <c r="AO91" i="24"/>
  <c r="AK91"/>
  <c r="AL91" s="1"/>
  <c r="AJ91"/>
  <c r="AH91"/>
  <c r="AC91"/>
  <c r="AD91" s="1"/>
  <c r="M60" i="7" s="1"/>
  <c r="AA91" i="24"/>
  <c r="V91"/>
  <c r="W91" s="1"/>
  <c r="T91"/>
  <c r="O91"/>
  <c r="P91" s="1"/>
  <c r="K60" i="7" s="1"/>
  <c r="M91" i="24"/>
  <c r="L10" i="65"/>
  <c r="H91" i="24"/>
  <c r="I91" s="1"/>
  <c r="J60" i="7" s="1"/>
  <c r="E91" i="10"/>
  <c r="F91"/>
  <c r="G91"/>
  <c r="F223" i="62"/>
  <c r="E223"/>
  <c r="D223"/>
  <c r="I223"/>
  <c r="H223"/>
  <c r="G223"/>
  <c r="O60" i="7" l="1"/>
  <c r="I19" i="115"/>
  <c r="X91" i="24"/>
  <c r="L60" i="7"/>
  <c r="Q19" i="56"/>
  <c r="M19"/>
  <c r="J91" i="24"/>
  <c r="L91" s="1"/>
  <c r="K19" i="56" s="1"/>
  <c r="I19"/>
  <c r="AG91" i="24"/>
  <c r="K19" i="115" s="1"/>
  <c r="AE91" i="24"/>
  <c r="Q91"/>
  <c r="S91" s="1"/>
  <c r="O19" i="56" s="1"/>
  <c r="AS91" i="24"/>
  <c r="AU91" s="1"/>
  <c r="S19" i="115" s="1"/>
  <c r="Z91" i="24"/>
  <c r="S19" i="56" s="1"/>
  <c r="AN91" i="24"/>
  <c r="H64" i="120"/>
  <c r="G64"/>
  <c r="H63"/>
  <c r="G63"/>
  <c r="H23"/>
  <c r="G23"/>
  <c r="H22"/>
  <c r="G22"/>
  <c r="B23" i="115"/>
  <c r="B23" i="56"/>
  <c r="AE57" i="120"/>
  <c r="W57"/>
  <c r="O57"/>
  <c r="AE16"/>
  <c r="AK95" i="24"/>
  <c r="T23"/>
  <c r="I24"/>
  <c r="I60" i="10"/>
  <c r="I19"/>
  <c r="I19" i="46" s="1"/>
  <c r="I25" i="10"/>
  <c r="I25" i="46" s="1"/>
  <c r="I17" i="60"/>
  <c r="I19" i="24"/>
  <c r="I19" i="61" s="1"/>
  <c r="P25" i="24"/>
  <c r="I25"/>
  <c r="I25" i="61" s="1"/>
  <c r="I54" i="24"/>
  <c r="I17" i="54" s="1"/>
  <c r="I60" i="24"/>
  <c r="I23" i="54" s="1"/>
  <c r="P89" i="24"/>
  <c r="I89"/>
  <c r="I17" i="56" s="1"/>
  <c r="I24"/>
  <c r="AR96" i="24"/>
  <c r="AK96"/>
  <c r="AD96"/>
  <c r="W96"/>
  <c r="I63" i="112" s="1"/>
  <c r="P96" i="24"/>
  <c r="H63" i="112" s="1"/>
  <c r="AO96" i="24"/>
  <c r="AH96"/>
  <c r="AA96"/>
  <c r="T96"/>
  <c r="M96"/>
  <c r="AK60"/>
  <c r="I23" i="114"/>
  <c r="AO60" i="24"/>
  <c r="AH60"/>
  <c r="AA60"/>
  <c r="T60"/>
  <c r="M60"/>
  <c r="AR25"/>
  <c r="AK25"/>
  <c r="AD25"/>
  <c r="W25"/>
  <c r="I23" i="58"/>
  <c r="I107" i="24"/>
  <c r="I77" i="60"/>
  <c r="K77"/>
  <c r="Q77"/>
  <c r="S77"/>
  <c r="Y77"/>
  <c r="AA77"/>
  <c r="I36"/>
  <c r="K36"/>
  <c r="Q36"/>
  <c r="S36"/>
  <c r="Y36"/>
  <c r="AA36"/>
  <c r="H36"/>
  <c r="G36"/>
  <c r="H77"/>
  <c r="G77"/>
  <c r="M24" i="24"/>
  <c r="M59"/>
  <c r="H23" i="60"/>
  <c r="G23"/>
  <c r="H22"/>
  <c r="G22"/>
  <c r="H64"/>
  <c r="G64"/>
  <c r="H63"/>
  <c r="G63"/>
  <c r="AA60" i="58"/>
  <c r="S60"/>
  <c r="K60"/>
  <c r="K23"/>
  <c r="S23"/>
  <c r="AA23"/>
  <c r="H23"/>
  <c r="G23"/>
  <c r="H22"/>
  <c r="G22"/>
  <c r="H61"/>
  <c r="G61"/>
  <c r="H60"/>
  <c r="G60"/>
  <c r="H25" i="46"/>
  <c r="G25"/>
  <c r="H24"/>
  <c r="G24"/>
  <c r="H65"/>
  <c r="G65"/>
  <c r="H64"/>
  <c r="G64"/>
  <c r="K32" i="58"/>
  <c r="I28" i="24"/>
  <c r="G63" i="112" l="1"/>
  <c r="E110" i="10"/>
  <c r="F110"/>
  <c r="E111"/>
  <c r="F111"/>
  <c r="E112"/>
  <c r="F112"/>
  <c r="E113"/>
  <c r="F113"/>
  <c r="E93"/>
  <c r="F93"/>
  <c r="E94"/>
  <c r="F94"/>
  <c r="G93"/>
  <c r="G94"/>
  <c r="G87"/>
  <c r="E87"/>
  <c r="F87"/>
  <c r="G58"/>
  <c r="G52"/>
  <c r="G53"/>
  <c r="G54"/>
  <c r="G55"/>
  <c r="G56"/>
  <c r="G57"/>
  <c r="E53"/>
  <c r="F53"/>
  <c r="E54"/>
  <c r="F54"/>
  <c r="E55"/>
  <c r="F55"/>
  <c r="E56"/>
  <c r="F56"/>
  <c r="E57"/>
  <c r="F57"/>
  <c r="E58"/>
  <c r="F58"/>
  <c r="E70"/>
  <c r="F70"/>
  <c r="E52"/>
  <c r="E33"/>
  <c r="F33"/>
  <c r="E34"/>
  <c r="F34"/>
  <c r="E35"/>
  <c r="F35"/>
  <c r="E22"/>
  <c r="F22"/>
  <c r="G22"/>
  <c r="E23"/>
  <c r="F23"/>
  <c r="G23"/>
  <c r="I75" i="60"/>
  <c r="I112" i="24"/>
  <c r="I37" i="56" s="1"/>
  <c r="H76" i="120" l="1"/>
  <c r="H35"/>
  <c r="G76"/>
  <c r="G35"/>
  <c r="AQ58" i="10"/>
  <c r="AR58" s="1"/>
  <c r="AS58" s="1"/>
  <c r="AU58" s="1"/>
  <c r="AJ58"/>
  <c r="AL58" s="1"/>
  <c r="AN58" s="1"/>
  <c r="AC58"/>
  <c r="AD58" s="1"/>
  <c r="AE58" s="1"/>
  <c r="AG58" s="1"/>
  <c r="V58"/>
  <c r="W58" s="1"/>
  <c r="X58" s="1"/>
  <c r="Z58" s="1"/>
  <c r="O58"/>
  <c r="P58" s="1"/>
  <c r="Q58" s="1"/>
  <c r="S58" s="1"/>
  <c r="I104" i="24"/>
  <c r="H65" i="121"/>
  <c r="G65"/>
  <c r="H32"/>
  <c r="G32"/>
  <c r="H35" i="60"/>
  <c r="G35"/>
  <c r="H76"/>
  <c r="G76"/>
  <c r="H38" i="115"/>
  <c r="G38"/>
  <c r="AU113" i="24"/>
  <c r="S38" i="115" s="1"/>
  <c r="AR113" i="24"/>
  <c r="Q38" i="115" s="1"/>
  <c r="AN113" i="24"/>
  <c r="O39" i="115" s="1"/>
  <c r="AK113" i="24"/>
  <c r="M39" i="115" s="1"/>
  <c r="AG113" i="24"/>
  <c r="K38" i="115" s="1"/>
  <c r="AD113" i="24"/>
  <c r="I38" i="115" s="1"/>
  <c r="Z113" i="24"/>
  <c r="S38" i="56" s="1"/>
  <c r="W113" i="24"/>
  <c r="Q38" i="56" s="1"/>
  <c r="S113" i="24"/>
  <c r="O38" i="56" s="1"/>
  <c r="P113" i="24"/>
  <c r="M38" i="56" s="1"/>
  <c r="L113" i="24"/>
  <c r="K38" i="56" s="1"/>
  <c r="I113" i="24"/>
  <c r="I38" i="56" s="1"/>
  <c r="H38"/>
  <c r="G38"/>
  <c r="AA76" i="60"/>
  <c r="Y76"/>
  <c r="K76"/>
  <c r="I76"/>
  <c r="AA35"/>
  <c r="Y35"/>
  <c r="S35"/>
  <c r="Q35"/>
  <c r="K35"/>
  <c r="I35"/>
  <c r="H37" i="115" l="1"/>
  <c r="G37"/>
  <c r="G36"/>
  <c r="H37" i="56"/>
  <c r="G37"/>
  <c r="AU112" i="24"/>
  <c r="AR112"/>
  <c r="AK112"/>
  <c r="AN112"/>
  <c r="AG112"/>
  <c r="AD112"/>
  <c r="Z112"/>
  <c r="W112"/>
  <c r="S112"/>
  <c r="P112"/>
  <c r="L112"/>
  <c r="S28"/>
  <c r="S70"/>
  <c r="E18" i="10"/>
  <c r="F18"/>
  <c r="E20"/>
  <c r="F20"/>
  <c r="E90"/>
  <c r="F90"/>
  <c r="E92"/>
  <c r="F92"/>
  <c r="AA94" i="24"/>
  <c r="L33"/>
  <c r="I33"/>
  <c r="K37" i="56" l="1"/>
  <c r="M37"/>
  <c r="Q37"/>
  <c r="I37" i="115"/>
  <c r="Q37"/>
  <c r="O37" i="56"/>
  <c r="S37"/>
  <c r="K37" i="115"/>
  <c r="S37"/>
  <c r="AK114" i="24"/>
  <c r="P114"/>
  <c r="M39" i="56" s="1"/>
  <c r="AN114" i="24"/>
  <c r="S114"/>
  <c r="O39" i="56" s="1"/>
  <c r="O47" i="121"/>
  <c r="O48"/>
  <c r="AE48"/>
  <c r="W48"/>
  <c r="AE15"/>
  <c r="W15"/>
  <c r="O15"/>
  <c r="AE47"/>
  <c r="W47"/>
  <c r="O14"/>
  <c r="AE14"/>
  <c r="F98" i="10"/>
  <c r="AA31" i="60" l="1"/>
  <c r="S31"/>
  <c r="K31"/>
  <c r="AA72"/>
  <c r="K72"/>
  <c r="E31" i="10"/>
  <c r="F31"/>
  <c r="E66"/>
  <c r="F66"/>
  <c r="AI7" i="119"/>
  <c r="AI8"/>
  <c r="AI9"/>
  <c r="AI10"/>
  <c r="AI11"/>
  <c r="AI12"/>
  <c r="AI13"/>
  <c r="AI14"/>
  <c r="AI15"/>
  <c r="AI16"/>
  <c r="AI17"/>
  <c r="AI18"/>
  <c r="AI19"/>
  <c r="AI20"/>
  <c r="AI21"/>
  <c r="AI6"/>
  <c r="AD7"/>
  <c r="AD8"/>
  <c r="AD9"/>
  <c r="AD10"/>
  <c r="AD11"/>
  <c r="AD12"/>
  <c r="AD13"/>
  <c r="AD14"/>
  <c r="AD15"/>
  <c r="AD16"/>
  <c r="AD17"/>
  <c r="AD18"/>
  <c r="AD19"/>
  <c r="AD20"/>
  <c r="AD21"/>
  <c r="AD6"/>
  <c r="Y7"/>
  <c r="Y8"/>
  <c r="Y9"/>
  <c r="Y10"/>
  <c r="Y11"/>
  <c r="Y12"/>
  <c r="Y13"/>
  <c r="Y14"/>
  <c r="Y15"/>
  <c r="Y16"/>
  <c r="Y17"/>
  <c r="Y18"/>
  <c r="Y19"/>
  <c r="Y20"/>
  <c r="Y21"/>
  <c r="Y6"/>
  <c r="T7"/>
  <c r="T8"/>
  <c r="T9"/>
  <c r="T10"/>
  <c r="T11"/>
  <c r="T12"/>
  <c r="T13"/>
  <c r="T14"/>
  <c r="T15"/>
  <c r="T16"/>
  <c r="T17"/>
  <c r="T18"/>
  <c r="T19"/>
  <c r="T20"/>
  <c r="T21"/>
  <c r="T6"/>
  <c r="O7"/>
  <c r="O8"/>
  <c r="O9"/>
  <c r="O10"/>
  <c r="O11"/>
  <c r="O12"/>
  <c r="O13"/>
  <c r="O14"/>
  <c r="O15"/>
  <c r="O16"/>
  <c r="O17"/>
  <c r="O18"/>
  <c r="O19"/>
  <c r="O20"/>
  <c r="O21"/>
  <c r="O6"/>
  <c r="J7"/>
  <c r="J8"/>
  <c r="J9"/>
  <c r="J10"/>
  <c r="J11"/>
  <c r="J12"/>
  <c r="J13"/>
  <c r="J14"/>
  <c r="J15"/>
  <c r="J16"/>
  <c r="J17"/>
  <c r="J18"/>
  <c r="J19"/>
  <c r="J20"/>
  <c r="J21"/>
  <c r="J6"/>
  <c r="F125" i="24" l="1"/>
  <c r="M55" i="120"/>
  <c r="AC55"/>
  <c r="U55"/>
  <c r="AC14"/>
  <c r="U14"/>
  <c r="M14"/>
  <c r="T58" i="77"/>
  <c r="T59"/>
  <c r="T60"/>
  <c r="T61"/>
  <c r="T62"/>
  <c r="T63"/>
  <c r="T64"/>
  <c r="T65"/>
  <c r="T66"/>
  <c r="T67"/>
  <c r="T68"/>
  <c r="T69"/>
  <c r="T70"/>
  <c r="T71"/>
  <c r="T72"/>
  <c r="T57"/>
  <c r="AX15" i="10"/>
  <c r="M125" i="24" l="1"/>
  <c r="AV126"/>
  <c r="AV127"/>
  <c r="AV125"/>
  <c r="AO126"/>
  <c r="AO127"/>
  <c r="AO125"/>
  <c r="AH126"/>
  <c r="AH127"/>
  <c r="AH125"/>
  <c r="AA126"/>
  <c r="AA127"/>
  <c r="AA125"/>
  <c r="T126"/>
  <c r="T127"/>
  <c r="T125"/>
  <c r="M126"/>
  <c r="M127"/>
  <c r="I101" i="10"/>
  <c r="I127" s="1"/>
  <c r="AA28" i="121"/>
  <c r="Y28"/>
  <c r="AA27"/>
  <c r="Y27"/>
  <c r="S27"/>
  <c r="S28"/>
  <c r="Q28"/>
  <c r="Q27"/>
  <c r="I71" i="7"/>
  <c r="I72"/>
  <c r="H72"/>
  <c r="H71"/>
  <c r="AA65" i="121"/>
  <c r="Y65"/>
  <c r="S65"/>
  <c r="Q65"/>
  <c r="K65"/>
  <c r="I65"/>
  <c r="AA32"/>
  <c r="Y32"/>
  <c r="S32"/>
  <c r="Q32"/>
  <c r="K32"/>
  <c r="I32"/>
  <c r="I28"/>
  <c r="I27"/>
  <c r="AA61"/>
  <c r="AA60"/>
  <c r="Y61"/>
  <c r="Y60"/>
  <c r="K61"/>
  <c r="K60"/>
  <c r="I61"/>
  <c r="I60"/>
  <c r="K28"/>
  <c r="K27"/>
  <c r="I34" i="60" l="1"/>
  <c r="K34"/>
  <c r="K31" i="121" s="1"/>
  <c r="H61"/>
  <c r="G61"/>
  <c r="H60"/>
  <c r="G60"/>
  <c r="H28"/>
  <c r="G28"/>
  <c r="H27"/>
  <c r="G27"/>
  <c r="H49"/>
  <c r="G49"/>
  <c r="H48"/>
  <c r="G48"/>
  <c r="H47"/>
  <c r="G47"/>
  <c r="H16"/>
  <c r="G16"/>
  <c r="H15"/>
  <c r="G15"/>
  <c r="H14"/>
  <c r="G14"/>
  <c r="Y63"/>
  <c r="Q63"/>
  <c r="I63"/>
  <c r="AC46"/>
  <c r="U46"/>
  <c r="M46"/>
  <c r="AC45"/>
  <c r="AE46" s="1"/>
  <c r="U45"/>
  <c r="W46" s="1"/>
  <c r="M45"/>
  <c r="O46" s="1"/>
  <c r="AC44"/>
  <c r="U44"/>
  <c r="M44"/>
  <c r="AC43"/>
  <c r="AE44" s="1"/>
  <c r="U43"/>
  <c r="W44" s="1"/>
  <c r="M43"/>
  <c r="O44" s="1"/>
  <c r="AC42"/>
  <c r="U42"/>
  <c r="M42"/>
  <c r="AC41"/>
  <c r="AE42" s="1"/>
  <c r="U41"/>
  <c r="M41"/>
  <c r="O41" s="1"/>
  <c r="AC40"/>
  <c r="U40"/>
  <c r="M40"/>
  <c r="AC39"/>
  <c r="AE40" s="1"/>
  <c r="U39"/>
  <c r="W40" s="1"/>
  <c r="M39"/>
  <c r="O40" s="1"/>
  <c r="AD36"/>
  <c r="I36"/>
  <c r="H36"/>
  <c r="I31"/>
  <c r="Y30"/>
  <c r="Q30"/>
  <c r="I30"/>
  <c r="AC13"/>
  <c r="U13"/>
  <c r="M13"/>
  <c r="AC12"/>
  <c r="AE12" s="1"/>
  <c r="U12"/>
  <c r="W13" s="1"/>
  <c r="M12"/>
  <c r="AC11"/>
  <c r="U11"/>
  <c r="M11"/>
  <c r="AC10"/>
  <c r="AE11" s="1"/>
  <c r="U10"/>
  <c r="W11" s="1"/>
  <c r="M10"/>
  <c r="O11" s="1"/>
  <c r="AC9"/>
  <c r="U9"/>
  <c r="M9"/>
  <c r="AC8"/>
  <c r="AE8" s="1"/>
  <c r="U8"/>
  <c r="W9" s="1"/>
  <c r="M8"/>
  <c r="O8" s="1"/>
  <c r="AC7"/>
  <c r="U7"/>
  <c r="M7"/>
  <c r="AC6"/>
  <c r="AE7" s="1"/>
  <c r="U6"/>
  <c r="W7" s="1"/>
  <c r="M6"/>
  <c r="AD3"/>
  <c r="I3"/>
  <c r="H3"/>
  <c r="S117" i="24"/>
  <c r="O12" i="117" s="1"/>
  <c r="P117" i="24"/>
  <c r="S116"/>
  <c r="O11" i="117" s="1"/>
  <c r="P116" i="24"/>
  <c r="AN117"/>
  <c r="AK117"/>
  <c r="AN116"/>
  <c r="AK116"/>
  <c r="AJ127"/>
  <c r="AJ126"/>
  <c r="AJ125"/>
  <c r="V125"/>
  <c r="AU131" i="10"/>
  <c r="AR131"/>
  <c r="AN131"/>
  <c r="AK131"/>
  <c r="AG131"/>
  <c r="AD131"/>
  <c r="Z131"/>
  <c r="W131"/>
  <c r="S131"/>
  <c r="P131"/>
  <c r="L131"/>
  <c r="AU130"/>
  <c r="AR130"/>
  <c r="AN130"/>
  <c r="AK130"/>
  <c r="AG130"/>
  <c r="AD130"/>
  <c r="Z130"/>
  <c r="W130"/>
  <c r="S130"/>
  <c r="P130"/>
  <c r="L130"/>
  <c r="I131"/>
  <c r="I130"/>
  <c r="V125"/>
  <c r="AJ125"/>
  <c r="AJ126"/>
  <c r="AJ127"/>
  <c r="AK101" i="24"/>
  <c r="P101"/>
  <c r="AJ100"/>
  <c r="AK100" s="1"/>
  <c r="AJ99"/>
  <c r="AK99" s="1"/>
  <c r="AJ100" i="10"/>
  <c r="AJ99"/>
  <c r="AC100"/>
  <c r="AD126" s="1"/>
  <c r="P101"/>
  <c r="Q16" i="121" s="1"/>
  <c r="M49" i="24"/>
  <c r="M17"/>
  <c r="K66" i="7"/>
  <c r="L66"/>
  <c r="M66"/>
  <c r="N66"/>
  <c r="O66"/>
  <c r="J66"/>
  <c r="K44"/>
  <c r="L44"/>
  <c r="M44"/>
  <c r="N44"/>
  <c r="O44"/>
  <c r="J44"/>
  <c r="K23"/>
  <c r="L23"/>
  <c r="M23"/>
  <c r="N23"/>
  <c r="O23"/>
  <c r="J23"/>
  <c r="C1" i="91"/>
  <c r="C1" i="90"/>
  <c r="A1" i="62"/>
  <c r="AK130" i="24" l="1"/>
  <c r="S131"/>
  <c r="Q48" i="121"/>
  <c r="AL126" i="10"/>
  <c r="S130" i="24"/>
  <c r="AN131"/>
  <c r="AN130"/>
  <c r="AK131"/>
  <c r="P130"/>
  <c r="M11" i="117"/>
  <c r="P131" i="24"/>
  <c r="M12" i="117"/>
  <c r="AL100" i="24"/>
  <c r="AK127"/>
  <c r="AK125"/>
  <c r="AN100"/>
  <c r="P127"/>
  <c r="K73" i="7" s="1"/>
  <c r="M8" i="117"/>
  <c r="AK127" i="10"/>
  <c r="Q49" i="121"/>
  <c r="Q47"/>
  <c r="AE6"/>
  <c r="P127" i="10"/>
  <c r="AK126" i="24"/>
  <c r="AE10" i="121"/>
  <c r="O45"/>
  <c r="W45"/>
  <c r="AE45"/>
  <c r="W6"/>
  <c r="O10"/>
  <c r="W10"/>
  <c r="AE41"/>
  <c r="O9"/>
  <c r="AE9"/>
  <c r="AE13"/>
  <c r="W8"/>
  <c r="W12"/>
  <c r="O39"/>
  <c r="W39"/>
  <c r="AE39"/>
  <c r="O42"/>
  <c r="O43"/>
  <c r="W43"/>
  <c r="AE43"/>
  <c r="AL99" i="24"/>
  <c r="AN99" s="1"/>
  <c r="I65" i="7"/>
  <c r="H65"/>
  <c r="I64"/>
  <c r="H64"/>
  <c r="I63"/>
  <c r="H63"/>
  <c r="I62"/>
  <c r="H62"/>
  <c r="I61"/>
  <c r="H61"/>
  <c r="I59"/>
  <c r="H59"/>
  <c r="I58"/>
  <c r="H58"/>
  <c r="I57"/>
  <c r="H57"/>
  <c r="I56"/>
  <c r="H56"/>
  <c r="I55"/>
  <c r="H55"/>
  <c r="I53"/>
  <c r="H53"/>
  <c r="I51"/>
  <c r="H51"/>
  <c r="I49"/>
  <c r="H49"/>
  <c r="I47"/>
  <c r="H47"/>
  <c r="I43"/>
  <c r="H43"/>
  <c r="I42"/>
  <c r="H42"/>
  <c r="I41"/>
  <c r="H41"/>
  <c r="I40"/>
  <c r="H40"/>
  <c r="I39"/>
  <c r="H39"/>
  <c r="I38"/>
  <c r="H38"/>
  <c r="I37"/>
  <c r="H37"/>
  <c r="I36"/>
  <c r="H36"/>
  <c r="I35"/>
  <c r="H35"/>
  <c r="I34"/>
  <c r="H34"/>
  <c r="I32"/>
  <c r="H32"/>
  <c r="I30"/>
  <c r="H30"/>
  <c r="I28"/>
  <c r="H28"/>
  <c r="I26"/>
  <c r="H26"/>
  <c r="I22"/>
  <c r="H22"/>
  <c r="I21"/>
  <c r="H21"/>
  <c r="I20"/>
  <c r="H20"/>
  <c r="I19"/>
  <c r="H19"/>
  <c r="I18"/>
  <c r="H18"/>
  <c r="I17"/>
  <c r="H17"/>
  <c r="I16"/>
  <c r="H16"/>
  <c r="I15"/>
  <c r="H15"/>
  <c r="I14"/>
  <c r="H14"/>
  <c r="I13"/>
  <c r="H13"/>
  <c r="I11"/>
  <c r="H11"/>
  <c r="I9"/>
  <c r="H9"/>
  <c r="I6"/>
  <c r="H6"/>
  <c r="I3"/>
  <c r="H3"/>
  <c r="J48"/>
  <c r="K48"/>
  <c r="L48"/>
  <c r="M48"/>
  <c r="N48"/>
  <c r="O48"/>
  <c r="J50"/>
  <c r="K50"/>
  <c r="L50"/>
  <c r="M50"/>
  <c r="N50"/>
  <c r="O50"/>
  <c r="J52"/>
  <c r="K52"/>
  <c r="L52"/>
  <c r="M52"/>
  <c r="N52"/>
  <c r="O52"/>
  <c r="J54"/>
  <c r="K54"/>
  <c r="L54"/>
  <c r="M54"/>
  <c r="N54"/>
  <c r="O54"/>
  <c r="J27"/>
  <c r="K27"/>
  <c r="L27"/>
  <c r="M27"/>
  <c r="N27"/>
  <c r="O27"/>
  <c r="J29"/>
  <c r="K29"/>
  <c r="L29"/>
  <c r="M29"/>
  <c r="N29"/>
  <c r="O29"/>
  <c r="J31"/>
  <c r="K31"/>
  <c r="L31"/>
  <c r="M31"/>
  <c r="N31"/>
  <c r="O31"/>
  <c r="J33"/>
  <c r="K33"/>
  <c r="L33"/>
  <c r="M33"/>
  <c r="N33"/>
  <c r="O33"/>
  <c r="K4"/>
  <c r="L4"/>
  <c r="M4"/>
  <c r="N4"/>
  <c r="O4"/>
  <c r="K5"/>
  <c r="L5"/>
  <c r="M5"/>
  <c r="N5"/>
  <c r="O5"/>
  <c r="K7"/>
  <c r="L7"/>
  <c r="M7"/>
  <c r="N7"/>
  <c r="O7"/>
  <c r="K8"/>
  <c r="L8"/>
  <c r="M8"/>
  <c r="N8"/>
  <c r="O8"/>
  <c r="K10"/>
  <c r="L10"/>
  <c r="M10"/>
  <c r="N10"/>
  <c r="O10"/>
  <c r="K12"/>
  <c r="L12"/>
  <c r="M12"/>
  <c r="N12"/>
  <c r="O12"/>
  <c r="J4"/>
  <c r="J5"/>
  <c r="J7"/>
  <c r="J8"/>
  <c r="J10"/>
  <c r="J12"/>
  <c r="E108" i="89"/>
  <c r="E87"/>
  <c r="E66"/>
  <c r="E45"/>
  <c r="E24"/>
  <c r="E3"/>
  <c r="B1" i="62"/>
  <c r="B2" i="88"/>
  <c r="A2"/>
  <c r="C3" i="87"/>
  <c r="B3"/>
  <c r="E3" i="86"/>
  <c r="D3"/>
  <c r="D3" i="85"/>
  <c r="C3"/>
  <c r="G3" i="83"/>
  <c r="F3"/>
  <c r="C3" i="82"/>
  <c r="B3"/>
  <c r="E3" i="79"/>
  <c r="D3"/>
  <c r="D3" i="80"/>
  <c r="C3"/>
  <c r="E3" i="81"/>
  <c r="D3"/>
  <c r="G3" i="78"/>
  <c r="F3"/>
  <c r="B2" i="77"/>
  <c r="W56" s="1"/>
  <c r="T56" s="1"/>
  <c r="C1" i="69"/>
  <c r="B1"/>
  <c r="I44" i="120"/>
  <c r="H44"/>
  <c r="I3"/>
  <c r="H3"/>
  <c r="I44" i="60"/>
  <c r="H44"/>
  <c r="I3"/>
  <c r="H3"/>
  <c r="I3" i="58"/>
  <c r="H3"/>
  <c r="I41"/>
  <c r="H41"/>
  <c r="I43" i="46"/>
  <c r="H43"/>
  <c r="I3"/>
  <c r="F131" i="24"/>
  <c r="E131"/>
  <c r="F130"/>
  <c r="E130"/>
  <c r="F127"/>
  <c r="E127"/>
  <c r="F126"/>
  <c r="E126"/>
  <c r="E125"/>
  <c r="D122"/>
  <c r="C122"/>
  <c r="I75" i="10"/>
  <c r="F75"/>
  <c r="I40"/>
  <c r="F40"/>
  <c r="I3"/>
  <c r="F3"/>
  <c r="D122"/>
  <c r="C122"/>
  <c r="AL125" i="24" l="1"/>
  <c r="N71" i="7"/>
  <c r="AL127" i="24"/>
  <c r="N73" i="7"/>
  <c r="AN125" i="24"/>
  <c r="AL126"/>
  <c r="N72" i="7"/>
  <c r="C2" i="24"/>
  <c r="A2"/>
  <c r="AV15" i="10"/>
  <c r="AO15"/>
  <c r="AH15"/>
  <c r="AA15"/>
  <c r="T15"/>
  <c r="M15"/>
  <c r="AV13"/>
  <c r="AO13"/>
  <c r="AH13"/>
  <c r="AA13"/>
  <c r="T13"/>
  <c r="M13"/>
  <c r="AV11"/>
  <c r="AO11"/>
  <c r="AH11"/>
  <c r="AA11"/>
  <c r="T11"/>
  <c r="M11"/>
  <c r="AV10"/>
  <c r="AO10"/>
  <c r="AH10"/>
  <c r="AA10"/>
  <c r="T10"/>
  <c r="M10"/>
  <c r="AV8"/>
  <c r="AO8"/>
  <c r="AH8"/>
  <c r="AA8"/>
  <c r="T8"/>
  <c r="M8"/>
  <c r="AV7"/>
  <c r="AO7"/>
  <c r="AH7"/>
  <c r="AA7"/>
  <c r="T7"/>
  <c r="M7"/>
  <c r="AV11" i="24"/>
  <c r="AV10"/>
  <c r="AV9"/>
  <c r="L75"/>
  <c r="I75"/>
  <c r="L40"/>
  <c r="I40"/>
  <c r="L3"/>
  <c r="I3"/>
  <c r="J14" i="75"/>
  <c r="I14"/>
  <c r="A2" i="10"/>
  <c r="AX3" s="1"/>
  <c r="C2"/>
  <c r="AX4" s="1"/>
  <c r="AY4" s="1"/>
  <c r="BE4" s="1"/>
  <c r="C108" i="89"/>
  <c r="C87"/>
  <c r="C66"/>
  <c r="C45"/>
  <c r="C24"/>
  <c r="C3"/>
  <c r="D3" i="84"/>
  <c r="D24" i="79"/>
  <c r="A2" i="77"/>
  <c r="W55" s="1"/>
  <c r="G3" i="118"/>
  <c r="F3"/>
  <c r="F3" i="117"/>
  <c r="G3"/>
  <c r="H3" i="115"/>
  <c r="G3"/>
  <c r="AC3"/>
  <c r="AB3"/>
  <c r="AC3" i="56"/>
  <c r="AB3"/>
  <c r="H3"/>
  <c r="G3"/>
  <c r="AC3" i="114"/>
  <c r="AB3"/>
  <c r="H3"/>
  <c r="G3"/>
  <c r="AC3" i="54"/>
  <c r="AB3"/>
  <c r="H3"/>
  <c r="G3"/>
  <c r="AB3" i="113"/>
  <c r="AA3"/>
  <c r="G3"/>
  <c r="E3"/>
  <c r="AB3" i="61"/>
  <c r="AA3"/>
  <c r="G3"/>
  <c r="E3"/>
  <c r="H3" i="46"/>
  <c r="Y27" i="73"/>
  <c r="Y24"/>
  <c r="Y21"/>
  <c r="Y18"/>
  <c r="Y15"/>
  <c r="Y12"/>
  <c r="Y9"/>
  <c r="Y6"/>
  <c r="M9" i="24" l="1"/>
  <c r="I23" i="119"/>
  <c r="I24"/>
  <c r="I25"/>
  <c r="W25"/>
  <c r="AG25"/>
  <c r="AG22"/>
  <c r="AI23"/>
  <c r="AI24"/>
  <c r="AI25"/>
  <c r="AH23"/>
  <c r="AH24"/>
  <c r="AH25"/>
  <c r="Y23"/>
  <c r="Y24"/>
  <c r="Y25"/>
  <c r="X23"/>
  <c r="X24"/>
  <c r="AM24" s="1"/>
  <c r="X25"/>
  <c r="T23"/>
  <c r="T24"/>
  <c r="T25"/>
  <c r="S23"/>
  <c r="S24"/>
  <c r="S25"/>
  <c r="R25"/>
  <c r="J23"/>
  <c r="J24"/>
  <c r="J25"/>
  <c r="H25"/>
  <c r="H21" i="118"/>
  <c r="G21"/>
  <c r="H20"/>
  <c r="G20"/>
  <c r="H19"/>
  <c r="G19"/>
  <c r="H21" i="117"/>
  <c r="G21"/>
  <c r="H20"/>
  <c r="G20"/>
  <c r="H19"/>
  <c r="G19"/>
  <c r="V7" i="119"/>
  <c r="X7"/>
  <c r="AA7"/>
  <c r="AC7"/>
  <c r="AF7"/>
  <c r="AH7"/>
  <c r="X8"/>
  <c r="AC8"/>
  <c r="AH8"/>
  <c r="V9"/>
  <c r="X9"/>
  <c r="AA9"/>
  <c r="AC9"/>
  <c r="AF9"/>
  <c r="AH9"/>
  <c r="X10"/>
  <c r="AC10"/>
  <c r="AH10"/>
  <c r="V11"/>
  <c r="X11"/>
  <c r="AA11"/>
  <c r="AC11"/>
  <c r="AF11"/>
  <c r="AH11"/>
  <c r="X12"/>
  <c r="AC12"/>
  <c r="AH12"/>
  <c r="V13"/>
  <c r="X13"/>
  <c r="AA13"/>
  <c r="AC13"/>
  <c r="AF13"/>
  <c r="AH13"/>
  <c r="X14"/>
  <c r="AC14"/>
  <c r="AH14"/>
  <c r="X15"/>
  <c r="AC15"/>
  <c r="AH15"/>
  <c r="X16"/>
  <c r="AC16"/>
  <c r="AH16"/>
  <c r="W17"/>
  <c r="X17"/>
  <c r="AB17"/>
  <c r="AC17"/>
  <c r="AG17"/>
  <c r="AH17"/>
  <c r="X18"/>
  <c r="AC18"/>
  <c r="AH18"/>
  <c r="X19"/>
  <c r="AC19"/>
  <c r="AH19"/>
  <c r="X20"/>
  <c r="AC20"/>
  <c r="AH20"/>
  <c r="X21"/>
  <c r="AC21"/>
  <c r="AH21"/>
  <c r="AH6"/>
  <c r="AC6"/>
  <c r="X6"/>
  <c r="Q7"/>
  <c r="S7"/>
  <c r="S8"/>
  <c r="Q9"/>
  <c r="S9"/>
  <c r="S10"/>
  <c r="Q11"/>
  <c r="S11"/>
  <c r="S12"/>
  <c r="Q13"/>
  <c r="S13"/>
  <c r="S14"/>
  <c r="S15"/>
  <c r="S16"/>
  <c r="R17"/>
  <c r="S17"/>
  <c r="S18"/>
  <c r="S19"/>
  <c r="S20"/>
  <c r="S21"/>
  <c r="S6"/>
  <c r="L7"/>
  <c r="N7"/>
  <c r="N8"/>
  <c r="L9"/>
  <c r="N9"/>
  <c r="N10"/>
  <c r="L11"/>
  <c r="N11"/>
  <c r="N12"/>
  <c r="L13"/>
  <c r="N13"/>
  <c r="N14"/>
  <c r="N15"/>
  <c r="N16"/>
  <c r="M17"/>
  <c r="N17"/>
  <c r="N18"/>
  <c r="N19"/>
  <c r="N20"/>
  <c r="N21"/>
  <c r="N6"/>
  <c r="I7"/>
  <c r="I8"/>
  <c r="I9"/>
  <c r="I10"/>
  <c r="I11"/>
  <c r="I12"/>
  <c r="I13"/>
  <c r="I14"/>
  <c r="I15"/>
  <c r="I16"/>
  <c r="I17"/>
  <c r="I18"/>
  <c r="I19"/>
  <c r="I20"/>
  <c r="I21"/>
  <c r="I6"/>
  <c r="H17"/>
  <c r="G7"/>
  <c r="G9"/>
  <c r="G11"/>
  <c r="G13"/>
  <c r="M6" i="24"/>
  <c r="AV79"/>
  <c r="AV80"/>
  <c r="AV81"/>
  <c r="AV82"/>
  <c r="AV83"/>
  <c r="AV84"/>
  <c r="AV85"/>
  <c r="AV86"/>
  <c r="AV87"/>
  <c r="AV88"/>
  <c r="AV89"/>
  <c r="AV90"/>
  <c r="AV92"/>
  <c r="AV93"/>
  <c r="AV94"/>
  <c r="AV95"/>
  <c r="AV78"/>
  <c r="AO79"/>
  <c r="AO80"/>
  <c r="AO81"/>
  <c r="AO82"/>
  <c r="AO83"/>
  <c r="AO84"/>
  <c r="AO85"/>
  <c r="AO86"/>
  <c r="AO87"/>
  <c r="AO88"/>
  <c r="AO89"/>
  <c r="AO90"/>
  <c r="AO92"/>
  <c r="AO93"/>
  <c r="AO94"/>
  <c r="AO95"/>
  <c r="AO78"/>
  <c r="AH79"/>
  <c r="AH80"/>
  <c r="AH81"/>
  <c r="AH82"/>
  <c r="AH83"/>
  <c r="AH84"/>
  <c r="AH85"/>
  <c r="AH86"/>
  <c r="AH87"/>
  <c r="AH88"/>
  <c r="AH89"/>
  <c r="AH90"/>
  <c r="AH92"/>
  <c r="AH93"/>
  <c r="AH94"/>
  <c r="AH95"/>
  <c r="AH78"/>
  <c r="AA79"/>
  <c r="AA80"/>
  <c r="AA81"/>
  <c r="AA82"/>
  <c r="AA83"/>
  <c r="AA84"/>
  <c r="AA85"/>
  <c r="AA86"/>
  <c r="AA87"/>
  <c r="AA88"/>
  <c r="AA89"/>
  <c r="AA90"/>
  <c r="AA92"/>
  <c r="AA93"/>
  <c r="AA95"/>
  <c r="AA78"/>
  <c r="T79"/>
  <c r="T80"/>
  <c r="T81"/>
  <c r="T82"/>
  <c r="T83"/>
  <c r="T84"/>
  <c r="T85"/>
  <c r="T86"/>
  <c r="T87"/>
  <c r="T88"/>
  <c r="T89"/>
  <c r="T90"/>
  <c r="T92"/>
  <c r="T93"/>
  <c r="T94"/>
  <c r="T95"/>
  <c r="T78"/>
  <c r="M79"/>
  <c r="M80"/>
  <c r="M81"/>
  <c r="M82"/>
  <c r="M83"/>
  <c r="M84"/>
  <c r="M85"/>
  <c r="M86"/>
  <c r="M87"/>
  <c r="M88"/>
  <c r="M89"/>
  <c r="M90"/>
  <c r="M92"/>
  <c r="M93"/>
  <c r="M94"/>
  <c r="M95"/>
  <c r="M78"/>
  <c r="AV44"/>
  <c r="AV45"/>
  <c r="AV46"/>
  <c r="AV47"/>
  <c r="AV48"/>
  <c r="AV49"/>
  <c r="AV50"/>
  <c r="AV51"/>
  <c r="AV52"/>
  <c r="AV53"/>
  <c r="AV54"/>
  <c r="AV55"/>
  <c r="AV56"/>
  <c r="AV57"/>
  <c r="AV58"/>
  <c r="AV59"/>
  <c r="AV43"/>
  <c r="AO44"/>
  <c r="AO45"/>
  <c r="AO46"/>
  <c r="AO47"/>
  <c r="AO48"/>
  <c r="AO49"/>
  <c r="AO50"/>
  <c r="AO51"/>
  <c r="AO52"/>
  <c r="AO53"/>
  <c r="AO54"/>
  <c r="AO55"/>
  <c r="AO56"/>
  <c r="AO57"/>
  <c r="AO58"/>
  <c r="AO59"/>
  <c r="AO43"/>
  <c r="AH44"/>
  <c r="AH45"/>
  <c r="AH46"/>
  <c r="AH47"/>
  <c r="AH48"/>
  <c r="AH49"/>
  <c r="AH50"/>
  <c r="AH51"/>
  <c r="AH52"/>
  <c r="AH53"/>
  <c r="AH54"/>
  <c r="AH55"/>
  <c r="AH56"/>
  <c r="AH57"/>
  <c r="AH58"/>
  <c r="AH59"/>
  <c r="AH43"/>
  <c r="AA44"/>
  <c r="AA45"/>
  <c r="AA46"/>
  <c r="AA47"/>
  <c r="AA48"/>
  <c r="AA49"/>
  <c r="AA50"/>
  <c r="AA51"/>
  <c r="AA52"/>
  <c r="AA53"/>
  <c r="AA54"/>
  <c r="AA55"/>
  <c r="AA56"/>
  <c r="AA57"/>
  <c r="AA58"/>
  <c r="AA59"/>
  <c r="AA43"/>
  <c r="T44"/>
  <c r="T45"/>
  <c r="T46"/>
  <c r="T47"/>
  <c r="T48"/>
  <c r="T49"/>
  <c r="T50"/>
  <c r="T51"/>
  <c r="T52"/>
  <c r="T53"/>
  <c r="T54"/>
  <c r="T55"/>
  <c r="T56"/>
  <c r="T57"/>
  <c r="T58"/>
  <c r="T59"/>
  <c r="T43"/>
  <c r="M44"/>
  <c r="M45"/>
  <c r="M46"/>
  <c r="M47"/>
  <c r="M48"/>
  <c r="M50"/>
  <c r="M51"/>
  <c r="M52"/>
  <c r="M53"/>
  <c r="M54"/>
  <c r="M55"/>
  <c r="M56"/>
  <c r="M57"/>
  <c r="M58"/>
  <c r="M43"/>
  <c r="AR120"/>
  <c r="AV7"/>
  <c r="AV8"/>
  <c r="AV12"/>
  <c r="AV13"/>
  <c r="AV14"/>
  <c r="AV15"/>
  <c r="AV16"/>
  <c r="AV17"/>
  <c r="AV18"/>
  <c r="AV19"/>
  <c r="AV20"/>
  <c r="AV21"/>
  <c r="AV22"/>
  <c r="AV23"/>
  <c r="AV24"/>
  <c r="AV6"/>
  <c r="AO7"/>
  <c r="AO8"/>
  <c r="AO9"/>
  <c r="AO10"/>
  <c r="AO11"/>
  <c r="AO12"/>
  <c r="AO13"/>
  <c r="AO14"/>
  <c r="AO15"/>
  <c r="AO16"/>
  <c r="AO17"/>
  <c r="AO18"/>
  <c r="AO19"/>
  <c r="AO20"/>
  <c r="AO21"/>
  <c r="AO22"/>
  <c r="AO23"/>
  <c r="AO24"/>
  <c r="AO6"/>
  <c r="AH7"/>
  <c r="AH8"/>
  <c r="AH9"/>
  <c r="AH10"/>
  <c r="AH11"/>
  <c r="AH12"/>
  <c r="AH13"/>
  <c r="AH14"/>
  <c r="AH15"/>
  <c r="AH16"/>
  <c r="AH17"/>
  <c r="AH18"/>
  <c r="AH19"/>
  <c r="AH20"/>
  <c r="AH21"/>
  <c r="AH22"/>
  <c r="AH23"/>
  <c r="AH24"/>
  <c r="AH6"/>
  <c r="AA7"/>
  <c r="AA8"/>
  <c r="AA9"/>
  <c r="AA10"/>
  <c r="AA11"/>
  <c r="AA12"/>
  <c r="AA13"/>
  <c r="AA14"/>
  <c r="AA15"/>
  <c r="AA16"/>
  <c r="AA17"/>
  <c r="AA18"/>
  <c r="AA19"/>
  <c r="AA20"/>
  <c r="AA21"/>
  <c r="AA22"/>
  <c r="AA23"/>
  <c r="AA24"/>
  <c r="M7"/>
  <c r="AA6"/>
  <c r="T7"/>
  <c r="T8"/>
  <c r="T9"/>
  <c r="T10"/>
  <c r="T11"/>
  <c r="T12"/>
  <c r="T13"/>
  <c r="T14"/>
  <c r="T15"/>
  <c r="T16"/>
  <c r="T17"/>
  <c r="T18"/>
  <c r="T19"/>
  <c r="T20"/>
  <c r="T21"/>
  <c r="T22"/>
  <c r="T24"/>
  <c r="T25"/>
  <c r="T6"/>
  <c r="M8"/>
  <c r="M10"/>
  <c r="M11"/>
  <c r="M12"/>
  <c r="M13"/>
  <c r="M14"/>
  <c r="M15"/>
  <c r="M16"/>
  <c r="M18"/>
  <c r="M19"/>
  <c r="M20"/>
  <c r="M21"/>
  <c r="M22"/>
  <c r="M23"/>
  <c r="M25"/>
  <c r="I17" i="120"/>
  <c r="D221" i="62" s="1"/>
  <c r="K30" i="60"/>
  <c r="K26"/>
  <c r="K23" i="121" s="1"/>
  <c r="D180" i="62"/>
  <c r="AM25" i="119" l="1"/>
  <c r="AM23"/>
  <c r="Q44" i="115"/>
  <c r="AL25" i="119"/>
  <c r="Y74" i="120"/>
  <c r="Q74"/>
  <c r="I74"/>
  <c r="Y33"/>
  <c r="Q33"/>
  <c r="K34"/>
  <c r="K35"/>
  <c r="I33"/>
  <c r="I34"/>
  <c r="I35"/>
  <c r="M47"/>
  <c r="O47" s="1"/>
  <c r="AC48"/>
  <c r="AC49"/>
  <c r="AE50" s="1"/>
  <c r="AC50"/>
  <c r="AC51"/>
  <c r="AE51" s="1"/>
  <c r="AC52"/>
  <c r="AC53"/>
  <c r="AE53" s="1"/>
  <c r="AC54"/>
  <c r="AC56"/>
  <c r="AE56" s="1"/>
  <c r="AC47"/>
  <c r="AE48" s="1"/>
  <c r="U48"/>
  <c r="U49"/>
  <c r="U50"/>
  <c r="U51"/>
  <c r="W52" s="1"/>
  <c r="U52"/>
  <c r="U53"/>
  <c r="W54" s="1"/>
  <c r="U54"/>
  <c r="U56"/>
  <c r="W56" s="1"/>
  <c r="U47"/>
  <c r="W47" s="1"/>
  <c r="M48"/>
  <c r="M49"/>
  <c r="O50" s="1"/>
  <c r="M50"/>
  <c r="M51"/>
  <c r="O52" s="1"/>
  <c r="M52"/>
  <c r="M53"/>
  <c r="O54" s="1"/>
  <c r="M54"/>
  <c r="M56"/>
  <c r="O56" s="1"/>
  <c r="O55"/>
  <c r="O53"/>
  <c r="W55"/>
  <c r="W53"/>
  <c r="W48"/>
  <c r="AE55"/>
  <c r="AE52"/>
  <c r="AC7"/>
  <c r="AC8"/>
  <c r="AE8" s="1"/>
  <c r="AC9"/>
  <c r="AC10"/>
  <c r="AE10" s="1"/>
  <c r="AC11"/>
  <c r="AC12"/>
  <c r="AE12" s="1"/>
  <c r="AC13"/>
  <c r="AE14"/>
  <c r="AC15"/>
  <c r="AE15" s="1"/>
  <c r="AC6"/>
  <c r="AE6" s="1"/>
  <c r="U7"/>
  <c r="U8"/>
  <c r="W9" s="1"/>
  <c r="U9"/>
  <c r="U10"/>
  <c r="W11" s="1"/>
  <c r="U11"/>
  <c r="U12"/>
  <c r="W13" s="1"/>
  <c r="U13"/>
  <c r="W14"/>
  <c r="U15"/>
  <c r="W15" s="1"/>
  <c r="U6"/>
  <c r="W7" s="1"/>
  <c r="AE49" l="1"/>
  <c r="AE54"/>
  <c r="O49"/>
  <c r="O48"/>
  <c r="O51"/>
  <c r="W51"/>
  <c r="AE47"/>
  <c r="W6"/>
  <c r="W8"/>
  <c r="W10"/>
  <c r="W12"/>
  <c r="AE7"/>
  <c r="AE9"/>
  <c r="AE11"/>
  <c r="AE13"/>
  <c r="M7"/>
  <c r="M8"/>
  <c r="M9"/>
  <c r="M10"/>
  <c r="M11"/>
  <c r="M12"/>
  <c r="M13"/>
  <c r="O14"/>
  <c r="M15"/>
  <c r="O15" s="1"/>
  <c r="M6"/>
  <c r="AD44"/>
  <c r="AD3"/>
  <c r="AU111" i="24"/>
  <c r="H100" i="88"/>
  <c r="AM7" i="119"/>
  <c r="E167" i="69" s="1"/>
  <c r="AM8" i="119"/>
  <c r="E168" i="69" s="1"/>
  <c r="AM9" i="119"/>
  <c r="E169" i="69" s="1"/>
  <c r="AM10" i="119"/>
  <c r="E170" i="69" s="1"/>
  <c r="AM11" i="119"/>
  <c r="E171" i="69" s="1"/>
  <c r="AM12" i="119"/>
  <c r="E172" i="69" s="1"/>
  <c r="AM13" i="119"/>
  <c r="E173" i="69" s="1"/>
  <c r="AM14" i="119"/>
  <c r="E174" i="69" s="1"/>
  <c r="AM15" i="119"/>
  <c r="E175" i="69" s="1"/>
  <c r="AM16" i="119"/>
  <c r="E176" i="69" s="1"/>
  <c r="AL17" i="119"/>
  <c r="D177" i="69" s="1"/>
  <c r="AM17" i="119"/>
  <c r="E177" i="69" s="1"/>
  <c r="AM18" i="119"/>
  <c r="E178" i="69" s="1"/>
  <c r="AM19" i="119"/>
  <c r="E179" i="69" s="1"/>
  <c r="AM20" i="119"/>
  <c r="E180" i="69" s="1"/>
  <c r="AM21" i="119"/>
  <c r="E181" i="69" s="1"/>
  <c r="AL22" i="119"/>
  <c r="D182" i="69" s="1"/>
  <c r="AM22" i="119"/>
  <c r="E182" i="69" s="1"/>
  <c r="E183"/>
  <c r="E184"/>
  <c r="D185"/>
  <c r="E185"/>
  <c r="AM6" i="119"/>
  <c r="E166" i="69" s="1"/>
  <c r="B3" i="119"/>
  <c r="L114" i="24"/>
  <c r="I114"/>
  <c r="D64" i="69"/>
  <c r="E64"/>
  <c r="F64"/>
  <c r="G64"/>
  <c r="H64"/>
  <c r="I64"/>
  <c r="O10" i="120" l="1"/>
  <c r="O11"/>
  <c r="O8"/>
  <c r="O9"/>
  <c r="I157" i="69"/>
  <c r="H157"/>
  <c r="G157"/>
  <c r="I115"/>
  <c r="I117"/>
  <c r="I119"/>
  <c r="I121"/>
  <c r="H115"/>
  <c r="H117"/>
  <c r="H119"/>
  <c r="H121"/>
  <c r="G115"/>
  <c r="G117"/>
  <c r="G119"/>
  <c r="G121"/>
  <c r="I62"/>
  <c r="I66"/>
  <c r="I68"/>
  <c r="H62"/>
  <c r="H66"/>
  <c r="H68"/>
  <c r="G62"/>
  <c r="G66"/>
  <c r="G68"/>
  <c r="I6"/>
  <c r="I7"/>
  <c r="I9"/>
  <c r="I10"/>
  <c r="I12"/>
  <c r="I14"/>
  <c r="H6"/>
  <c r="H7"/>
  <c r="H9"/>
  <c r="H10"/>
  <c r="H12"/>
  <c r="H14"/>
  <c r="G6"/>
  <c r="G7"/>
  <c r="G9"/>
  <c r="G10"/>
  <c r="G12"/>
  <c r="G14"/>
  <c r="I119" i="24"/>
  <c r="I38" i="113"/>
  <c r="G35" i="69" s="1"/>
  <c r="I38" i="61"/>
  <c r="H12" i="118"/>
  <c r="G12"/>
  <c r="H11"/>
  <c r="G11"/>
  <c r="H8"/>
  <c r="G8"/>
  <c r="H7"/>
  <c r="G7"/>
  <c r="H6"/>
  <c r="G6"/>
  <c r="H12" i="117"/>
  <c r="G12"/>
  <c r="H11"/>
  <c r="G11"/>
  <c r="H8"/>
  <c r="G8"/>
  <c r="H7"/>
  <c r="G7"/>
  <c r="H6"/>
  <c r="G6"/>
  <c r="G31" i="56"/>
  <c r="G30"/>
  <c r="H44" i="115"/>
  <c r="G44"/>
  <c r="H43"/>
  <c r="G43"/>
  <c r="O40"/>
  <c r="G40"/>
  <c r="H39"/>
  <c r="G39"/>
  <c r="S36"/>
  <c r="H36"/>
  <c r="H35"/>
  <c r="G35"/>
  <c r="H34"/>
  <c r="G34"/>
  <c r="H33"/>
  <c r="G33"/>
  <c r="H32"/>
  <c r="G32"/>
  <c r="H31"/>
  <c r="G31"/>
  <c r="H30"/>
  <c r="G30"/>
  <c r="H29"/>
  <c r="G29"/>
  <c r="G26"/>
  <c r="G25"/>
  <c r="S24"/>
  <c r="K24"/>
  <c r="H24"/>
  <c r="G24"/>
  <c r="H23"/>
  <c r="G23"/>
  <c r="H22"/>
  <c r="G22"/>
  <c r="H21"/>
  <c r="G21"/>
  <c r="H20"/>
  <c r="G20"/>
  <c r="H18"/>
  <c r="G18"/>
  <c r="H17"/>
  <c r="G17"/>
  <c r="H16"/>
  <c r="G16"/>
  <c r="H15"/>
  <c r="G15"/>
  <c r="H14"/>
  <c r="G14"/>
  <c r="H12"/>
  <c r="G12"/>
  <c r="H10"/>
  <c r="G10"/>
  <c r="H8"/>
  <c r="G8"/>
  <c r="H6"/>
  <c r="G6"/>
  <c r="S3"/>
  <c r="Q3" i="118" s="1"/>
  <c r="H37" i="114"/>
  <c r="G37"/>
  <c r="H36"/>
  <c r="G36"/>
  <c r="H33"/>
  <c r="G33"/>
  <c r="H32"/>
  <c r="G32"/>
  <c r="H31"/>
  <c r="G31"/>
  <c r="H30"/>
  <c r="G30"/>
  <c r="H29"/>
  <c r="G29"/>
  <c r="H28"/>
  <c r="G28"/>
  <c r="H27"/>
  <c r="G27"/>
  <c r="H26"/>
  <c r="G26"/>
  <c r="S23"/>
  <c r="K23"/>
  <c r="H23"/>
  <c r="G23"/>
  <c r="H22"/>
  <c r="G22"/>
  <c r="H21"/>
  <c r="G21"/>
  <c r="H20"/>
  <c r="G20"/>
  <c r="H19"/>
  <c r="G19"/>
  <c r="H18"/>
  <c r="G18"/>
  <c r="S17"/>
  <c r="I104" i="69" s="1"/>
  <c r="H104"/>
  <c r="K17" i="114"/>
  <c r="G104" i="69" s="1"/>
  <c r="H17" i="114"/>
  <c r="G17"/>
  <c r="H16"/>
  <c r="G16"/>
  <c r="H15"/>
  <c r="G15"/>
  <c r="H14"/>
  <c r="G14"/>
  <c r="H12"/>
  <c r="G12"/>
  <c r="H10"/>
  <c r="G10"/>
  <c r="H8"/>
  <c r="G8"/>
  <c r="H6"/>
  <c r="G6"/>
  <c r="S3"/>
  <c r="Q39" i="113"/>
  <c r="I36" i="69" s="1"/>
  <c r="M39" i="113"/>
  <c r="H36" i="69" s="1"/>
  <c r="I39" i="113"/>
  <c r="G36" i="69" s="1"/>
  <c r="H39" i="113"/>
  <c r="G39"/>
  <c r="Q38"/>
  <c r="I35" i="69" s="1"/>
  <c r="M38" i="113"/>
  <c r="H35" i="69" s="1"/>
  <c r="H38" i="113"/>
  <c r="G38"/>
  <c r="Q35"/>
  <c r="M35"/>
  <c r="I35"/>
  <c r="H35"/>
  <c r="G35"/>
  <c r="Q34"/>
  <c r="I31" i="69" s="1"/>
  <c r="M34" i="113"/>
  <c r="H31" i="69" s="1"/>
  <c r="I34" i="113"/>
  <c r="G31" i="69" s="1"/>
  <c r="H34" i="113"/>
  <c r="G34"/>
  <c r="Q33"/>
  <c r="I30" i="69" s="1"/>
  <c r="M33" i="113"/>
  <c r="H30" i="69" s="1"/>
  <c r="I33" i="113"/>
  <c r="G30" i="69" s="1"/>
  <c r="H33" i="113"/>
  <c r="G33"/>
  <c r="Q32"/>
  <c r="I29" i="69" s="1"/>
  <c r="M32" i="113"/>
  <c r="H29" i="69" s="1"/>
  <c r="I32" i="113"/>
  <c r="G29" i="69" s="1"/>
  <c r="H32" i="113"/>
  <c r="G32"/>
  <c r="Q31"/>
  <c r="I28" i="69" s="1"/>
  <c r="M31" i="113"/>
  <c r="H28" i="69" s="1"/>
  <c r="I31" i="113"/>
  <c r="G28" i="69" s="1"/>
  <c r="H31" i="113"/>
  <c r="G31"/>
  <c r="Q30"/>
  <c r="I27" i="69" s="1"/>
  <c r="M30" i="113"/>
  <c r="H27" i="69" s="1"/>
  <c r="I30" i="113"/>
  <c r="G27" i="69" s="1"/>
  <c r="H30" i="113"/>
  <c r="G30"/>
  <c r="Q29"/>
  <c r="I26" i="69" s="1"/>
  <c r="M29" i="113"/>
  <c r="H26" i="69" s="1"/>
  <c r="I29" i="113"/>
  <c r="G26" i="69" s="1"/>
  <c r="H29" i="113"/>
  <c r="G29"/>
  <c r="Q28"/>
  <c r="I25" i="69" s="1"/>
  <c r="M28" i="113"/>
  <c r="H25" i="69" s="1"/>
  <c r="I28" i="113"/>
  <c r="G25" i="69" s="1"/>
  <c r="H28" i="113"/>
  <c r="G28"/>
  <c r="S25"/>
  <c r="O25"/>
  <c r="K25"/>
  <c r="H25"/>
  <c r="G25"/>
  <c r="H24"/>
  <c r="G24"/>
  <c r="H23"/>
  <c r="G23"/>
  <c r="H22"/>
  <c r="G22"/>
  <c r="H21"/>
  <c r="G21"/>
  <c r="H20"/>
  <c r="G20"/>
  <c r="S19"/>
  <c r="I52" i="69" s="1"/>
  <c r="O19" i="113"/>
  <c r="H52" i="69" s="1"/>
  <c r="K19" i="113"/>
  <c r="G52" i="69" s="1"/>
  <c r="H19" i="113"/>
  <c r="G19"/>
  <c r="H18"/>
  <c r="G18"/>
  <c r="H17"/>
  <c r="G17"/>
  <c r="H16"/>
  <c r="G16"/>
  <c r="H14"/>
  <c r="G14"/>
  <c r="H12"/>
  <c r="G12"/>
  <c r="H9"/>
  <c r="G9"/>
  <c r="H6"/>
  <c r="G6"/>
  <c r="S3"/>
  <c r="I106" i="24"/>
  <c r="E74" i="112"/>
  <c r="E73"/>
  <c r="E69"/>
  <c r="E68"/>
  <c r="E58"/>
  <c r="E57"/>
  <c r="E51"/>
  <c r="E50"/>
  <c r="E43"/>
  <c r="E42"/>
  <c r="E36"/>
  <c r="E35"/>
  <c r="E31"/>
  <c r="E30"/>
  <c r="E24"/>
  <c r="E23"/>
  <c r="E5"/>
  <c r="E6"/>
  <c r="E11"/>
  <c r="E12"/>
  <c r="E16"/>
  <c r="E17"/>
  <c r="E4"/>
  <c r="S34" i="60"/>
  <c r="I73" i="46"/>
  <c r="I116" i="24"/>
  <c r="I130" s="1"/>
  <c r="I108"/>
  <c r="I30" i="60" s="1"/>
  <c r="I109" i="24"/>
  <c r="I31" i="60" s="1"/>
  <c r="D192" i="62" s="1"/>
  <c r="I101" i="24"/>
  <c r="I127" s="1"/>
  <c r="J73" i="7" s="1"/>
  <c r="I68" i="24"/>
  <c r="K35" i="46"/>
  <c r="I98" i="24"/>
  <c r="I26" i="60"/>
  <c r="I23" i="121" s="1"/>
  <c r="L70" i="24"/>
  <c r="G12" i="112"/>
  <c r="H24" i="56"/>
  <c r="H23"/>
  <c r="H22"/>
  <c r="H21"/>
  <c r="H20"/>
  <c r="H18"/>
  <c r="H17"/>
  <c r="H16"/>
  <c r="H15"/>
  <c r="H14"/>
  <c r="H12"/>
  <c r="H10"/>
  <c r="H8"/>
  <c r="H6"/>
  <c r="H39"/>
  <c r="H36"/>
  <c r="H35"/>
  <c r="H34"/>
  <c r="H33"/>
  <c r="H32"/>
  <c r="H31"/>
  <c r="H30"/>
  <c r="H29"/>
  <c r="H44"/>
  <c r="H43"/>
  <c r="H37" i="54"/>
  <c r="H36"/>
  <c r="H33"/>
  <c r="H32"/>
  <c r="H31"/>
  <c r="H30"/>
  <c r="H29"/>
  <c r="H28"/>
  <c r="H27"/>
  <c r="H26"/>
  <c r="H23"/>
  <c r="H22"/>
  <c r="H21"/>
  <c r="H20"/>
  <c r="H19"/>
  <c r="H18"/>
  <c r="H17"/>
  <c r="H16"/>
  <c r="H15"/>
  <c r="H14"/>
  <c r="H12"/>
  <c r="H10"/>
  <c r="H8"/>
  <c r="H6"/>
  <c r="I16" i="121" l="1"/>
  <c r="S34" i="120"/>
  <c r="S31" i="121"/>
  <c r="I8" i="117"/>
  <c r="G25" i="119" s="1"/>
  <c r="J16" i="7"/>
  <c r="J37"/>
  <c r="L89" i="24"/>
  <c r="J58" i="7"/>
  <c r="I11" i="117"/>
  <c r="G17" i="119"/>
  <c r="I34" i="56"/>
  <c r="I139" i="69"/>
  <c r="H39" i="61"/>
  <c r="H38"/>
  <c r="H35"/>
  <c r="H34"/>
  <c r="H33"/>
  <c r="H32"/>
  <c r="H31"/>
  <c r="H29"/>
  <c r="H30"/>
  <c r="H28"/>
  <c r="H25"/>
  <c r="H24"/>
  <c r="H23"/>
  <c r="H22"/>
  <c r="H21"/>
  <c r="H20"/>
  <c r="H19"/>
  <c r="H18"/>
  <c r="H17"/>
  <c r="H16"/>
  <c r="H14"/>
  <c r="H12"/>
  <c r="H9"/>
  <c r="H6"/>
  <c r="F120" i="10"/>
  <c r="F119"/>
  <c r="F105"/>
  <c r="F106"/>
  <c r="F107"/>
  <c r="F108"/>
  <c r="F109"/>
  <c r="F114"/>
  <c r="F115"/>
  <c r="F116"/>
  <c r="F130" s="1"/>
  <c r="F117"/>
  <c r="F131" s="1"/>
  <c r="F104"/>
  <c r="F80"/>
  <c r="F82"/>
  <c r="F84"/>
  <c r="F86"/>
  <c r="F88"/>
  <c r="F89"/>
  <c r="F95"/>
  <c r="F96"/>
  <c r="F97"/>
  <c r="I68" i="7"/>
  <c r="F99" i="10"/>
  <c r="F125" s="1"/>
  <c r="F100"/>
  <c r="F126" s="1"/>
  <c r="F101"/>
  <c r="I73" i="7" s="1"/>
  <c r="F78" i="10"/>
  <c r="F73"/>
  <c r="H75" i="58" s="1"/>
  <c r="F72" i="10"/>
  <c r="H36" i="58" s="1"/>
  <c r="F64" i="10"/>
  <c r="H65" i="58" s="1"/>
  <c r="F65" i="10"/>
  <c r="H28" i="58" s="1"/>
  <c r="H67"/>
  <c r="F67" i="10"/>
  <c r="H68" i="58" s="1"/>
  <c r="F68" i="10"/>
  <c r="H69" i="58" s="1"/>
  <c r="F69" i="10"/>
  <c r="H32" i="58" s="1"/>
  <c r="H71"/>
  <c r="F63" i="10"/>
  <c r="H64" i="58" s="1"/>
  <c r="F45" i="10"/>
  <c r="H46" i="58" s="1"/>
  <c r="F47" i="10"/>
  <c r="H10" i="58" s="1"/>
  <c r="F49" i="10"/>
  <c r="H50" i="58" s="1"/>
  <c r="F51" i="10"/>
  <c r="H14" i="58" s="1"/>
  <c r="F52" i="10"/>
  <c r="H53" i="58" s="1"/>
  <c r="H16"/>
  <c r="I44" i="7"/>
  <c r="H56" i="58"/>
  <c r="H57"/>
  <c r="H20"/>
  <c r="H59"/>
  <c r="F59" i="10"/>
  <c r="F60"/>
  <c r="F43"/>
  <c r="H6" i="58" s="1"/>
  <c r="F38" i="10"/>
  <c r="H39" i="46" s="1"/>
  <c r="F37" i="10"/>
  <c r="H78" i="46" s="1"/>
  <c r="F29" i="10"/>
  <c r="F30"/>
  <c r="H71" i="46"/>
  <c r="F32" i="10"/>
  <c r="H75" i="46"/>
  <c r="F28" i="10"/>
  <c r="F9"/>
  <c r="H49" i="46" s="1"/>
  <c r="F12" i="10"/>
  <c r="H52" i="46" s="1"/>
  <c r="F14" i="10"/>
  <c r="H54" i="46" s="1"/>
  <c r="F16" i="10"/>
  <c r="H16" i="46" s="1"/>
  <c r="F17" i="10"/>
  <c r="H57" i="46" s="1"/>
  <c r="H58"/>
  <c r="F19" i="10"/>
  <c r="H60" i="46"/>
  <c r="F21" i="10"/>
  <c r="H61" i="46" s="1"/>
  <c r="H22"/>
  <c r="H63"/>
  <c r="F24" i="10"/>
  <c r="F25"/>
  <c r="F6"/>
  <c r="H6" i="46" s="1"/>
  <c r="AA34" i="60"/>
  <c r="Y34"/>
  <c r="Q34"/>
  <c r="AA75"/>
  <c r="Y75"/>
  <c r="K75"/>
  <c r="D74" i="112"/>
  <c r="D73"/>
  <c r="E88" i="10"/>
  <c r="G88"/>
  <c r="E89"/>
  <c r="G89"/>
  <c r="D12" i="112"/>
  <c r="A1" i="7"/>
  <c r="G40" i="56"/>
  <c r="AU115" i="24"/>
  <c r="S40" i="115" s="1"/>
  <c r="AR115" i="24"/>
  <c r="Q40" i="115" s="1"/>
  <c r="AN115" i="24"/>
  <c r="AK115"/>
  <c r="M40" i="115" s="1"/>
  <c r="AG115" i="24"/>
  <c r="K40" i="115" s="1"/>
  <c r="AD115" i="24"/>
  <c r="I40" i="115" s="1"/>
  <c r="Z115" i="24"/>
  <c r="S40" i="56" s="1"/>
  <c r="W115" i="24"/>
  <c r="Q40" i="56" s="1"/>
  <c r="S115" i="24"/>
  <c r="O40" i="56" s="1"/>
  <c r="P115" i="24"/>
  <c r="M40" i="56" s="1"/>
  <c r="L115" i="24"/>
  <c r="K40" i="56" s="1"/>
  <c r="I115" i="24"/>
  <c r="I40" i="56" s="1"/>
  <c r="P108" i="24"/>
  <c r="E115" i="10"/>
  <c r="E104"/>
  <c r="E105"/>
  <c r="E106"/>
  <c r="E107"/>
  <c r="E108"/>
  <c r="E109"/>
  <c r="E114"/>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E120" i="10"/>
  <c r="E119"/>
  <c r="E116"/>
  <c r="E130" s="1"/>
  <c r="E117"/>
  <c r="E131" s="1"/>
  <c r="G80"/>
  <c r="G82"/>
  <c r="G84"/>
  <c r="G86"/>
  <c r="G90"/>
  <c r="G92"/>
  <c r="G95"/>
  <c r="G96"/>
  <c r="G97"/>
  <c r="G98"/>
  <c r="G99"/>
  <c r="W14" i="121" s="1"/>
  <c r="G100" i="10"/>
  <c r="G101"/>
  <c r="G78"/>
  <c r="E80"/>
  <c r="E82"/>
  <c r="E84"/>
  <c r="E86"/>
  <c r="E95"/>
  <c r="E96"/>
  <c r="E97"/>
  <c r="E98"/>
  <c r="E99"/>
  <c r="E125" s="1"/>
  <c r="E100"/>
  <c r="E126" s="1"/>
  <c r="E101"/>
  <c r="E127" s="1"/>
  <c r="E78"/>
  <c r="E73"/>
  <c r="G75" i="58" s="1"/>
  <c r="E72" i="10"/>
  <c r="G74" i="58" s="1"/>
  <c r="E64" i="10"/>
  <c r="G65" i="58" s="1"/>
  <c r="E65" i="10"/>
  <c r="G66" i="58" s="1"/>
  <c r="G67"/>
  <c r="E67" i="10"/>
  <c r="G68" i="58" s="1"/>
  <c r="E68" i="10"/>
  <c r="G69" i="58" s="1"/>
  <c r="E69" i="10"/>
  <c r="G70" i="58" s="1"/>
  <c r="G71"/>
  <c r="E63" i="10"/>
  <c r="G64" i="58" s="1"/>
  <c r="G45" i="10"/>
  <c r="G47"/>
  <c r="G49"/>
  <c r="O12" i="58" s="1"/>
  <c r="O13" s="1"/>
  <c r="G51" i="10"/>
  <c r="G59"/>
  <c r="G43"/>
  <c r="E45"/>
  <c r="G46" i="58" s="1"/>
  <c r="E47" i="10"/>
  <c r="G48" i="58" s="1"/>
  <c r="E49" i="10"/>
  <c r="G50" i="58" s="1"/>
  <c r="E51" i="10"/>
  <c r="G52" i="58" s="1"/>
  <c r="G53"/>
  <c r="G54"/>
  <c r="G55"/>
  <c r="G56"/>
  <c r="G57"/>
  <c r="G58"/>
  <c r="G59"/>
  <c r="E59" i="10"/>
  <c r="E60"/>
  <c r="E43"/>
  <c r="G44" i="58" s="1"/>
  <c r="E38" i="10"/>
  <c r="G79" i="46" s="1"/>
  <c r="E37" i="10"/>
  <c r="G78" i="46" s="1"/>
  <c r="E29" i="10"/>
  <c r="E30"/>
  <c r="G70" i="46" s="1"/>
  <c r="G71"/>
  <c r="E32" i="10"/>
  <c r="G73" i="46"/>
  <c r="G75"/>
  <c r="E28" i="10"/>
  <c r="G9"/>
  <c r="G12"/>
  <c r="G14"/>
  <c r="G16"/>
  <c r="G17"/>
  <c r="G18"/>
  <c r="G19"/>
  <c r="G20"/>
  <c r="G21"/>
  <c r="G24"/>
  <c r="O24" i="46" s="1"/>
  <c r="G6" i="10"/>
  <c r="E9"/>
  <c r="G49" i="46" s="1"/>
  <c r="E12" i="10"/>
  <c r="G52" i="46" s="1"/>
  <c r="E14" i="10"/>
  <c r="G54" i="46" s="1"/>
  <c r="E16" i="10"/>
  <c r="G56" i="46" s="1"/>
  <c r="E17" i="10"/>
  <c r="G57" i="46" s="1"/>
  <c r="G58"/>
  <c r="E19" i="10"/>
  <c r="G59" i="46" s="1"/>
  <c r="G60"/>
  <c r="E21" i="10"/>
  <c r="G61" i="46" s="1"/>
  <c r="G62"/>
  <c r="G63"/>
  <c r="E24" i="10"/>
  <c r="E25"/>
  <c r="E6"/>
  <c r="G46" i="46" s="1"/>
  <c r="G44" i="56"/>
  <c r="G43"/>
  <c r="G39"/>
  <c r="G36"/>
  <c r="G35"/>
  <c r="G34"/>
  <c r="G33"/>
  <c r="G32"/>
  <c r="G29"/>
  <c r="G26"/>
  <c r="G25"/>
  <c r="G24"/>
  <c r="G23"/>
  <c r="G22"/>
  <c r="G21"/>
  <c r="G20"/>
  <c r="G18"/>
  <c r="G17"/>
  <c r="G16"/>
  <c r="G15"/>
  <c r="G14"/>
  <c r="G12"/>
  <c r="G10"/>
  <c r="G8"/>
  <c r="G6"/>
  <c r="O16" i="120" l="1"/>
  <c r="W16"/>
  <c r="AL90" i="10"/>
  <c r="AN90" s="1"/>
  <c r="AL91"/>
  <c r="AN91" s="1"/>
  <c r="AE91"/>
  <c r="AG91" s="1"/>
  <c r="X91"/>
  <c r="Z91" s="1"/>
  <c r="Q91"/>
  <c r="S91" s="1"/>
  <c r="AS91"/>
  <c r="AU91" s="1"/>
  <c r="J91"/>
  <c r="L91" s="1"/>
  <c r="O12" i="121"/>
  <c r="O13" s="1"/>
  <c r="O12" i="120"/>
  <c r="O13" s="1"/>
  <c r="W41" i="121"/>
  <c r="W42" s="1"/>
  <c r="W49" i="120"/>
  <c r="W50" s="1"/>
  <c r="O6" i="121"/>
  <c r="O7" s="1"/>
  <c r="O6" i="120"/>
  <c r="O7" s="1"/>
  <c r="W63"/>
  <c r="AE22"/>
  <c r="O22"/>
  <c r="AE63"/>
  <c r="O63"/>
  <c r="W22"/>
  <c r="AE64" i="46"/>
  <c r="W64"/>
  <c r="O64"/>
  <c r="AE24"/>
  <c r="W24"/>
  <c r="W58"/>
  <c r="AE18"/>
  <c r="O18"/>
  <c r="AE58"/>
  <c r="O58"/>
  <c r="W18"/>
  <c r="H57" i="60"/>
  <c r="H16"/>
  <c r="G31"/>
  <c r="G72"/>
  <c r="G17"/>
  <c r="G58"/>
  <c r="G57"/>
  <c r="G16"/>
  <c r="I66" i="7"/>
  <c r="H58" i="60"/>
  <c r="H17"/>
  <c r="H31"/>
  <c r="H72"/>
  <c r="G68" i="46"/>
  <c r="G28"/>
  <c r="G69"/>
  <c r="G29"/>
  <c r="H68"/>
  <c r="H28"/>
  <c r="H74"/>
  <c r="H34"/>
  <c r="H72"/>
  <c r="H32"/>
  <c r="H30"/>
  <c r="H70"/>
  <c r="G74"/>
  <c r="G34"/>
  <c r="G72"/>
  <c r="G32"/>
  <c r="H33"/>
  <c r="H73"/>
  <c r="H69"/>
  <c r="H29"/>
  <c r="J127" i="24"/>
  <c r="I75" i="120"/>
  <c r="I64" i="121"/>
  <c r="K75" i="120"/>
  <c r="K64" i="121"/>
  <c r="Q75" i="120"/>
  <c r="Q64" i="121"/>
  <c r="S75" i="120"/>
  <c r="S64" i="121"/>
  <c r="Y75" i="120"/>
  <c r="Y64" i="121"/>
  <c r="AA75" i="120"/>
  <c r="AA64" i="121"/>
  <c r="Q34" i="120"/>
  <c r="Q31" i="121"/>
  <c r="S35" i="120"/>
  <c r="Y35"/>
  <c r="AA35"/>
  <c r="I76"/>
  <c r="K76"/>
  <c r="Q76"/>
  <c r="S76"/>
  <c r="Y76"/>
  <c r="AA76"/>
  <c r="Q35"/>
  <c r="Y34"/>
  <c r="Y31" i="121"/>
  <c r="AA34" i="120"/>
  <c r="AA31" i="121"/>
  <c r="G52"/>
  <c r="G19"/>
  <c r="G50"/>
  <c r="G17"/>
  <c r="G43"/>
  <c r="G10"/>
  <c r="AL100" i="10"/>
  <c r="AN100" s="1"/>
  <c r="AL127"/>
  <c r="G59" i="121"/>
  <c r="G26"/>
  <c r="G57"/>
  <c r="G24"/>
  <c r="H52"/>
  <c r="H19"/>
  <c r="H50"/>
  <c r="H17"/>
  <c r="H43"/>
  <c r="H10"/>
  <c r="H56"/>
  <c r="H23"/>
  <c r="H59"/>
  <c r="H26"/>
  <c r="H57"/>
  <c r="H24"/>
  <c r="G39"/>
  <c r="G6"/>
  <c r="G53"/>
  <c r="G20"/>
  <c r="G51"/>
  <c r="G18"/>
  <c r="G45"/>
  <c r="G12"/>
  <c r="G41"/>
  <c r="G8"/>
  <c r="AL99" i="10"/>
  <c r="AN99" s="1"/>
  <c r="AL125"/>
  <c r="G62" i="121"/>
  <c r="G29"/>
  <c r="G58"/>
  <c r="G25"/>
  <c r="G56"/>
  <c r="G23"/>
  <c r="H6"/>
  <c r="H39"/>
  <c r="H20"/>
  <c r="H53"/>
  <c r="H18"/>
  <c r="H51"/>
  <c r="H45"/>
  <c r="H12"/>
  <c r="H41"/>
  <c r="H8"/>
  <c r="H62"/>
  <c r="H29"/>
  <c r="H58"/>
  <c r="H25"/>
  <c r="H64"/>
  <c r="H31"/>
  <c r="G63"/>
  <c r="G30"/>
  <c r="G64"/>
  <c r="G31"/>
  <c r="H63"/>
  <c r="H30"/>
  <c r="F127" i="10"/>
  <c r="H19" i="46"/>
  <c r="H79"/>
  <c r="H9"/>
  <c r="H59"/>
  <c r="H27" i="58"/>
  <c r="AE6" i="46"/>
  <c r="O6"/>
  <c r="G47" i="60"/>
  <c r="G47" i="120"/>
  <c r="G6"/>
  <c r="G62" i="60"/>
  <c r="G62" i="120"/>
  <c r="G21"/>
  <c r="G60" i="60"/>
  <c r="G60" i="120"/>
  <c r="G19"/>
  <c r="G56" i="60"/>
  <c r="G56" i="120"/>
  <c r="G15"/>
  <c r="G53" i="60"/>
  <c r="G53" i="120"/>
  <c r="G12"/>
  <c r="G49" i="60"/>
  <c r="G49" i="120"/>
  <c r="G8"/>
  <c r="G81" i="60"/>
  <c r="G81" i="120"/>
  <c r="G40"/>
  <c r="G73" i="60"/>
  <c r="G73" i="120"/>
  <c r="G32"/>
  <c r="G71" i="60"/>
  <c r="G71" i="120"/>
  <c r="G30"/>
  <c r="G69" i="60"/>
  <c r="G69" i="120"/>
  <c r="G28"/>
  <c r="G26" i="60"/>
  <c r="G67" i="120"/>
  <c r="G26"/>
  <c r="H47" i="60"/>
  <c r="H6" i="120"/>
  <c r="H47"/>
  <c r="H62" i="60"/>
  <c r="H21" i="120"/>
  <c r="H62"/>
  <c r="H60" i="60"/>
  <c r="H19" i="120"/>
  <c r="H60"/>
  <c r="H56" i="60"/>
  <c r="H15" i="120"/>
  <c r="H56"/>
  <c r="H53" i="60"/>
  <c r="H12" i="120"/>
  <c r="H53"/>
  <c r="H49" i="60"/>
  <c r="H8" i="120"/>
  <c r="H49"/>
  <c r="H75" i="60"/>
  <c r="H34" i="120"/>
  <c r="H75"/>
  <c r="H73" i="60"/>
  <c r="H32" i="120"/>
  <c r="H73"/>
  <c r="H71" i="60"/>
  <c r="H30" i="120"/>
  <c r="H71"/>
  <c r="H69" i="60"/>
  <c r="H28" i="120"/>
  <c r="H69"/>
  <c r="H80" i="60"/>
  <c r="H39" i="120"/>
  <c r="H80"/>
  <c r="G20" i="60"/>
  <c r="G61" i="120"/>
  <c r="G20"/>
  <c r="G18" i="60"/>
  <c r="G59" i="120"/>
  <c r="G18"/>
  <c r="G14" i="60"/>
  <c r="G55" i="120"/>
  <c r="G14"/>
  <c r="G10" i="60"/>
  <c r="G51" i="120"/>
  <c r="G10"/>
  <c r="G80" i="60"/>
  <c r="G80" i="120"/>
  <c r="G39"/>
  <c r="G33" i="60"/>
  <c r="G74" i="120"/>
  <c r="G33"/>
  <c r="G70" i="60"/>
  <c r="G70" i="120"/>
  <c r="G29"/>
  <c r="G68" i="60"/>
  <c r="G68" i="120"/>
  <c r="G27"/>
  <c r="G34" i="60"/>
  <c r="G75" i="120"/>
  <c r="G34"/>
  <c r="H20" i="60"/>
  <c r="H20" i="120"/>
  <c r="H61"/>
  <c r="H18" i="60"/>
  <c r="H18" i="120"/>
  <c r="H59"/>
  <c r="H14" i="60"/>
  <c r="H14" i="120"/>
  <c r="H55"/>
  <c r="H10" i="60"/>
  <c r="H10" i="120"/>
  <c r="H51"/>
  <c r="H67" i="60"/>
  <c r="H26" i="120"/>
  <c r="H67"/>
  <c r="H74" i="60"/>
  <c r="H33" i="120"/>
  <c r="H74"/>
  <c r="H70" i="60"/>
  <c r="H29" i="120"/>
  <c r="H70"/>
  <c r="H68" i="60"/>
  <c r="H27" i="120"/>
  <c r="H68"/>
  <c r="H81" i="60"/>
  <c r="H40" i="120"/>
  <c r="H81"/>
  <c r="H17" i="46"/>
  <c r="H23"/>
  <c r="H19" i="58"/>
  <c r="H51" i="60"/>
  <c r="H59"/>
  <c r="H38" i="46"/>
  <c r="H56"/>
  <c r="H74" i="58"/>
  <c r="H46" i="46"/>
  <c r="H62"/>
  <c r="H66" i="58"/>
  <c r="H58"/>
  <c r="H15" i="60"/>
  <c r="H39"/>
  <c r="H12" i="46"/>
  <c r="H18"/>
  <c r="H20"/>
  <c r="H17" i="58"/>
  <c r="H37"/>
  <c r="H55"/>
  <c r="H40" i="60"/>
  <c r="H55"/>
  <c r="H21" i="46"/>
  <c r="H14"/>
  <c r="H21" i="58"/>
  <c r="H18"/>
  <c r="H54"/>
  <c r="H15"/>
  <c r="H52"/>
  <c r="H12"/>
  <c r="H48"/>
  <c r="H8"/>
  <c r="H44"/>
  <c r="H21" i="60"/>
  <c r="H61"/>
  <c r="H19"/>
  <c r="H12"/>
  <c r="H8"/>
  <c r="H6"/>
  <c r="H32"/>
  <c r="H30"/>
  <c r="H29"/>
  <c r="H28"/>
  <c r="H27"/>
  <c r="H33" i="58"/>
  <c r="H70"/>
  <c r="H29"/>
  <c r="H26"/>
  <c r="H35" i="46"/>
  <c r="H31"/>
  <c r="H26" i="60"/>
  <c r="H30" i="58"/>
  <c r="H31"/>
  <c r="H33" i="60"/>
  <c r="H34"/>
  <c r="G6" i="46"/>
  <c r="G12"/>
  <c r="G16"/>
  <c r="G18"/>
  <c r="G20"/>
  <c r="G22"/>
  <c r="G30"/>
  <c r="G33"/>
  <c r="G38"/>
  <c r="G6" i="58"/>
  <c r="G10"/>
  <c r="G14"/>
  <c r="G16"/>
  <c r="G18"/>
  <c r="G20"/>
  <c r="G26"/>
  <c r="G28"/>
  <c r="G30"/>
  <c r="G32"/>
  <c r="G36"/>
  <c r="G6" i="60"/>
  <c r="G12"/>
  <c r="G15"/>
  <c r="G19"/>
  <c r="G21"/>
  <c r="G28"/>
  <c r="G30"/>
  <c r="G32"/>
  <c r="G40"/>
  <c r="G75"/>
  <c r="G51"/>
  <c r="G55"/>
  <c r="G59"/>
  <c r="G61"/>
  <c r="G9" i="46"/>
  <c r="G14"/>
  <c r="G17"/>
  <c r="G19"/>
  <c r="G21"/>
  <c r="G23"/>
  <c r="G31"/>
  <c r="G35"/>
  <c r="G39"/>
  <c r="G8" i="58"/>
  <c r="G12"/>
  <c r="G15"/>
  <c r="G17"/>
  <c r="G19"/>
  <c r="G21"/>
  <c r="G27"/>
  <c r="G29"/>
  <c r="G31"/>
  <c r="G33"/>
  <c r="G37"/>
  <c r="G8" i="60"/>
  <c r="G27"/>
  <c r="G29"/>
  <c r="G39"/>
  <c r="G74"/>
  <c r="G67"/>
  <c r="J127" i="10"/>
  <c r="A80" i="7"/>
  <c r="E78"/>
  <c r="E84" s="1"/>
  <c r="E77"/>
  <c r="E76"/>
  <c r="I143" i="69"/>
  <c r="W120" i="24"/>
  <c r="AK119"/>
  <c r="AD119"/>
  <c r="AD120"/>
  <c r="B2" i="112"/>
  <c r="D69"/>
  <c r="D68"/>
  <c r="D58"/>
  <c r="D57"/>
  <c r="D51"/>
  <c r="D50"/>
  <c r="D43"/>
  <c r="D42"/>
  <c r="D36"/>
  <c r="D35"/>
  <c r="D31"/>
  <c r="D30"/>
  <c r="D24"/>
  <c r="D23"/>
  <c r="D17"/>
  <c r="D16"/>
  <c r="D11"/>
  <c r="D5"/>
  <c r="D4"/>
  <c r="AN125" i="10" l="1"/>
  <c r="S47" i="121"/>
  <c r="AN126" i="10"/>
  <c r="S48" i="121"/>
  <c r="E82" i="7"/>
  <c r="E83"/>
  <c r="I44" i="115"/>
  <c r="G143" i="69" s="1"/>
  <c r="M43" i="115"/>
  <c r="H142" i="69" s="1"/>
  <c r="C44" i="102"/>
  <c r="I43" i="115"/>
  <c r="G142" i="69" s="1"/>
  <c r="Q44" i="56"/>
  <c r="AR97" i="24"/>
  <c r="AK97"/>
  <c r="AD97"/>
  <c r="W97"/>
  <c r="I68" i="112" s="1"/>
  <c r="P97" i="24"/>
  <c r="H68" i="112" s="1"/>
  <c r="O26" i="56"/>
  <c r="K26"/>
  <c r="AR98" i="24"/>
  <c r="Q26" i="115" s="1"/>
  <c r="AK98" i="24"/>
  <c r="M26" i="115" s="1"/>
  <c r="AD98" i="24"/>
  <c r="I26" i="115" s="1"/>
  <c r="W98" i="24"/>
  <c r="P98"/>
  <c r="AR101"/>
  <c r="AD101"/>
  <c r="W101"/>
  <c r="AR89"/>
  <c r="AK89"/>
  <c r="AD89"/>
  <c r="W89"/>
  <c r="I58" i="112" s="1"/>
  <c r="H58"/>
  <c r="G58"/>
  <c r="AR54" i="24"/>
  <c r="AK54"/>
  <c r="AD54"/>
  <c r="W54"/>
  <c r="I31" i="112" s="1"/>
  <c r="P54" i="24"/>
  <c r="H31" i="112" s="1"/>
  <c r="G31"/>
  <c r="AR19" i="24"/>
  <c r="AK19"/>
  <c r="AD19"/>
  <c r="W19"/>
  <c r="I12" i="112" s="1"/>
  <c r="P19" i="24"/>
  <c r="H12" i="112" s="1"/>
  <c r="H73" i="7"/>
  <c r="H68"/>
  <c r="H66"/>
  <c r="H44"/>
  <c r="Y58" i="120"/>
  <c r="I221" i="62" s="1"/>
  <c r="Q58" i="120"/>
  <c r="H221" i="62" s="1"/>
  <c r="I58" i="120"/>
  <c r="G221" i="62" s="1"/>
  <c r="Y17" i="120"/>
  <c r="F221" i="62" s="1"/>
  <c r="Q17" i="120"/>
  <c r="E221" i="62" s="1"/>
  <c r="AR89" i="10"/>
  <c r="Y58" i="60" s="1"/>
  <c r="I180" i="62" s="1"/>
  <c r="Q58" i="60"/>
  <c r="H180" i="62" s="1"/>
  <c r="I58" i="60"/>
  <c r="G180" i="62" s="1"/>
  <c r="Y17" i="60"/>
  <c r="F180" i="62" s="1"/>
  <c r="P89" i="10"/>
  <c r="Q17" i="60" s="1"/>
  <c r="E180" i="62" s="1"/>
  <c r="AR54" i="10"/>
  <c r="Y23" i="120" s="1"/>
  <c r="Q23"/>
  <c r="AD54" i="10"/>
  <c r="W54"/>
  <c r="P54"/>
  <c r="AR19"/>
  <c r="AK19"/>
  <c r="AD19"/>
  <c r="W19"/>
  <c r="P19"/>
  <c r="AQ97" i="24"/>
  <c r="AJ97"/>
  <c r="AC97"/>
  <c r="V97"/>
  <c r="O97"/>
  <c r="H97"/>
  <c r="AQ97" i="10"/>
  <c r="Y57" i="120" s="1"/>
  <c r="I220" i="62" s="1"/>
  <c r="AJ97" i="10"/>
  <c r="Q57" i="120" s="1"/>
  <c r="H220" i="62" s="1"/>
  <c r="AC97" i="10"/>
  <c r="I57" i="120" s="1"/>
  <c r="G220" i="62" s="1"/>
  <c r="V97" i="10"/>
  <c r="Y16" i="120" s="1"/>
  <c r="F220" i="62" s="1"/>
  <c r="O97" i="10"/>
  <c r="Q16" i="120" s="1"/>
  <c r="E220" i="62" s="1"/>
  <c r="H97" i="10"/>
  <c r="I16" i="120" s="1"/>
  <c r="D220" i="62" s="1"/>
  <c r="G73" i="65"/>
  <c r="G72"/>
  <c r="I55" i="58" l="1"/>
  <c r="I23" i="120"/>
  <c r="I97" i="24"/>
  <c r="G68" i="112" s="1"/>
  <c r="Q26" i="56"/>
  <c r="I69" i="112"/>
  <c r="Q8" i="117"/>
  <c r="Q25" i="119" s="1"/>
  <c r="W127" i="24"/>
  <c r="L73" i="7" s="1"/>
  <c r="Q8" i="118"/>
  <c r="AF25" i="119" s="1"/>
  <c r="AR127" i="24"/>
  <c r="I8" i="118"/>
  <c r="V25" i="119" s="1"/>
  <c r="AD127" i="24"/>
  <c r="M26" i="56"/>
  <c r="H69" i="112"/>
  <c r="K16" i="7"/>
  <c r="M16"/>
  <c r="O16"/>
  <c r="K37"/>
  <c r="M37"/>
  <c r="O37"/>
  <c r="K58"/>
  <c r="M58"/>
  <c r="O58"/>
  <c r="M25" i="115"/>
  <c r="L16" i="7"/>
  <c r="C11" i="102"/>
  <c r="N16" i="7"/>
  <c r="L37"/>
  <c r="C25" i="102"/>
  <c r="N37" i="7"/>
  <c r="L58"/>
  <c r="C39" i="102"/>
  <c r="N58" i="7"/>
  <c r="Q97" i="24"/>
  <c r="Q25" i="115"/>
  <c r="H72" i="69"/>
  <c r="Z89" i="24"/>
  <c r="AN89"/>
  <c r="M19" i="113"/>
  <c r="H18" i="69" s="1"/>
  <c r="I19" i="113"/>
  <c r="G18" i="69" s="1"/>
  <c r="Q19" i="113"/>
  <c r="I18" i="69" s="1"/>
  <c r="I17" i="114"/>
  <c r="G72" i="69" s="1"/>
  <c r="Q17" i="114"/>
  <c r="I72" i="69" s="1"/>
  <c r="S89" i="24"/>
  <c r="AG89"/>
  <c r="I17" i="115"/>
  <c r="AU89" i="24"/>
  <c r="Q17" i="115"/>
  <c r="AE97" i="24"/>
  <c r="I25" i="115"/>
  <c r="AL97" i="10"/>
  <c r="AN97" s="1"/>
  <c r="S57" i="120" s="1"/>
  <c r="H222" i="62" s="1"/>
  <c r="AE97" i="10"/>
  <c r="AG97" s="1"/>
  <c r="K57" i="120" s="1"/>
  <c r="G222" i="62" s="1"/>
  <c r="X97" i="10"/>
  <c r="Z97" s="1"/>
  <c r="AA16" i="120" s="1"/>
  <c r="F222" i="62" s="1"/>
  <c r="Q97" i="10"/>
  <c r="S97" s="1"/>
  <c r="S16" i="120" s="1"/>
  <c r="E222" i="62" s="1"/>
  <c r="AS97" i="10"/>
  <c r="AU97" s="1"/>
  <c r="AA57" i="120" s="1"/>
  <c r="I222" i="62" s="1"/>
  <c r="AG97" i="24"/>
  <c r="K25" i="115" s="1"/>
  <c r="I26" i="56"/>
  <c r="G69" i="112"/>
  <c r="I25" i="56"/>
  <c r="AU97" i="24"/>
  <c r="S25" i="115" s="1"/>
  <c r="AS97" i="24"/>
  <c r="AL97"/>
  <c r="Z97"/>
  <c r="S25" i="56" s="1"/>
  <c r="X97" i="24"/>
  <c r="M25" i="56"/>
  <c r="S97" i="24"/>
  <c r="O25" i="56" s="1"/>
  <c r="Q25"/>
  <c r="J97" i="24" l="1"/>
  <c r="AE127"/>
  <c r="M73" i="7"/>
  <c r="AS127" i="24"/>
  <c r="O73" i="7"/>
  <c r="I125" i="69"/>
  <c r="AF17" i="119"/>
  <c r="G125" i="69"/>
  <c r="V17" i="119"/>
  <c r="H125" i="69"/>
  <c r="AA17" i="119"/>
  <c r="J97" i="10"/>
  <c r="L97" s="1"/>
  <c r="K16" i="120" s="1"/>
  <c r="D222" i="62" s="1"/>
  <c r="AN97" i="24"/>
  <c r="O25" i="115" s="1"/>
  <c r="L97" i="24"/>
  <c r="K25" i="56" s="1"/>
  <c r="M41" i="88"/>
  <c r="N41" s="1"/>
  <c r="AR109" i="24"/>
  <c r="Y72" i="60" s="1"/>
  <c r="I192" i="62" s="1"/>
  <c r="O41" i="88" l="1"/>
  <c r="Q41" s="1"/>
  <c r="Q34" i="115"/>
  <c r="I137" i="69" s="1"/>
  <c r="C65" i="65"/>
  <c r="C66" s="1"/>
  <c r="D65"/>
  <c r="D66" s="1"/>
  <c r="E65"/>
  <c r="E66" s="1"/>
  <c r="B65"/>
  <c r="B66" s="1"/>
  <c r="AR96" i="10" l="1"/>
  <c r="Y64" i="60" s="1"/>
  <c r="Q64"/>
  <c r="AD96" i="10"/>
  <c r="I64" i="60" s="1"/>
  <c r="W96" i="10"/>
  <c r="Y23" i="60" s="1"/>
  <c r="Q23"/>
  <c r="I96" i="10"/>
  <c r="Y61" i="58"/>
  <c r="Q61"/>
  <c r="I61"/>
  <c r="Y23"/>
  <c r="Q23"/>
  <c r="AR25" i="10"/>
  <c r="Y65" i="46" s="1"/>
  <c r="AK25" i="10"/>
  <c r="Q65" i="46" s="1"/>
  <c r="AD25" i="10"/>
  <c r="I65" i="46" s="1"/>
  <c r="W25" i="10"/>
  <c r="Y25" i="46" s="1"/>
  <c r="P25" i="10"/>
  <c r="Q25" i="46" s="1"/>
  <c r="AR101" i="10"/>
  <c r="Y49" i="121" s="1"/>
  <c r="AD101" i="10"/>
  <c r="W101"/>
  <c r="E5" i="94"/>
  <c r="E6"/>
  <c r="E7"/>
  <c r="E8"/>
  <c r="E4"/>
  <c r="E3"/>
  <c r="H74" i="112" l="1"/>
  <c r="I23" i="60"/>
  <c r="Y16" i="121"/>
  <c r="W127" i="10"/>
  <c r="AR127"/>
  <c r="AS127" s="1"/>
  <c r="AD127"/>
  <c r="AE127" s="1"/>
  <c r="I49" i="121"/>
  <c r="J65" i="7"/>
  <c r="G74" i="112" l="1"/>
  <c r="AG114" i="24" l="1"/>
  <c r="K39" i="115" s="1"/>
  <c r="AD114" i="24"/>
  <c r="I39" i="115" s="1"/>
  <c r="AU114" i="24"/>
  <c r="S39" i="115" s="1"/>
  <c r="AR114" i="24"/>
  <c r="Q39" i="115" s="1"/>
  <c r="Z114" i="24"/>
  <c r="S39" i="56" s="1"/>
  <c r="W114" i="24"/>
  <c r="Q39" i="56" s="1"/>
  <c r="K39"/>
  <c r="I39"/>
  <c r="AE23" i="46"/>
  <c r="AE22"/>
  <c r="AE21"/>
  <c r="AE20"/>
  <c r="AE17"/>
  <c r="AE16"/>
  <c r="AE14"/>
  <c r="AE15" s="1"/>
  <c r="AE12"/>
  <c r="AE13" s="1"/>
  <c r="AE9"/>
  <c r="AE10" s="1"/>
  <c r="AE11" s="1"/>
  <c r="AE7"/>
  <c r="AE8" s="1"/>
  <c r="W23"/>
  <c r="W22"/>
  <c r="W21"/>
  <c r="W20"/>
  <c r="W17"/>
  <c r="W16"/>
  <c r="W14"/>
  <c r="W15" s="1"/>
  <c r="W12"/>
  <c r="W13" s="1"/>
  <c r="W9"/>
  <c r="W10" s="1"/>
  <c r="W11" s="1"/>
  <c r="W6"/>
  <c r="W7" s="1"/>
  <c r="W8" s="1"/>
  <c r="AD41" i="58"/>
  <c r="AD3"/>
  <c r="O46" i="46"/>
  <c r="O47" s="1"/>
  <c r="O48" s="1"/>
  <c r="AD44" i="60"/>
  <c r="AD3"/>
  <c r="AD43" i="46"/>
  <c r="AD3"/>
  <c r="AE63"/>
  <c r="AE62"/>
  <c r="AE61"/>
  <c r="AE60"/>
  <c r="AE57"/>
  <c r="AE56"/>
  <c r="AE54"/>
  <c r="AE55" s="1"/>
  <c r="AE52"/>
  <c r="AE53" s="1"/>
  <c r="AE49"/>
  <c r="AE50" s="1"/>
  <c r="AE51" s="1"/>
  <c r="AE46"/>
  <c r="AE47" s="1"/>
  <c r="AE48" s="1"/>
  <c r="W63"/>
  <c r="W62"/>
  <c r="W61"/>
  <c r="W60"/>
  <c r="W57"/>
  <c r="W56"/>
  <c r="W54"/>
  <c r="W55" s="1"/>
  <c r="W52"/>
  <c r="W53" s="1"/>
  <c r="W49"/>
  <c r="W50" s="1"/>
  <c r="W51" s="1"/>
  <c r="W46"/>
  <c r="W47" s="1"/>
  <c r="W48" s="1"/>
  <c r="O63"/>
  <c r="O62"/>
  <c r="O61"/>
  <c r="O60"/>
  <c r="O57"/>
  <c r="O56"/>
  <c r="O54"/>
  <c r="O55" s="1"/>
  <c r="O52"/>
  <c r="O53" s="1"/>
  <c r="O49"/>
  <c r="O50" s="1"/>
  <c r="O51" s="1"/>
  <c r="O23"/>
  <c r="O22"/>
  <c r="O21"/>
  <c r="O20"/>
  <c r="O17"/>
  <c r="O16"/>
  <c r="O14"/>
  <c r="O15" s="1"/>
  <c r="O12"/>
  <c r="O13" s="1"/>
  <c r="O9"/>
  <c r="O10" s="1"/>
  <c r="O11" s="1"/>
  <c r="O7"/>
  <c r="O8" s="1"/>
  <c r="W15" i="60" l="1"/>
  <c r="V73" i="24" l="1"/>
  <c r="AK72"/>
  <c r="AD72"/>
  <c r="I74" i="58"/>
  <c r="M59" i="88"/>
  <c r="N59" s="1"/>
  <c r="G59"/>
  <c r="H59" s="1"/>
  <c r="M58"/>
  <c r="N58" s="1"/>
  <c r="G58"/>
  <c r="H58" s="1"/>
  <c r="M57"/>
  <c r="N57" s="1"/>
  <c r="G57"/>
  <c r="H57" s="1"/>
  <c r="J41" i="81"/>
  <c r="J40"/>
  <c r="F42"/>
  <c r="F41"/>
  <c r="F40"/>
  <c r="N21"/>
  <c r="N20"/>
  <c r="N19"/>
  <c r="J20"/>
  <c r="J19"/>
  <c r="F21"/>
  <c r="F20"/>
  <c r="F19"/>
  <c r="M35" i="80"/>
  <c r="M34"/>
  <c r="M33"/>
  <c r="I35"/>
  <c r="I34"/>
  <c r="I33"/>
  <c r="E35"/>
  <c r="E34"/>
  <c r="E33"/>
  <c r="M18"/>
  <c r="M17"/>
  <c r="M16"/>
  <c r="I18"/>
  <c r="I17"/>
  <c r="I16"/>
  <c r="E18"/>
  <c r="E17"/>
  <c r="E16"/>
  <c r="Q59" i="88" l="1"/>
  <c r="O57"/>
  <c r="Q57" s="1"/>
  <c r="I36" i="114"/>
  <c r="G89" i="69" s="1"/>
  <c r="M36" i="114"/>
  <c r="H89" i="69" s="1"/>
  <c r="C30" i="102"/>
  <c r="Q37" i="54"/>
  <c r="I57" i="88"/>
  <c r="K57" s="1"/>
  <c r="O58"/>
  <c r="Q58" s="1"/>
  <c r="I59"/>
  <c r="K59" s="1"/>
  <c r="I58"/>
  <c r="K58" s="1"/>
  <c r="O59"/>
  <c r="N45" i="102"/>
  <c r="K45"/>
  <c r="P45"/>
  <c r="O45"/>
  <c r="L45"/>
  <c r="J45"/>
  <c r="I45"/>
  <c r="H45"/>
  <c r="G45"/>
  <c r="F45"/>
  <c r="E45"/>
  <c r="N44"/>
  <c r="E44"/>
  <c r="P44"/>
  <c r="O44"/>
  <c r="L44"/>
  <c r="K44"/>
  <c r="J44"/>
  <c r="I44"/>
  <c r="H44"/>
  <c r="G44"/>
  <c r="F44"/>
  <c r="P43"/>
  <c r="O43"/>
  <c r="N43"/>
  <c r="L43"/>
  <c r="K43"/>
  <c r="J43"/>
  <c r="I43"/>
  <c r="H43"/>
  <c r="G43"/>
  <c r="F43"/>
  <c r="E43"/>
  <c r="G42"/>
  <c r="P42"/>
  <c r="O42"/>
  <c r="N42"/>
  <c r="L42"/>
  <c r="K42"/>
  <c r="J42"/>
  <c r="I42"/>
  <c r="H42"/>
  <c r="F42"/>
  <c r="E42"/>
  <c r="K41"/>
  <c r="F41"/>
  <c r="P41"/>
  <c r="O41"/>
  <c r="N41"/>
  <c r="L41"/>
  <c r="J41"/>
  <c r="I41"/>
  <c r="H41"/>
  <c r="G41"/>
  <c r="E41"/>
  <c r="E40"/>
  <c r="P40"/>
  <c r="O40"/>
  <c r="N40"/>
  <c r="L40"/>
  <c r="K40"/>
  <c r="J40"/>
  <c r="I40"/>
  <c r="H40"/>
  <c r="G40"/>
  <c r="F40"/>
  <c r="L39"/>
  <c r="P39"/>
  <c r="O39"/>
  <c r="N39"/>
  <c r="K39"/>
  <c r="J39"/>
  <c r="I39"/>
  <c r="H39"/>
  <c r="G39"/>
  <c r="F39"/>
  <c r="E39"/>
  <c r="G38"/>
  <c r="P38"/>
  <c r="O38"/>
  <c r="N38"/>
  <c r="L38"/>
  <c r="K38"/>
  <c r="J38"/>
  <c r="I38"/>
  <c r="H38"/>
  <c r="F38"/>
  <c r="E38"/>
  <c r="K37"/>
  <c r="F37"/>
  <c r="P37"/>
  <c r="O37"/>
  <c r="N37"/>
  <c r="L37"/>
  <c r="J37"/>
  <c r="I37"/>
  <c r="H37"/>
  <c r="G37"/>
  <c r="E37"/>
  <c r="P36"/>
  <c r="O36"/>
  <c r="N36"/>
  <c r="L36"/>
  <c r="K36"/>
  <c r="J36"/>
  <c r="I36"/>
  <c r="H36"/>
  <c r="G36"/>
  <c r="F36"/>
  <c r="E36"/>
  <c r="P35"/>
  <c r="O35"/>
  <c r="N35"/>
  <c r="L35"/>
  <c r="K35"/>
  <c r="J35"/>
  <c r="I35"/>
  <c r="H35"/>
  <c r="G35"/>
  <c r="F35"/>
  <c r="E35"/>
  <c r="G34"/>
  <c r="P34"/>
  <c r="O34"/>
  <c r="N34"/>
  <c r="L34"/>
  <c r="K34"/>
  <c r="J34"/>
  <c r="I34"/>
  <c r="H34"/>
  <c r="F34"/>
  <c r="E34"/>
  <c r="F33"/>
  <c r="P33"/>
  <c r="O33"/>
  <c r="N33"/>
  <c r="L33"/>
  <c r="K33"/>
  <c r="J33"/>
  <c r="I33"/>
  <c r="H33"/>
  <c r="G33"/>
  <c r="E33"/>
  <c r="I32"/>
  <c r="F32"/>
  <c r="P32"/>
  <c r="O32"/>
  <c r="N32"/>
  <c r="L32"/>
  <c r="K32"/>
  <c r="J32"/>
  <c r="H32"/>
  <c r="G32"/>
  <c r="E32"/>
  <c r="O31"/>
  <c r="L31"/>
  <c r="G31"/>
  <c r="P31"/>
  <c r="N31"/>
  <c r="K31"/>
  <c r="J31"/>
  <c r="I31"/>
  <c r="H31"/>
  <c r="F31"/>
  <c r="E31"/>
  <c r="L30"/>
  <c r="P30"/>
  <c r="O30"/>
  <c r="N30"/>
  <c r="K30"/>
  <c r="J30"/>
  <c r="I30"/>
  <c r="H30"/>
  <c r="G30"/>
  <c r="F30"/>
  <c r="E30"/>
  <c r="J29"/>
  <c r="P29"/>
  <c r="O29"/>
  <c r="N29"/>
  <c r="L29"/>
  <c r="K29"/>
  <c r="I29"/>
  <c r="H29"/>
  <c r="G29"/>
  <c r="F29"/>
  <c r="E29"/>
  <c r="L28"/>
  <c r="F28"/>
  <c r="P28"/>
  <c r="O28"/>
  <c r="N28"/>
  <c r="K28"/>
  <c r="J28"/>
  <c r="I28"/>
  <c r="H28"/>
  <c r="G28"/>
  <c r="E28"/>
  <c r="L27"/>
  <c r="G27"/>
  <c r="P27"/>
  <c r="O27"/>
  <c r="N27"/>
  <c r="K27"/>
  <c r="J27"/>
  <c r="I27"/>
  <c r="H27"/>
  <c r="F27"/>
  <c r="E27"/>
  <c r="P26"/>
  <c r="O26"/>
  <c r="N26"/>
  <c r="L26"/>
  <c r="K26"/>
  <c r="J26"/>
  <c r="I26"/>
  <c r="H26"/>
  <c r="G26"/>
  <c r="F26"/>
  <c r="E26"/>
  <c r="K25"/>
  <c r="F25"/>
  <c r="P25"/>
  <c r="O25"/>
  <c r="N25"/>
  <c r="L25"/>
  <c r="J25"/>
  <c r="I25"/>
  <c r="H25"/>
  <c r="G25"/>
  <c r="E25"/>
  <c r="J24"/>
  <c r="P24"/>
  <c r="O24"/>
  <c r="N24"/>
  <c r="L24"/>
  <c r="K24"/>
  <c r="I24"/>
  <c r="H24"/>
  <c r="G24"/>
  <c r="F24"/>
  <c r="E24"/>
  <c r="E23"/>
  <c r="P23"/>
  <c r="O23"/>
  <c r="N23"/>
  <c r="L23"/>
  <c r="K23"/>
  <c r="J23"/>
  <c r="I23"/>
  <c r="H23"/>
  <c r="G23"/>
  <c r="F23"/>
  <c r="L22"/>
  <c r="K22"/>
  <c r="P22"/>
  <c r="O22"/>
  <c r="N22"/>
  <c r="J22"/>
  <c r="I22"/>
  <c r="H22"/>
  <c r="G22"/>
  <c r="F22"/>
  <c r="E22"/>
  <c r="F21"/>
  <c r="P21"/>
  <c r="O21"/>
  <c r="N21"/>
  <c r="L21"/>
  <c r="K21"/>
  <c r="J21"/>
  <c r="I21"/>
  <c r="H21"/>
  <c r="G21"/>
  <c r="E21"/>
  <c r="J20"/>
  <c r="H20"/>
  <c r="E20"/>
  <c r="P20"/>
  <c r="O20"/>
  <c r="N20"/>
  <c r="L20"/>
  <c r="K20"/>
  <c r="I20"/>
  <c r="G20"/>
  <c r="F20"/>
  <c r="K19"/>
  <c r="E19"/>
  <c r="P19"/>
  <c r="O19"/>
  <c r="N19"/>
  <c r="L19"/>
  <c r="J19"/>
  <c r="I19"/>
  <c r="H19"/>
  <c r="G19"/>
  <c r="F19"/>
  <c r="L18"/>
  <c r="P18"/>
  <c r="O18"/>
  <c r="N18"/>
  <c r="K18"/>
  <c r="J18"/>
  <c r="I18"/>
  <c r="H18"/>
  <c r="G18"/>
  <c r="F18"/>
  <c r="E18"/>
  <c r="K17"/>
  <c r="F17"/>
  <c r="E17"/>
  <c r="P17"/>
  <c r="O17"/>
  <c r="N17"/>
  <c r="L17"/>
  <c r="J17"/>
  <c r="I17"/>
  <c r="H17"/>
  <c r="G17"/>
  <c r="I16"/>
  <c r="P16"/>
  <c r="O16"/>
  <c r="N16"/>
  <c r="L16"/>
  <c r="K16"/>
  <c r="J16"/>
  <c r="H16"/>
  <c r="G16"/>
  <c r="F16"/>
  <c r="E16"/>
  <c r="I15"/>
  <c r="P15"/>
  <c r="O15"/>
  <c r="N15"/>
  <c r="L15"/>
  <c r="K15"/>
  <c r="J15"/>
  <c r="H15"/>
  <c r="G15"/>
  <c r="F15"/>
  <c r="E15"/>
  <c r="L14"/>
  <c r="P14"/>
  <c r="O14"/>
  <c r="N14"/>
  <c r="K14"/>
  <c r="J14"/>
  <c r="I14"/>
  <c r="H14"/>
  <c r="G14"/>
  <c r="F14"/>
  <c r="E14"/>
  <c r="J13"/>
  <c r="F13"/>
  <c r="P13"/>
  <c r="O13"/>
  <c r="N13"/>
  <c r="L13"/>
  <c r="K13"/>
  <c r="I13"/>
  <c r="H13"/>
  <c r="G13"/>
  <c r="E13"/>
  <c r="F12"/>
  <c r="E12"/>
  <c r="P12"/>
  <c r="O12"/>
  <c r="N12"/>
  <c r="L12"/>
  <c r="K12"/>
  <c r="J12"/>
  <c r="I12"/>
  <c r="H12"/>
  <c r="G12"/>
  <c r="O11"/>
  <c r="L11"/>
  <c r="G11"/>
  <c r="P11"/>
  <c r="N11"/>
  <c r="K11"/>
  <c r="J11"/>
  <c r="I11"/>
  <c r="H11"/>
  <c r="F11"/>
  <c r="E11"/>
  <c r="P10"/>
  <c r="O10"/>
  <c r="N10"/>
  <c r="L10"/>
  <c r="K10"/>
  <c r="J10"/>
  <c r="I10"/>
  <c r="H10"/>
  <c r="G10"/>
  <c r="F10"/>
  <c r="E10"/>
  <c r="N9"/>
  <c r="I9"/>
  <c r="P9"/>
  <c r="O9"/>
  <c r="L9"/>
  <c r="K9"/>
  <c r="J9"/>
  <c r="H9"/>
  <c r="G9"/>
  <c r="F9"/>
  <c r="E9"/>
  <c r="H8"/>
  <c r="E8"/>
  <c r="P8"/>
  <c r="O8"/>
  <c r="N8"/>
  <c r="L8"/>
  <c r="K8"/>
  <c r="J8"/>
  <c r="I8"/>
  <c r="G8"/>
  <c r="F8"/>
  <c r="K7"/>
  <c r="E7"/>
  <c r="P7"/>
  <c r="O7"/>
  <c r="N7"/>
  <c r="L7"/>
  <c r="J7"/>
  <c r="I7"/>
  <c r="H7"/>
  <c r="G7"/>
  <c r="F7"/>
  <c r="L6"/>
  <c r="P6"/>
  <c r="O6"/>
  <c r="N6"/>
  <c r="K6"/>
  <c r="J6"/>
  <c r="I6"/>
  <c r="H6"/>
  <c r="G6"/>
  <c r="F6"/>
  <c r="E6"/>
  <c r="N5"/>
  <c r="F5"/>
  <c r="P5"/>
  <c r="O5"/>
  <c r="L5"/>
  <c r="K5"/>
  <c r="J5"/>
  <c r="I5"/>
  <c r="H5"/>
  <c r="G5"/>
  <c r="E5"/>
  <c r="P4"/>
  <c r="J4"/>
  <c r="H4"/>
  <c r="E4"/>
  <c r="O4"/>
  <c r="N4"/>
  <c r="L4"/>
  <c r="K4"/>
  <c r="I4"/>
  <c r="G4"/>
  <c r="F4"/>
  <c r="AK41" i="88"/>
  <c r="AL41" s="1"/>
  <c r="AE41"/>
  <c r="AF41" s="1"/>
  <c r="Y41"/>
  <c r="S41"/>
  <c r="T41" s="1"/>
  <c r="AK41" i="77"/>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D5" i="94"/>
  <c r="D6"/>
  <c r="D7"/>
  <c r="D8"/>
  <c r="D4"/>
  <c r="C6"/>
  <c r="C7" s="1"/>
  <c r="C8" s="1"/>
  <c r="C4"/>
  <c r="C5" s="1"/>
  <c r="C3"/>
  <c r="AQ14" i="24"/>
  <c r="AR14" s="1"/>
  <c r="AJ14"/>
  <c r="AC14"/>
  <c r="V14"/>
  <c r="O14"/>
  <c r="AQ12"/>
  <c r="AR12" s="1"/>
  <c r="AJ12"/>
  <c r="AC12"/>
  <c r="V12"/>
  <c r="O12"/>
  <c r="AQ9"/>
  <c r="AR9" s="1"/>
  <c r="AJ9"/>
  <c r="AK9" s="1"/>
  <c r="AC9"/>
  <c r="AD9" s="1"/>
  <c r="V9"/>
  <c r="W9" s="1"/>
  <c r="O9"/>
  <c r="P9" s="1"/>
  <c r="K6" i="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Q55"/>
  <c r="AG55" s="1"/>
  <c r="AS55" s="1"/>
  <c r="T55"/>
  <c r="AI55" s="1"/>
  <c r="AU55" s="1"/>
  <c r="W55"/>
  <c r="AK55" s="1"/>
  <c r="AW55" s="1"/>
  <c r="I56"/>
  <c r="L56"/>
  <c r="I57"/>
  <c r="L57"/>
  <c r="I58"/>
  <c r="L58"/>
  <c r="I59"/>
  <c r="L59"/>
  <c r="H60"/>
  <c r="AA60" s="1"/>
  <c r="AM60" s="1"/>
  <c r="I60"/>
  <c r="K60"/>
  <c r="AC60" s="1"/>
  <c r="AO60" s="1"/>
  <c r="L60"/>
  <c r="N60"/>
  <c r="AE60" s="1"/>
  <c r="AQ60" s="1"/>
  <c r="Q60"/>
  <c r="AG60" s="1"/>
  <c r="AS60" s="1"/>
  <c r="T60"/>
  <c r="AI60" s="1"/>
  <c r="AU60" s="1"/>
  <c r="W60"/>
  <c r="AK60" s="1"/>
  <c r="AW60" s="1"/>
  <c r="I61"/>
  <c r="L61"/>
  <c r="H62"/>
  <c r="AA62" s="1"/>
  <c r="AM62" s="1"/>
  <c r="I62"/>
  <c r="K62"/>
  <c r="AC62" s="1"/>
  <c r="AO62" s="1"/>
  <c r="L62"/>
  <c r="N62"/>
  <c r="AE62" s="1"/>
  <c r="AQ62" s="1"/>
  <c r="Q62"/>
  <c r="AG62" s="1"/>
  <c r="AS62" s="1"/>
  <c r="T62"/>
  <c r="AI62" s="1"/>
  <c r="AU62" s="1"/>
  <c r="W62"/>
  <c r="AK62" s="1"/>
  <c r="AW62" s="1"/>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M73"/>
  <c r="AD73" s="1"/>
  <c r="AP73" s="1"/>
  <c r="N73"/>
  <c r="AE73" s="1"/>
  <c r="AQ73" s="1"/>
  <c r="O73"/>
  <c r="P73"/>
  <c r="AF73" s="1"/>
  <c r="AR73" s="1"/>
  <c r="Q73"/>
  <c r="AG73" s="1"/>
  <c r="AS73" s="1"/>
  <c r="S73"/>
  <c r="AH73" s="1"/>
  <c r="AT73" s="1"/>
  <c r="T73"/>
  <c r="AI73" s="1"/>
  <c r="AU73" s="1"/>
  <c r="U73"/>
  <c r="V73"/>
  <c r="AJ73" s="1"/>
  <c r="AV73" s="1"/>
  <c r="W73"/>
  <c r="AK73" s="1"/>
  <c r="AW73" s="1"/>
  <c r="X73"/>
  <c r="I74"/>
  <c r="L74"/>
  <c r="M74"/>
  <c r="AD74" s="1"/>
  <c r="AP74" s="1"/>
  <c r="N74"/>
  <c r="AE74" s="1"/>
  <c r="AQ74" s="1"/>
  <c r="O74"/>
  <c r="P74"/>
  <c r="AF74" s="1"/>
  <c r="AR74" s="1"/>
  <c r="Q74"/>
  <c r="AG74" s="1"/>
  <c r="AS74" s="1"/>
  <c r="S74"/>
  <c r="AH74" s="1"/>
  <c r="AT74" s="1"/>
  <c r="T74"/>
  <c r="AI74" s="1"/>
  <c r="AU74" s="1"/>
  <c r="U74"/>
  <c r="V74"/>
  <c r="AJ74" s="1"/>
  <c r="AV74" s="1"/>
  <c r="W74"/>
  <c r="AK74" s="1"/>
  <c r="AW74" s="1"/>
  <c r="X74"/>
  <c r="I75"/>
  <c r="L75"/>
  <c r="M75"/>
  <c r="AD75" s="1"/>
  <c r="AP75" s="1"/>
  <c r="N75"/>
  <c r="AE75" s="1"/>
  <c r="AQ75" s="1"/>
  <c r="O75"/>
  <c r="P75"/>
  <c r="AF75" s="1"/>
  <c r="AR75" s="1"/>
  <c r="Q75"/>
  <c r="AG75" s="1"/>
  <c r="AS75" s="1"/>
  <c r="S75"/>
  <c r="AH75" s="1"/>
  <c r="AT75" s="1"/>
  <c r="T75"/>
  <c r="AI75" s="1"/>
  <c r="AU75" s="1"/>
  <c r="U75"/>
  <c r="V75"/>
  <c r="AJ75" s="1"/>
  <c r="AV75" s="1"/>
  <c r="W75"/>
  <c r="AK75" s="1"/>
  <c r="AW75" s="1"/>
  <c r="X75"/>
  <c r="I76"/>
  <c r="L76"/>
  <c r="N76"/>
  <c r="AE76" s="1"/>
  <c r="AQ76" s="1"/>
  <c r="Q76"/>
  <c r="AG76" s="1"/>
  <c r="AS76" s="1"/>
  <c r="S76"/>
  <c r="AH76" s="1"/>
  <c r="AT76" s="1"/>
  <c r="T76"/>
  <c r="AI76" s="1"/>
  <c r="AU76" s="1"/>
  <c r="U76"/>
  <c r="V76"/>
  <c r="AJ76" s="1"/>
  <c r="AV76" s="1"/>
  <c r="W76"/>
  <c r="AK76" s="1"/>
  <c r="AW76" s="1"/>
  <c r="X76"/>
  <c r="I77"/>
  <c r="L77"/>
  <c r="N77"/>
  <c r="AE77" s="1"/>
  <c r="AQ77" s="1"/>
  <c r="Q77"/>
  <c r="AG77" s="1"/>
  <c r="AS77" s="1"/>
  <c r="S77"/>
  <c r="AH77" s="1"/>
  <c r="AT77" s="1"/>
  <c r="T77"/>
  <c r="AI77" s="1"/>
  <c r="AU77" s="1"/>
  <c r="U77"/>
  <c r="V77"/>
  <c r="AJ77" s="1"/>
  <c r="AV77" s="1"/>
  <c r="W77"/>
  <c r="AK77" s="1"/>
  <c r="AW77" s="1"/>
  <c r="X77"/>
  <c r="I78"/>
  <c r="L78"/>
  <c r="N78"/>
  <c r="AE78" s="1"/>
  <c r="AQ78" s="1"/>
  <c r="Q78"/>
  <c r="AG78" s="1"/>
  <c r="AS78" s="1"/>
  <c r="S78"/>
  <c r="AH78" s="1"/>
  <c r="AT78" s="1"/>
  <c r="T78"/>
  <c r="AI78" s="1"/>
  <c r="AU78" s="1"/>
  <c r="U78"/>
  <c r="V78"/>
  <c r="AJ78" s="1"/>
  <c r="AV78" s="1"/>
  <c r="W78"/>
  <c r="AK78" s="1"/>
  <c r="AW78" s="1"/>
  <c r="X78"/>
  <c r="I79"/>
  <c r="L79"/>
  <c r="N79"/>
  <c r="AE79" s="1"/>
  <c r="AQ79" s="1"/>
  <c r="Q79"/>
  <c r="AG79" s="1"/>
  <c r="AS79" s="1"/>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Q81"/>
  <c r="AG81" s="1"/>
  <c r="AS81" s="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P85"/>
  <c r="AF85" s="1"/>
  <c r="AR85" s="1"/>
  <c r="Q85"/>
  <c r="AG85" s="1"/>
  <c r="AS85" s="1"/>
  <c r="R85"/>
  <c r="S85"/>
  <c r="AH85" s="1"/>
  <c r="AT85" s="1"/>
  <c r="T85"/>
  <c r="AI85" s="1"/>
  <c r="AU85" s="1"/>
  <c r="U85"/>
  <c r="V85"/>
  <c r="AJ85" s="1"/>
  <c r="AV85" s="1"/>
  <c r="W85"/>
  <c r="AK85" s="1"/>
  <c r="AW85" s="1"/>
  <c r="X85"/>
  <c r="I86"/>
  <c r="L86"/>
  <c r="N86"/>
  <c r="AE86" s="1"/>
  <c r="AQ86" s="1"/>
  <c r="Q86"/>
  <c r="AG86" s="1"/>
  <c r="AS86" s="1"/>
  <c r="R86"/>
  <c r="S86"/>
  <c r="AH86" s="1"/>
  <c r="AT86" s="1"/>
  <c r="T86"/>
  <c r="AI86" s="1"/>
  <c r="AU86" s="1"/>
  <c r="U86"/>
  <c r="V86"/>
  <c r="AJ86" s="1"/>
  <c r="AV86" s="1"/>
  <c r="W86"/>
  <c r="AK86" s="1"/>
  <c r="AW86" s="1"/>
  <c r="X86"/>
  <c r="I87"/>
  <c r="L87"/>
  <c r="N87"/>
  <c r="AE87" s="1"/>
  <c r="AQ87" s="1"/>
  <c r="Q87"/>
  <c r="AG87" s="1"/>
  <c r="AS87" s="1"/>
  <c r="R87"/>
  <c r="S87"/>
  <c r="AH87" s="1"/>
  <c r="AT87" s="1"/>
  <c r="T87"/>
  <c r="AI87" s="1"/>
  <c r="AU87" s="1"/>
  <c r="U87"/>
  <c r="V87"/>
  <c r="AJ87" s="1"/>
  <c r="AV87" s="1"/>
  <c r="W87"/>
  <c r="AK87" s="1"/>
  <c r="AW87" s="1"/>
  <c r="X87"/>
  <c r="I88"/>
  <c r="L88"/>
  <c r="N88"/>
  <c r="AE88" s="1"/>
  <c r="AQ88" s="1"/>
  <c r="Q88"/>
  <c r="AG88" s="1"/>
  <c r="AS88" s="1"/>
  <c r="R88"/>
  <c r="S88"/>
  <c r="AH88" s="1"/>
  <c r="AT88" s="1"/>
  <c r="T88"/>
  <c r="AI88" s="1"/>
  <c r="AU88" s="1"/>
  <c r="U88"/>
  <c r="V88"/>
  <c r="AJ88" s="1"/>
  <c r="AV88" s="1"/>
  <c r="W88"/>
  <c r="AK88" s="1"/>
  <c r="AW88" s="1"/>
  <c r="X88"/>
  <c r="I89"/>
  <c r="L89"/>
  <c r="N89"/>
  <c r="AE89" s="1"/>
  <c r="AQ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P90"/>
  <c r="AF90" s="1"/>
  <c r="AR90" s="1"/>
  <c r="Q90"/>
  <c r="AG90" s="1"/>
  <c r="AS90" s="1"/>
  <c r="R90"/>
  <c r="S90"/>
  <c r="AH90" s="1"/>
  <c r="AT90" s="1"/>
  <c r="T90"/>
  <c r="AI90" s="1"/>
  <c r="AU90" s="1"/>
  <c r="U90"/>
  <c r="V90"/>
  <c r="AJ90" s="1"/>
  <c r="AV90" s="1"/>
  <c r="W90"/>
  <c r="AK90" s="1"/>
  <c r="AW90" s="1"/>
  <c r="X90"/>
  <c r="I91"/>
  <c r="L91"/>
  <c r="N91"/>
  <c r="AE91" s="1"/>
  <c r="AQ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P92"/>
  <c r="AF92" s="1"/>
  <c r="AR92" s="1"/>
  <c r="Q92"/>
  <c r="AG92" s="1"/>
  <c r="AS92" s="1"/>
  <c r="R92"/>
  <c r="S92"/>
  <c r="AH92" s="1"/>
  <c r="AT92" s="1"/>
  <c r="T92"/>
  <c r="AI92" s="1"/>
  <c r="AU92" s="1"/>
  <c r="U92"/>
  <c r="V92"/>
  <c r="AJ92" s="1"/>
  <c r="AV92" s="1"/>
  <c r="W92"/>
  <c r="AK92" s="1"/>
  <c r="AW92" s="1"/>
  <c r="X92"/>
  <c r="I93"/>
  <c r="L93"/>
  <c r="N93"/>
  <c r="AE93" s="1"/>
  <c r="AQ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P94"/>
  <c r="AF94" s="1"/>
  <c r="AR94" s="1"/>
  <c r="Q94"/>
  <c r="AG94" s="1"/>
  <c r="AS94" s="1"/>
  <c r="R94"/>
  <c r="S94"/>
  <c r="AH94" s="1"/>
  <c r="AT94" s="1"/>
  <c r="T94"/>
  <c r="AI94" s="1"/>
  <c r="AU94" s="1"/>
  <c r="U94"/>
  <c r="V94"/>
  <c r="AJ94" s="1"/>
  <c r="AV94" s="1"/>
  <c r="W94"/>
  <c r="AK94" s="1"/>
  <c r="AW94" s="1"/>
  <c r="X94"/>
  <c r="I95"/>
  <c r="L95"/>
  <c r="N95"/>
  <c r="AE95" s="1"/>
  <c r="AQ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F51" i="92"/>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C30"/>
  <c r="F29"/>
  <c r="E29"/>
  <c r="C29"/>
  <c r="F28"/>
  <c r="E28"/>
  <c r="C28"/>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AM41" i="88" l="1"/>
  <c r="AO41"/>
  <c r="U41"/>
  <c r="W41" s="1"/>
  <c r="X49" i="89" s="1"/>
  <c r="AG41" i="88"/>
  <c r="AI41" s="1"/>
  <c r="X91" i="89" s="1"/>
  <c r="M6" i="7"/>
  <c r="O6"/>
  <c r="O11"/>
  <c r="L6"/>
  <c r="C5" i="102"/>
  <c r="M5" s="1"/>
  <c r="Q5" s="1"/>
  <c r="N6" i="7"/>
  <c r="O9"/>
  <c r="Z9" i="24"/>
  <c r="Z10" s="1"/>
  <c r="Z11" s="1"/>
  <c r="M9" i="113"/>
  <c r="H8" i="69" s="1"/>
  <c r="AU12" i="24"/>
  <c r="Q12" i="113"/>
  <c r="I11" i="69" s="1"/>
  <c r="I9" i="113"/>
  <c r="G8" i="69" s="1"/>
  <c r="Q9" i="113"/>
  <c r="I8" i="69" s="1"/>
  <c r="AU14" i="24"/>
  <c r="Q14" i="113"/>
  <c r="I13" i="69" s="1"/>
  <c r="AL9" i="24"/>
  <c r="AN9" s="1"/>
  <c r="Q9"/>
  <c r="S9" s="1"/>
  <c r="S10" s="1"/>
  <c r="S11" s="1"/>
  <c r="AE9"/>
  <c r="AG9" s="1"/>
  <c r="N41" i="77"/>
  <c r="O41" s="1"/>
  <c r="Q41" s="1"/>
  <c r="Z41" i="88"/>
  <c r="U70" i="89" s="1"/>
  <c r="U91"/>
  <c r="U28"/>
  <c r="X9" i="24"/>
  <c r="U49" i="89"/>
  <c r="X28"/>
  <c r="U112"/>
  <c r="W12" i="24"/>
  <c r="AK12"/>
  <c r="P14"/>
  <c r="AD14"/>
  <c r="P12"/>
  <c r="AD12"/>
  <c r="W14"/>
  <c r="AK14"/>
  <c r="AA41" i="88" l="1"/>
  <c r="L11" i="7"/>
  <c r="K9"/>
  <c r="K11"/>
  <c r="L9"/>
  <c r="C7" i="102"/>
  <c r="N11" i="7"/>
  <c r="M9"/>
  <c r="M11"/>
  <c r="C6" i="102"/>
  <c r="N9" i="7"/>
  <c r="S12" i="113"/>
  <c r="I45" i="69" s="1"/>
  <c r="AU13" i="24"/>
  <c r="S14" i="113"/>
  <c r="I47" i="69" s="1"/>
  <c r="AU15" i="24"/>
  <c r="O9" i="113"/>
  <c r="H42" i="69" s="1"/>
  <c r="AN10" i="24"/>
  <c r="AN11" s="1"/>
  <c r="K9" i="113"/>
  <c r="G42" i="69" s="1"/>
  <c r="AG10" i="24"/>
  <c r="AG11" s="1"/>
  <c r="AN14"/>
  <c r="AN15" s="1"/>
  <c r="M14" i="113"/>
  <c r="H13" i="69" s="1"/>
  <c r="AG12" i="24"/>
  <c r="I12" i="113"/>
  <c r="G11" i="69" s="1"/>
  <c r="AG14" i="24"/>
  <c r="I14" i="113"/>
  <c r="G13" i="69" s="1"/>
  <c r="AN12" i="24"/>
  <c r="AN13" s="1"/>
  <c r="M12" i="113"/>
  <c r="H11" i="69" s="1"/>
  <c r="Z14" i="24"/>
  <c r="Z15" s="1"/>
  <c r="S12"/>
  <c r="S13" s="1"/>
  <c r="S14"/>
  <c r="S15" s="1"/>
  <c r="Z12"/>
  <c r="Z13" s="1"/>
  <c r="Q12"/>
  <c r="X12"/>
  <c r="AL14"/>
  <c r="AE14"/>
  <c r="AE12"/>
  <c r="AL12"/>
  <c r="X14"/>
  <c r="O7" i="74" s="1"/>
  <c r="Q14" i="24"/>
  <c r="X112" i="89"/>
  <c r="H9" i="83"/>
  <c r="C104" i="91" s="1"/>
  <c r="P1" i="78"/>
  <c r="N3"/>
  <c r="P3" i="86" s="1"/>
  <c r="G75" i="74"/>
  <c r="Z75" s="1"/>
  <c r="AL75" s="1"/>
  <c r="C47"/>
  <c r="E47"/>
  <c r="F47"/>
  <c r="I47"/>
  <c r="L47"/>
  <c r="C48"/>
  <c r="E48"/>
  <c r="F48"/>
  <c r="I48"/>
  <c r="L48"/>
  <c r="C49"/>
  <c r="E49"/>
  <c r="F49"/>
  <c r="I49"/>
  <c r="L49"/>
  <c r="C50"/>
  <c r="E50"/>
  <c r="F50"/>
  <c r="I50"/>
  <c r="K50"/>
  <c r="AC50" s="1"/>
  <c r="AO50" s="1"/>
  <c r="L50"/>
  <c r="N50"/>
  <c r="AE50" s="1"/>
  <c r="AQ50" s="1"/>
  <c r="Q50"/>
  <c r="AG50" s="1"/>
  <c r="AS50" s="1"/>
  <c r="T50"/>
  <c r="AI50" s="1"/>
  <c r="AU50" s="1"/>
  <c r="W50"/>
  <c r="AK50" s="1"/>
  <c r="AW50" s="1"/>
  <c r="C51"/>
  <c r="E51"/>
  <c r="F51"/>
  <c r="I51"/>
  <c r="L51"/>
  <c r="C52"/>
  <c r="E52"/>
  <c r="F52"/>
  <c r="I52"/>
  <c r="L52"/>
  <c r="C53"/>
  <c r="E53"/>
  <c r="F53"/>
  <c r="H53"/>
  <c r="AA53" s="1"/>
  <c r="AM53" s="1"/>
  <c r="I53"/>
  <c r="K53"/>
  <c r="AC53" s="1"/>
  <c r="AO53" s="1"/>
  <c r="L53"/>
  <c r="N53"/>
  <c r="AE53" s="1"/>
  <c r="AQ53" s="1"/>
  <c r="Q53"/>
  <c r="AG53" s="1"/>
  <c r="AS53" s="1"/>
  <c r="T53"/>
  <c r="AI53" s="1"/>
  <c r="AU53" s="1"/>
  <c r="W53"/>
  <c r="AK53" s="1"/>
  <c r="AW53" s="1"/>
  <c r="C54"/>
  <c r="E54"/>
  <c r="F54"/>
  <c r="I54"/>
  <c r="L54"/>
  <c r="C55"/>
  <c r="E55"/>
  <c r="F55"/>
  <c r="C56"/>
  <c r="E56"/>
  <c r="F56"/>
  <c r="C57"/>
  <c r="E57"/>
  <c r="F57"/>
  <c r="C58"/>
  <c r="E58"/>
  <c r="F58"/>
  <c r="C59"/>
  <c r="E59"/>
  <c r="F59"/>
  <c r="C60"/>
  <c r="E60"/>
  <c r="F60"/>
  <c r="C61"/>
  <c r="E61"/>
  <c r="F61"/>
  <c r="C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L46"/>
  <c r="I46"/>
  <c r="F46"/>
  <c r="E46"/>
  <c r="C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N101"/>
  <c r="H101"/>
  <c r="N100"/>
  <c r="N99"/>
  <c r="H99"/>
  <c r="M98"/>
  <c r="G98"/>
  <c r="H98" s="1"/>
  <c r="M97"/>
  <c r="O94" i="74" s="1"/>
  <c r="C184" i="91"/>
  <c r="G97" i="88"/>
  <c r="M96"/>
  <c r="G96"/>
  <c r="M95"/>
  <c r="O92" i="74" s="1"/>
  <c r="G95" i="88"/>
  <c r="M94"/>
  <c r="G94"/>
  <c r="M93"/>
  <c r="O90" i="74" s="1"/>
  <c r="G93" i="88"/>
  <c r="M92"/>
  <c r="G92"/>
  <c r="M91"/>
  <c r="G91"/>
  <c r="H91" s="1"/>
  <c r="M90"/>
  <c r="G90"/>
  <c r="H90" s="1"/>
  <c r="M89"/>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O85" i="74" s="1"/>
  <c r="M71" i="88"/>
  <c r="O84" i="74" s="1"/>
  <c r="N66" i="88"/>
  <c r="L16" i="83" s="1"/>
  <c r="H66" i="88"/>
  <c r="S65"/>
  <c r="R81" i="74" s="1"/>
  <c r="N65" i="88"/>
  <c r="M65"/>
  <c r="O81" i="74" s="1"/>
  <c r="H65" i="88"/>
  <c r="T65" s="1"/>
  <c r="G65"/>
  <c r="N64"/>
  <c r="M64"/>
  <c r="H64"/>
  <c r="G64"/>
  <c r="S63"/>
  <c r="R79" i="74" s="1"/>
  <c r="N63" i="88"/>
  <c r="M63"/>
  <c r="O79" i="74" s="1"/>
  <c r="H63" i="88"/>
  <c r="G63"/>
  <c r="S62"/>
  <c r="R78" i="74" s="1"/>
  <c r="M62" i="88"/>
  <c r="G62"/>
  <c r="H62" s="1"/>
  <c r="S61"/>
  <c r="R77" i="74" s="1"/>
  <c r="M61" i="88"/>
  <c r="G61"/>
  <c r="H61" s="1"/>
  <c r="S60"/>
  <c r="R76" i="74" s="1"/>
  <c r="M60" i="88"/>
  <c r="G60"/>
  <c r="H60" s="1"/>
  <c r="S59"/>
  <c r="R75" i="74" s="1"/>
  <c r="H75"/>
  <c r="AA75" s="1"/>
  <c r="AM75" s="1"/>
  <c r="S58" i="88"/>
  <c r="R74" i="74" s="1"/>
  <c r="S57" i="88"/>
  <c r="R73" i="74" s="1"/>
  <c r="AO52" i="88"/>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E46"/>
  <c r="AF46" s="1"/>
  <c r="Y46"/>
  <c r="S46"/>
  <c r="T46" s="1"/>
  <c r="M46"/>
  <c r="G46"/>
  <c r="V70" i="74"/>
  <c r="AJ70" s="1"/>
  <c r="AV70" s="1"/>
  <c r="V68"/>
  <c r="AJ68" s="1"/>
  <c r="AV68" s="1"/>
  <c r="J12" i="86"/>
  <c r="E67" i="91" s="1"/>
  <c r="AK45" i="88"/>
  <c r="AL45" s="1"/>
  <c r="AE45"/>
  <c r="Y45"/>
  <c r="S45"/>
  <c r="T45" s="1"/>
  <c r="M45"/>
  <c r="G45"/>
  <c r="AK44"/>
  <c r="AE44"/>
  <c r="Y44"/>
  <c r="S44"/>
  <c r="M44"/>
  <c r="G44"/>
  <c r="AK43"/>
  <c r="AL43" s="1"/>
  <c r="AE43"/>
  <c r="Y43"/>
  <c r="Z43" s="1"/>
  <c r="S43"/>
  <c r="T43" s="1"/>
  <c r="M43"/>
  <c r="G43"/>
  <c r="AK42"/>
  <c r="AL42" s="1"/>
  <c r="AE42"/>
  <c r="Y42"/>
  <c r="S42"/>
  <c r="T42" s="1"/>
  <c r="M42"/>
  <c r="G42"/>
  <c r="T63" i="74"/>
  <c r="AI63" s="1"/>
  <c r="AU63" s="1"/>
  <c r="P63"/>
  <c r="AF63" s="1"/>
  <c r="AR63" s="1"/>
  <c r="J63"/>
  <c r="AB63" s="1"/>
  <c r="AN63" s="1"/>
  <c r="G41" i="88"/>
  <c r="H41" s="1"/>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O125" i="89" s="1"/>
  <c r="AI34" i="88"/>
  <c r="AF34"/>
  <c r="AC34"/>
  <c r="Z34"/>
  <c r="E33" i="85" s="1"/>
  <c r="W34" i="88"/>
  <c r="T34"/>
  <c r="Q34"/>
  <c r="N34"/>
  <c r="K34"/>
  <c r="H34"/>
  <c r="AK31"/>
  <c r="AL31" s="1"/>
  <c r="AE31"/>
  <c r="X62" i="74" s="1"/>
  <c r="Y31" i="88"/>
  <c r="S31"/>
  <c r="R62" i="74" s="1"/>
  <c r="M31" i="88"/>
  <c r="O62" i="74" s="1"/>
  <c r="G31" i="88"/>
  <c r="AK30"/>
  <c r="AL30" s="1"/>
  <c r="AE30"/>
  <c r="X61" i="74" s="1"/>
  <c r="Y30" i="88"/>
  <c r="S30"/>
  <c r="R61" i="74" s="1"/>
  <c r="M30" i="88"/>
  <c r="O61" i="74" s="1"/>
  <c r="G30" i="88"/>
  <c r="AK29"/>
  <c r="AL29" s="1"/>
  <c r="AE29"/>
  <c r="X60" i="74" s="1"/>
  <c r="Y29" i="88"/>
  <c r="S29"/>
  <c r="R60" i="74" s="1"/>
  <c r="M29" i="88"/>
  <c r="O60" i="74" s="1"/>
  <c r="G29" i="88"/>
  <c r="H29" s="1"/>
  <c r="AK28"/>
  <c r="AE28"/>
  <c r="X59" i="74" s="1"/>
  <c r="Y28" i="88"/>
  <c r="U59" i="74" s="1"/>
  <c r="S28" i="88"/>
  <c r="R59" i="74" s="1"/>
  <c r="M28" i="88"/>
  <c r="O59" i="74" s="1"/>
  <c r="G28" i="88"/>
  <c r="AK27"/>
  <c r="AL27" s="1"/>
  <c r="AO27" s="1"/>
  <c r="AE27"/>
  <c r="X58" i="74" s="1"/>
  <c r="Y27" i="88"/>
  <c r="S27"/>
  <c r="R58" i="74" s="1"/>
  <c r="M27" i="88"/>
  <c r="O58" i="74" s="1"/>
  <c r="G27" i="88"/>
  <c r="H27" s="1"/>
  <c r="AK26"/>
  <c r="AL26" s="1"/>
  <c r="AE26"/>
  <c r="Y26"/>
  <c r="S26"/>
  <c r="R57" i="74" s="1"/>
  <c r="M26" i="88"/>
  <c r="O57" i="74" s="1"/>
  <c r="G26" i="88"/>
  <c r="H26" s="1"/>
  <c r="AK25"/>
  <c r="AL25" s="1"/>
  <c r="AE25"/>
  <c r="Y25"/>
  <c r="S25"/>
  <c r="R56" i="74" s="1"/>
  <c r="M25" i="88"/>
  <c r="O56" i="74" s="1"/>
  <c r="G25" i="88"/>
  <c r="H25" s="1"/>
  <c r="AO20"/>
  <c r="AL20"/>
  <c r="Q30" i="92" s="1"/>
  <c r="AD30" s="1"/>
  <c r="AP30" s="1"/>
  <c r="AI20" i="88"/>
  <c r="AF20"/>
  <c r="AC20"/>
  <c r="Z20"/>
  <c r="M30" i="92" s="1"/>
  <c r="Z30" s="1"/>
  <c r="AL30" s="1"/>
  <c r="W20" i="88"/>
  <c r="T20"/>
  <c r="Q20"/>
  <c r="N20"/>
  <c r="K20"/>
  <c r="H20"/>
  <c r="AO19"/>
  <c r="AL19"/>
  <c r="AI19"/>
  <c r="AF19"/>
  <c r="AC19"/>
  <c r="Z19"/>
  <c r="W19"/>
  <c r="T19"/>
  <c r="N20" i="84" s="1"/>
  <c r="F18" i="91" s="1"/>
  <c r="Q19" i="88"/>
  <c r="N19"/>
  <c r="K19"/>
  <c r="H19"/>
  <c r="AO18"/>
  <c r="AL18"/>
  <c r="Q28" i="92" s="1"/>
  <c r="AD28" s="1"/>
  <c r="AP28" s="1"/>
  <c r="AI18" i="88"/>
  <c r="AF18"/>
  <c r="AC18"/>
  <c r="Z18"/>
  <c r="W18"/>
  <c r="T18"/>
  <c r="Q18"/>
  <c r="N18"/>
  <c r="I42" i="89" s="1"/>
  <c r="K18" i="88"/>
  <c r="H18"/>
  <c r="I21" i="89" s="1"/>
  <c r="AK15" i="88"/>
  <c r="AL15" s="1"/>
  <c r="AE15"/>
  <c r="Y15"/>
  <c r="S15"/>
  <c r="M15"/>
  <c r="G15"/>
  <c r="H15" s="1"/>
  <c r="AK14"/>
  <c r="AL14" s="1"/>
  <c r="AO14" s="1"/>
  <c r="AE14"/>
  <c r="AF14" s="1"/>
  <c r="AI14" s="1"/>
  <c r="Y14"/>
  <c r="Z14" s="1"/>
  <c r="AC14" s="1"/>
  <c r="S14"/>
  <c r="T14" s="1"/>
  <c r="M14"/>
  <c r="N14" s="1"/>
  <c r="G14"/>
  <c r="H14" s="1"/>
  <c r="K14" s="1"/>
  <c r="AK13"/>
  <c r="AL13" s="1"/>
  <c r="AE13"/>
  <c r="AF13" s="1"/>
  <c r="D53" i="74" s="1"/>
  <c r="Y13" i="88"/>
  <c r="Z13" s="1"/>
  <c r="S13"/>
  <c r="T13" s="1"/>
  <c r="M13"/>
  <c r="N13" s="1"/>
  <c r="G13"/>
  <c r="H13" s="1"/>
  <c r="AK12"/>
  <c r="AE12"/>
  <c r="X52" i="74" s="1"/>
  <c r="Y12" i="88"/>
  <c r="U52" i="74" s="1"/>
  <c r="S12" i="88"/>
  <c r="R52" i="74" s="1"/>
  <c r="M12" i="88"/>
  <c r="O52" i="74" s="1"/>
  <c r="G12" i="88"/>
  <c r="AK11"/>
  <c r="AL11" s="1"/>
  <c r="AO11" s="1"/>
  <c r="AE11"/>
  <c r="AF11" s="1"/>
  <c r="D51" i="74" s="1"/>
  <c r="Y11" i="88"/>
  <c r="Z11" s="1"/>
  <c r="AC11" s="1"/>
  <c r="S11"/>
  <c r="T11" s="1"/>
  <c r="M11"/>
  <c r="N11" s="1"/>
  <c r="G11"/>
  <c r="H11" s="1"/>
  <c r="K11" s="1"/>
  <c r="C11"/>
  <c r="AK10"/>
  <c r="AL10" s="1"/>
  <c r="AE10"/>
  <c r="AF10" s="1"/>
  <c r="Y10"/>
  <c r="Z10" s="1"/>
  <c r="S10"/>
  <c r="T10" s="1"/>
  <c r="M10"/>
  <c r="N10" s="1"/>
  <c r="G10"/>
  <c r="H10" s="1"/>
  <c r="AK9"/>
  <c r="AE9"/>
  <c r="X49" i="74" s="1"/>
  <c r="Y9" i="88"/>
  <c r="U49" i="74" s="1"/>
  <c r="S9" i="88"/>
  <c r="R49" i="74" s="1"/>
  <c r="M9" i="88"/>
  <c r="O49" i="74" s="1"/>
  <c r="G9" i="88"/>
  <c r="AK8"/>
  <c r="AL8" s="1"/>
  <c r="AO8" s="1"/>
  <c r="AE8"/>
  <c r="AF8" s="1"/>
  <c r="D48" i="74" s="1"/>
  <c r="Y8" i="88"/>
  <c r="Z8" s="1"/>
  <c r="S8"/>
  <c r="T8" s="1"/>
  <c r="M8"/>
  <c r="N8" s="1"/>
  <c r="G8"/>
  <c r="H8" s="1"/>
  <c r="C8"/>
  <c r="AK7"/>
  <c r="AL7" s="1"/>
  <c r="AE7"/>
  <c r="AF7" s="1"/>
  <c r="Y7"/>
  <c r="Z7" s="1"/>
  <c r="S7"/>
  <c r="T7" s="1"/>
  <c r="M7"/>
  <c r="N7" s="1"/>
  <c r="G7"/>
  <c r="H7" s="1"/>
  <c r="AK6"/>
  <c r="AL6" s="1"/>
  <c r="AO6" s="1"/>
  <c r="AE6"/>
  <c r="AF6" s="1"/>
  <c r="D46" i="74" s="1"/>
  <c r="Y6" i="88"/>
  <c r="Z6" s="1"/>
  <c r="AC6" s="1"/>
  <c r="S6"/>
  <c r="T6" s="1"/>
  <c r="M6"/>
  <c r="N6" s="1"/>
  <c r="Q6" s="1"/>
  <c r="G6"/>
  <c r="H6" s="1"/>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D172" i="90"/>
  <c r="I33" i="82"/>
  <c r="C172" i="90"/>
  <c r="E33" i="82"/>
  <c r="K32"/>
  <c r="I32"/>
  <c r="G32"/>
  <c r="E32"/>
  <c r="K31"/>
  <c r="I31"/>
  <c r="G31"/>
  <c r="E31"/>
  <c r="K30"/>
  <c r="I30"/>
  <c r="G30"/>
  <c r="E30"/>
  <c r="K28"/>
  <c r="I28"/>
  <c r="G28"/>
  <c r="E28"/>
  <c r="K27"/>
  <c r="G27"/>
  <c r="K26"/>
  <c r="I26"/>
  <c r="G26"/>
  <c r="E26"/>
  <c r="K25"/>
  <c r="I25"/>
  <c r="G25"/>
  <c r="E25"/>
  <c r="K24"/>
  <c r="I24"/>
  <c r="G24"/>
  <c r="E24"/>
  <c r="I20"/>
  <c r="E20"/>
  <c r="I19"/>
  <c r="E19"/>
  <c r="I18"/>
  <c r="E18"/>
  <c r="I17"/>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L33" i="78"/>
  <c r="D123" i="90" s="1"/>
  <c r="H33" i="78"/>
  <c r="C123" i="90" s="1"/>
  <c r="M31" i="78"/>
  <c r="D121" i="90" s="1"/>
  <c r="L31" i="78"/>
  <c r="I31"/>
  <c r="C121" i="90" s="1"/>
  <c r="H31" i="78"/>
  <c r="M30"/>
  <c r="L30"/>
  <c r="I30"/>
  <c r="H30"/>
  <c r="L29"/>
  <c r="D120" i="90" s="1"/>
  <c r="I29" i="78"/>
  <c r="H29"/>
  <c r="C120" i="90" s="1"/>
  <c r="D119"/>
  <c r="I28" i="78"/>
  <c r="H28"/>
  <c r="C119" i="90" s="1"/>
  <c r="M27" i="78"/>
  <c r="L27"/>
  <c r="D118" i="90" s="1"/>
  <c r="I27" i="78"/>
  <c r="H27"/>
  <c r="C118" i="90" s="1"/>
  <c r="M26" i="78"/>
  <c r="D117" i="90"/>
  <c r="C117"/>
  <c r="L25" i="78"/>
  <c r="D116" i="90" s="1"/>
  <c r="I25" i="78"/>
  <c r="H25"/>
  <c r="C116" i="90" s="1"/>
  <c r="M98" i="77"/>
  <c r="N98" s="1"/>
  <c r="G98"/>
  <c r="H98" s="1"/>
  <c r="Q97"/>
  <c r="M97"/>
  <c r="K97"/>
  <c r="C183" i="90" s="1"/>
  <c r="G97" i="77"/>
  <c r="M96"/>
  <c r="N96" s="1"/>
  <c r="I14" i="82" s="1"/>
  <c r="G96" i="77"/>
  <c r="Q95"/>
  <c r="M95"/>
  <c r="K95"/>
  <c r="C181" i="90" s="1"/>
  <c r="G95" i="77"/>
  <c r="M94"/>
  <c r="G94"/>
  <c r="H94" s="1"/>
  <c r="Q93"/>
  <c r="M93"/>
  <c r="K93"/>
  <c r="C179" i="90" s="1"/>
  <c r="G93" i="77"/>
  <c r="M92"/>
  <c r="I10" i="82" s="1"/>
  <c r="G92" i="77"/>
  <c r="M91"/>
  <c r="G91"/>
  <c r="M90"/>
  <c r="N90" s="1"/>
  <c r="I8" i="82" s="1"/>
  <c r="G90" i="77"/>
  <c r="H90" s="1"/>
  <c r="M89"/>
  <c r="I7" i="82" s="1"/>
  <c r="G89" i="77"/>
  <c r="H89" s="1"/>
  <c r="M72"/>
  <c r="M71"/>
  <c r="N66"/>
  <c r="L16" i="78" s="1"/>
  <c r="H66" i="77"/>
  <c r="H16" i="78" s="1"/>
  <c r="S65" i="77"/>
  <c r="N65"/>
  <c r="M65"/>
  <c r="H65"/>
  <c r="H15" i="78" s="1"/>
  <c r="C109" i="90" s="1"/>
  <c r="G65" i="77"/>
  <c r="S64"/>
  <c r="N64"/>
  <c r="M64"/>
  <c r="H64"/>
  <c r="H14" i="78" s="1"/>
  <c r="C108" i="90" s="1"/>
  <c r="G64" i="77"/>
  <c r="S63"/>
  <c r="M63"/>
  <c r="N63" s="1"/>
  <c r="G63"/>
  <c r="H63" s="1"/>
  <c r="I63" s="1"/>
  <c r="K63" s="1"/>
  <c r="J13" i="78" s="1"/>
  <c r="C133" i="90" s="1"/>
  <c r="S62" i="77"/>
  <c r="M62"/>
  <c r="W62" s="1"/>
  <c r="AX11" i="10" s="1"/>
  <c r="G62" i="77"/>
  <c r="I62" s="1"/>
  <c r="K62" s="1"/>
  <c r="J12" i="78" s="1"/>
  <c r="C132" i="90" s="1"/>
  <c r="S61" i="77"/>
  <c r="M61"/>
  <c r="N61" s="1"/>
  <c r="G61"/>
  <c r="H61" s="1"/>
  <c r="I61" s="1"/>
  <c r="K61" s="1"/>
  <c r="J11" i="78" s="1"/>
  <c r="C131" i="90" s="1"/>
  <c r="S60" i="77"/>
  <c r="M60"/>
  <c r="G60"/>
  <c r="I60" s="1"/>
  <c r="K60" s="1"/>
  <c r="J10" i="78" s="1"/>
  <c r="C130" i="90" s="1"/>
  <c r="S59" i="77"/>
  <c r="M59"/>
  <c r="G59"/>
  <c r="S58"/>
  <c r="M58"/>
  <c r="G58"/>
  <c r="S57"/>
  <c r="M57"/>
  <c r="G57"/>
  <c r="AK47"/>
  <c r="AE47"/>
  <c r="Y47"/>
  <c r="S47"/>
  <c r="M47"/>
  <c r="G47"/>
  <c r="AK46"/>
  <c r="AE46"/>
  <c r="Y46"/>
  <c r="S46"/>
  <c r="M46"/>
  <c r="G46"/>
  <c r="J35" i="81"/>
  <c r="H69" i="90" s="1"/>
  <c r="N14" i="81"/>
  <c r="F69" i="90" s="1"/>
  <c r="F14" i="81"/>
  <c r="D69" i="90" s="1"/>
  <c r="L33" i="81"/>
  <c r="H85" i="90" s="1"/>
  <c r="P12" i="81"/>
  <c r="F85" i="90" s="1"/>
  <c r="H12" i="81"/>
  <c r="D85" i="90" s="1"/>
  <c r="AK45" i="77"/>
  <c r="AE45"/>
  <c r="Y45"/>
  <c r="S45"/>
  <c r="M45"/>
  <c r="G45"/>
  <c r="H45" s="1"/>
  <c r="AK44"/>
  <c r="AE44"/>
  <c r="Y44"/>
  <c r="S44"/>
  <c r="M44"/>
  <c r="G44"/>
  <c r="AK43"/>
  <c r="AE43"/>
  <c r="Y43"/>
  <c r="Z43" s="1"/>
  <c r="S43"/>
  <c r="M43"/>
  <c r="N43" s="1"/>
  <c r="G43"/>
  <c r="AK42"/>
  <c r="AE42"/>
  <c r="Y42"/>
  <c r="S42"/>
  <c r="M42"/>
  <c r="G42"/>
  <c r="N28" i="81"/>
  <c r="I62" i="90" s="1"/>
  <c r="L28" i="81"/>
  <c r="H80" i="90" s="1"/>
  <c r="F28" i="81"/>
  <c r="G62" i="90" s="1"/>
  <c r="P7" i="81"/>
  <c r="F80" i="90" s="1"/>
  <c r="J7" i="81"/>
  <c r="E62" i="90" s="1"/>
  <c r="G41" i="77"/>
  <c r="H41" s="1"/>
  <c r="I41" s="1"/>
  <c r="K41" s="1"/>
  <c r="AK31"/>
  <c r="AE31"/>
  <c r="Y31"/>
  <c r="S31"/>
  <c r="M31"/>
  <c r="G31"/>
  <c r="H31" s="1"/>
  <c r="E13" i="80" s="1"/>
  <c r="D43" i="90" s="1"/>
  <c r="AK30" i="77"/>
  <c r="AE30"/>
  <c r="Y30"/>
  <c r="S30"/>
  <c r="M30"/>
  <c r="G30"/>
  <c r="H30" s="1"/>
  <c r="AK29"/>
  <c r="AL29" s="1"/>
  <c r="AE29"/>
  <c r="Y29"/>
  <c r="Z29" s="1"/>
  <c r="S29"/>
  <c r="M29"/>
  <c r="N29" s="1"/>
  <c r="G29"/>
  <c r="H29" s="1"/>
  <c r="E11" i="80" s="1"/>
  <c r="D41" i="90" s="1"/>
  <c r="AK28" i="77"/>
  <c r="AE28"/>
  <c r="Y28"/>
  <c r="S28"/>
  <c r="M28"/>
  <c r="G28"/>
  <c r="AK27"/>
  <c r="AL27" s="1"/>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L10"/>
  <c r="E10"/>
  <c r="L9"/>
  <c r="M9" s="1"/>
  <c r="M11" s="1"/>
  <c r="N11" s="1"/>
  <c r="L20" s="1"/>
  <c r="E9"/>
  <c r="F9" s="1"/>
  <c r="F11" s="1"/>
  <c r="L17" s="1"/>
  <c r="L5"/>
  <c r="E5"/>
  <c r="L4"/>
  <c r="M4" s="1"/>
  <c r="M6" s="1"/>
  <c r="L19" s="1"/>
  <c r="E4"/>
  <c r="F4" s="1"/>
  <c r="F6" s="1"/>
  <c r="L64" i="24"/>
  <c r="H13" i="92" s="1"/>
  <c r="U13" s="1"/>
  <c r="AG13" s="1"/>
  <c r="L65" i="24"/>
  <c r="L66"/>
  <c r="H15" i="92" s="1"/>
  <c r="U15" s="1"/>
  <c r="AG15" s="1"/>
  <c r="L67" i="24"/>
  <c r="H16" i="92" s="1"/>
  <c r="U16" s="1"/>
  <c r="AG16" s="1"/>
  <c r="L68" i="24"/>
  <c r="H17" i="92" s="1"/>
  <c r="U17" s="1"/>
  <c r="AG17" s="1"/>
  <c r="L69" i="24"/>
  <c r="H18" i="92" s="1"/>
  <c r="U18" s="1"/>
  <c r="AG18" s="1"/>
  <c r="H19"/>
  <c r="U19" s="1"/>
  <c r="AG19" s="1"/>
  <c r="L63" i="24"/>
  <c r="P63"/>
  <c r="S63"/>
  <c r="W63"/>
  <c r="K12" i="92" s="1"/>
  <c r="X12" s="1"/>
  <c r="AJ12" s="1"/>
  <c r="Z63" i="24"/>
  <c r="AD63"/>
  <c r="I26" i="114" s="1"/>
  <c r="G79" i="69" s="1"/>
  <c r="AG63" i="24"/>
  <c r="K26" i="114" s="1"/>
  <c r="AK63" i="24"/>
  <c r="H79" i="69" s="1"/>
  <c r="AN63" i="24"/>
  <c r="AR63"/>
  <c r="Q26" i="114" s="1"/>
  <c r="I79" i="69" s="1"/>
  <c r="AU63" i="24"/>
  <c r="S26" i="114" s="1"/>
  <c r="P64" i="24"/>
  <c r="I13" i="92" s="1"/>
  <c r="V13" s="1"/>
  <c r="AH13" s="1"/>
  <c r="S64" i="24"/>
  <c r="W64"/>
  <c r="K13" i="92" s="1"/>
  <c r="X13" s="1"/>
  <c r="AJ13" s="1"/>
  <c r="Z64" i="24"/>
  <c r="AD64"/>
  <c r="AG64"/>
  <c r="K27" i="114" s="1"/>
  <c r="AK64" i="24"/>
  <c r="AN64"/>
  <c r="AR64"/>
  <c r="AU64"/>
  <c r="S27" i="114" s="1"/>
  <c r="P65" i="24"/>
  <c r="I14" i="92" s="1"/>
  <c r="V14" s="1"/>
  <c r="AH14" s="1"/>
  <c r="S65" i="24"/>
  <c r="W65"/>
  <c r="K14" i="92" s="1"/>
  <c r="X14" s="1"/>
  <c r="AJ14" s="1"/>
  <c r="Z65" i="24"/>
  <c r="AD65"/>
  <c r="AG65"/>
  <c r="K28" i="114" s="1"/>
  <c r="AK65" i="24"/>
  <c r="AN65"/>
  <c r="AR65"/>
  <c r="AU65"/>
  <c r="S28" i="114" s="1"/>
  <c r="P66" i="24"/>
  <c r="I15" i="92" s="1"/>
  <c r="V15" s="1"/>
  <c r="AH15" s="1"/>
  <c r="S66" i="24"/>
  <c r="J15" i="92" s="1"/>
  <c r="W15" s="1"/>
  <c r="AI15" s="1"/>
  <c r="W66" i="24"/>
  <c r="K15" i="92" s="1"/>
  <c r="X15" s="1"/>
  <c r="AJ15" s="1"/>
  <c r="Z66" i="24"/>
  <c r="S29" i="54" s="1"/>
  <c r="AD66" i="24"/>
  <c r="AG66"/>
  <c r="K29" i="114" s="1"/>
  <c r="AK66" i="24"/>
  <c r="AN66"/>
  <c r="AR66"/>
  <c r="AU66"/>
  <c r="P67"/>
  <c r="I16" i="92" s="1"/>
  <c r="V16" s="1"/>
  <c r="AH16" s="1"/>
  <c r="S67" i="24"/>
  <c r="W67"/>
  <c r="K16" i="92" s="1"/>
  <c r="X16" s="1"/>
  <c r="AJ16" s="1"/>
  <c r="Z67" i="24"/>
  <c r="AD67"/>
  <c r="AG67"/>
  <c r="K30" i="114" s="1"/>
  <c r="AK67" i="24"/>
  <c r="AN67"/>
  <c r="AR67"/>
  <c r="AU67"/>
  <c r="S30" i="114" s="1"/>
  <c r="P68" i="24"/>
  <c r="I17" i="92" s="1"/>
  <c r="V17" s="1"/>
  <c r="AH17" s="1"/>
  <c r="S68" i="24"/>
  <c r="J17" i="92" s="1"/>
  <c r="W17" s="1"/>
  <c r="AI17" s="1"/>
  <c r="W68" i="24"/>
  <c r="K17" i="92" s="1"/>
  <c r="X17" s="1"/>
  <c r="AJ17" s="1"/>
  <c r="Z68" i="24"/>
  <c r="AD68"/>
  <c r="I31" i="114" s="1"/>
  <c r="G84" i="69" s="1"/>
  <c r="AG68" i="24"/>
  <c r="K31" i="114" s="1"/>
  <c r="AK68" i="24"/>
  <c r="AN68"/>
  <c r="AR68"/>
  <c r="AU68"/>
  <c r="S31" i="114" s="1"/>
  <c r="P69" i="24"/>
  <c r="I18" i="92" s="1"/>
  <c r="V18" s="1"/>
  <c r="AH18" s="1"/>
  <c r="S69" i="24"/>
  <c r="W69"/>
  <c r="K18" i="92" s="1"/>
  <c r="X18" s="1"/>
  <c r="AJ18" s="1"/>
  <c r="Z69" i="24"/>
  <c r="AD69"/>
  <c r="AG69"/>
  <c r="K32" i="114" s="1"/>
  <c r="AK69" i="24"/>
  <c r="AN69"/>
  <c r="AR69"/>
  <c r="AU69"/>
  <c r="S32" i="114" s="1"/>
  <c r="J19" i="92"/>
  <c r="W19" s="1"/>
  <c r="AI19" s="1"/>
  <c r="Z70" i="24"/>
  <c r="M19" i="92" s="1"/>
  <c r="Z19" s="1"/>
  <c r="AL19" s="1"/>
  <c r="AG70" i="24"/>
  <c r="O19" i="92" s="1"/>
  <c r="AB19" s="1"/>
  <c r="AN19" s="1"/>
  <c r="AN70" i="24"/>
  <c r="Q19" i="92" s="1"/>
  <c r="AD19" s="1"/>
  <c r="AP19" s="1"/>
  <c r="AU70" i="24"/>
  <c r="C4" i="74"/>
  <c r="D4"/>
  <c r="E4"/>
  <c r="F4"/>
  <c r="C5"/>
  <c r="D5"/>
  <c r="E5"/>
  <c r="F5"/>
  <c r="L5"/>
  <c r="O5"/>
  <c r="R5"/>
  <c r="U5"/>
  <c r="C6"/>
  <c r="D6"/>
  <c r="E6"/>
  <c r="F6"/>
  <c r="L6"/>
  <c r="O6"/>
  <c r="R6"/>
  <c r="U6"/>
  <c r="C7"/>
  <c r="D7"/>
  <c r="E7"/>
  <c r="F7"/>
  <c r="L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O16"/>
  <c r="C17"/>
  <c r="D17"/>
  <c r="E17"/>
  <c r="F17"/>
  <c r="H17"/>
  <c r="AA17" s="1"/>
  <c r="AM17" s="1"/>
  <c r="I17"/>
  <c r="K17"/>
  <c r="AC17" s="1"/>
  <c r="AO17" s="1"/>
  <c r="L17"/>
  <c r="O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O30"/>
  <c r="Q30"/>
  <c r="AG30" s="1"/>
  <c r="AS30" s="1"/>
  <c r="R30"/>
  <c r="T30"/>
  <c r="AI30" s="1"/>
  <c r="AU30" s="1"/>
  <c r="U30"/>
  <c r="C31"/>
  <c r="D31"/>
  <c r="E31"/>
  <c r="F31"/>
  <c r="H31"/>
  <c r="AA31" s="1"/>
  <c r="AM31" s="1"/>
  <c r="I31"/>
  <c r="K31"/>
  <c r="AC31" s="1"/>
  <c r="AO31" s="1"/>
  <c r="L31"/>
  <c r="O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O44"/>
  <c r="Q44"/>
  <c r="AG44" s="1"/>
  <c r="AS44" s="1"/>
  <c r="U44"/>
  <c r="C45"/>
  <c r="D45"/>
  <c r="E45"/>
  <c r="F45"/>
  <c r="H45"/>
  <c r="AA45" s="1"/>
  <c r="AM45" s="1"/>
  <c r="I45"/>
  <c r="K45"/>
  <c r="AC45" s="1"/>
  <c r="AO45" s="1"/>
  <c r="L45"/>
  <c r="N45"/>
  <c r="AE45" s="1"/>
  <c r="AQ45" s="1"/>
  <c r="O45"/>
  <c r="R45"/>
  <c r="W45"/>
  <c r="AK45" s="1"/>
  <c r="AW45" s="1"/>
  <c r="X45"/>
  <c r="AA68" i="60"/>
  <c r="AA57" i="121" s="1"/>
  <c r="AA69" i="60"/>
  <c r="AA58" i="121" s="1"/>
  <c r="AA70" i="60"/>
  <c r="AA59" i="121" s="1"/>
  <c r="AA71" i="60"/>
  <c r="AA73"/>
  <c r="AA62" i="121" s="1"/>
  <c r="AA74" i="60"/>
  <c r="AA63" i="121" s="1"/>
  <c r="K68" i="60"/>
  <c r="K57" i="121" s="1"/>
  <c r="K69" i="60"/>
  <c r="K58" i="121" s="1"/>
  <c r="K70" i="60"/>
  <c r="K59" i="121" s="1"/>
  <c r="K71" i="60"/>
  <c r="K73"/>
  <c r="K62" i="121" s="1"/>
  <c r="K74" i="60"/>
  <c r="K63" i="121" s="1"/>
  <c r="AA67" i="60"/>
  <c r="AA56" i="121" s="1"/>
  <c r="K67" i="60"/>
  <c r="K56" i="121" s="1"/>
  <c r="AA27" i="60"/>
  <c r="AA24" i="121" s="1"/>
  <c r="AA28" i="60"/>
  <c r="AA25" i="121" s="1"/>
  <c r="AA29" i="60"/>
  <c r="AA26" i="121" s="1"/>
  <c r="AA30" i="60"/>
  <c r="AA32"/>
  <c r="AA29" i="121" s="1"/>
  <c r="AA33" i="60"/>
  <c r="AA30" i="121" s="1"/>
  <c r="S27" i="60"/>
  <c r="S28"/>
  <c r="S29"/>
  <c r="S30"/>
  <c r="S32"/>
  <c r="S33"/>
  <c r="K27"/>
  <c r="K24" i="121" s="1"/>
  <c r="K28" i="60"/>
  <c r="K25" i="121" s="1"/>
  <c r="K29" i="60"/>
  <c r="K26" i="121" s="1"/>
  <c r="K30" i="120"/>
  <c r="K29" i="121"/>
  <c r="K33" i="60"/>
  <c r="K30" i="121" s="1"/>
  <c r="AA26" i="60"/>
  <c r="AA23" i="121" s="1"/>
  <c r="S26" i="60"/>
  <c r="AA65" i="58"/>
  <c r="AA66"/>
  <c r="AA67"/>
  <c r="AA68"/>
  <c r="AA69"/>
  <c r="AA70"/>
  <c r="AA71"/>
  <c r="K65"/>
  <c r="K66"/>
  <c r="K67"/>
  <c r="K68"/>
  <c r="K69"/>
  <c r="K70"/>
  <c r="K71"/>
  <c r="AA27"/>
  <c r="AA28"/>
  <c r="AA29"/>
  <c r="AA30"/>
  <c r="AA31"/>
  <c r="AA32"/>
  <c r="AA33"/>
  <c r="S27"/>
  <c r="S28"/>
  <c r="S29"/>
  <c r="S30"/>
  <c r="S31"/>
  <c r="S32"/>
  <c r="S33"/>
  <c r="K27"/>
  <c r="K28"/>
  <c r="K29"/>
  <c r="K30"/>
  <c r="K31"/>
  <c r="S26"/>
  <c r="K26"/>
  <c r="AA69" i="46"/>
  <c r="AA70"/>
  <c r="AA71"/>
  <c r="AA72"/>
  <c r="AA73"/>
  <c r="AA74"/>
  <c r="AA75"/>
  <c r="S69"/>
  <c r="S70"/>
  <c r="S71"/>
  <c r="S72"/>
  <c r="S73"/>
  <c r="S74"/>
  <c r="S75"/>
  <c r="K69"/>
  <c r="K70"/>
  <c r="K71"/>
  <c r="K72"/>
  <c r="K73"/>
  <c r="K74"/>
  <c r="K75"/>
  <c r="AA68"/>
  <c r="S68"/>
  <c r="K68"/>
  <c r="AA29"/>
  <c r="AA30"/>
  <c r="AA31"/>
  <c r="AA32"/>
  <c r="AA33"/>
  <c r="AA34"/>
  <c r="AA35"/>
  <c r="AA28"/>
  <c r="S29"/>
  <c r="S30"/>
  <c r="S31"/>
  <c r="S32"/>
  <c r="S33"/>
  <c r="S34"/>
  <c r="S35"/>
  <c r="S28"/>
  <c r="K29"/>
  <c r="K30"/>
  <c r="K31"/>
  <c r="K32"/>
  <c r="K33"/>
  <c r="K34"/>
  <c r="K28"/>
  <c r="I105" i="24"/>
  <c r="L105"/>
  <c r="P105"/>
  <c r="I21" i="92" s="1"/>
  <c r="V21" s="1"/>
  <c r="AH21" s="1"/>
  <c r="S105" i="24"/>
  <c r="W105"/>
  <c r="Z105"/>
  <c r="AD105"/>
  <c r="I30" i="115" s="1"/>
  <c r="AG105" i="24"/>
  <c r="K30" i="115" s="1"/>
  <c r="AK105" i="24"/>
  <c r="AN105"/>
  <c r="AR105"/>
  <c r="Q30" i="115" s="1"/>
  <c r="AU105" i="24"/>
  <c r="S30" i="115" s="1"/>
  <c r="L106" i="24"/>
  <c r="P106"/>
  <c r="I22" i="92" s="1"/>
  <c r="V22" s="1"/>
  <c r="AH22" s="1"/>
  <c r="S106" i="24"/>
  <c r="W106"/>
  <c r="Z106"/>
  <c r="AD106"/>
  <c r="I31" i="115" s="1"/>
  <c r="AG106" i="24"/>
  <c r="K31" i="115" s="1"/>
  <c r="AK106" i="24"/>
  <c r="AN106"/>
  <c r="AR106"/>
  <c r="Q31" i="115" s="1"/>
  <c r="AU106" i="24"/>
  <c r="S31" i="115" s="1"/>
  <c r="L107" i="24"/>
  <c r="P107"/>
  <c r="I23" i="92" s="1"/>
  <c r="V23" s="1"/>
  <c r="AH23" s="1"/>
  <c r="S107" i="24"/>
  <c r="W107"/>
  <c r="Z107"/>
  <c r="AD107"/>
  <c r="I32" i="115" s="1"/>
  <c r="AG107" i="24"/>
  <c r="K32" i="115" s="1"/>
  <c r="AK107" i="24"/>
  <c r="AN107"/>
  <c r="AR107"/>
  <c r="Q32" i="115" s="1"/>
  <c r="AU107" i="24"/>
  <c r="S32" i="115" s="1"/>
  <c r="G24" i="92"/>
  <c r="T24" s="1"/>
  <c r="AF24" s="1"/>
  <c r="L108" i="24"/>
  <c r="I24" i="92"/>
  <c r="V24" s="1"/>
  <c r="AH24" s="1"/>
  <c r="S108" i="24"/>
  <c r="W108"/>
  <c r="K24" i="92" s="1"/>
  <c r="X24" s="1"/>
  <c r="AJ24" s="1"/>
  <c r="Z108" i="24"/>
  <c r="AD108"/>
  <c r="AG108"/>
  <c r="K33" i="115" s="1"/>
  <c r="AK108" i="24"/>
  <c r="AN108"/>
  <c r="AR108"/>
  <c r="AU108"/>
  <c r="S33" i="115" s="1"/>
  <c r="G25" i="92"/>
  <c r="T25" s="1"/>
  <c r="AF25" s="1"/>
  <c r="L109" i="24"/>
  <c r="P109"/>
  <c r="Q31" i="60" s="1"/>
  <c r="E192" i="62" s="1"/>
  <c r="S109" i="24"/>
  <c r="W109"/>
  <c r="Y31" i="60" s="1"/>
  <c r="F192" i="62" s="1"/>
  <c r="Z109" i="24"/>
  <c r="AD109"/>
  <c r="I72" i="60" s="1"/>
  <c r="G192" i="62" s="1"/>
  <c r="AG109" i="24"/>
  <c r="K34" i="115" s="1"/>
  <c r="AK109" i="24"/>
  <c r="H192" i="62" s="1"/>
  <c r="AN109" i="24"/>
  <c r="AU109"/>
  <c r="S34" i="115" s="1"/>
  <c r="I110" i="24"/>
  <c r="L110"/>
  <c r="P110"/>
  <c r="I26" i="92" s="1"/>
  <c r="V26" s="1"/>
  <c r="AH26" s="1"/>
  <c r="S110" i="24"/>
  <c r="W110"/>
  <c r="Z110"/>
  <c r="AD110"/>
  <c r="AG110"/>
  <c r="K35" i="115" s="1"/>
  <c r="AK110" i="24"/>
  <c r="AN110"/>
  <c r="AR110"/>
  <c r="Q35" i="115" s="1"/>
  <c r="AU110" i="24"/>
  <c r="S35" i="115" s="1"/>
  <c r="L111" i="24"/>
  <c r="S111"/>
  <c r="Z111"/>
  <c r="M27" i="92" s="1"/>
  <c r="Z27" s="1"/>
  <c r="AL27" s="1"/>
  <c r="AG111" i="24"/>
  <c r="AN111"/>
  <c r="L116"/>
  <c r="L130" s="1"/>
  <c r="W116"/>
  <c r="W130" s="1"/>
  <c r="Z116"/>
  <c r="Z130" s="1"/>
  <c r="AD116"/>
  <c r="AD130" s="1"/>
  <c r="AG116"/>
  <c r="AG130" s="1"/>
  <c r="AR116"/>
  <c r="AR130" s="1"/>
  <c r="AU116"/>
  <c r="AU130" s="1"/>
  <c r="I117"/>
  <c r="I131" s="1"/>
  <c r="L117"/>
  <c r="L131" s="1"/>
  <c r="W117"/>
  <c r="W131" s="1"/>
  <c r="Z117"/>
  <c r="Z131" s="1"/>
  <c r="AD117"/>
  <c r="AD131" s="1"/>
  <c r="AG117"/>
  <c r="AG131" s="1"/>
  <c r="AR117"/>
  <c r="AR131" s="1"/>
  <c r="AU117"/>
  <c r="AU131" s="1"/>
  <c r="L104"/>
  <c r="P104"/>
  <c r="I20" i="92" s="1"/>
  <c r="V20" s="1"/>
  <c r="AH20" s="1"/>
  <c r="S104" i="24"/>
  <c r="W104"/>
  <c r="Z104"/>
  <c r="AD104"/>
  <c r="I29" i="115" s="1"/>
  <c r="AG104" i="24"/>
  <c r="K29" i="115" s="1"/>
  <c r="AK104" i="24"/>
  <c r="AN104"/>
  <c r="AR104"/>
  <c r="Q29" i="115" s="1"/>
  <c r="AU104" i="24"/>
  <c r="S29" i="115" s="1"/>
  <c r="I64" i="24"/>
  <c r="I65"/>
  <c r="G14" i="92" s="1"/>
  <c r="T14" s="1"/>
  <c r="AF14" s="1"/>
  <c r="I66" i="24"/>
  <c r="G15" i="92" s="1"/>
  <c r="T15" s="1"/>
  <c r="AF15" s="1"/>
  <c r="I67" i="24"/>
  <c r="G16" i="92" s="1"/>
  <c r="T16" s="1"/>
  <c r="AF16" s="1"/>
  <c r="G17"/>
  <c r="T17" s="1"/>
  <c r="AF17" s="1"/>
  <c r="I69" i="24"/>
  <c r="I63"/>
  <c r="I26" i="54" s="1"/>
  <c r="L35" i="24"/>
  <c r="S35"/>
  <c r="Z35"/>
  <c r="M11" i="92" s="1"/>
  <c r="Z11" s="1"/>
  <c r="AL11" s="1"/>
  <c r="AG35" i="24"/>
  <c r="AN35"/>
  <c r="AU35"/>
  <c r="S35" i="113" s="1"/>
  <c r="I32" i="69" s="1"/>
  <c r="P29" i="24"/>
  <c r="I5" i="92" s="1"/>
  <c r="V5" s="1"/>
  <c r="AH5" s="1"/>
  <c r="S29" i="24"/>
  <c r="W29"/>
  <c r="K5" i="92" s="1"/>
  <c r="X5" s="1"/>
  <c r="AJ5" s="1"/>
  <c r="Z29" i="24"/>
  <c r="AD29"/>
  <c r="AG29"/>
  <c r="K29" i="113" s="1"/>
  <c r="AK29" i="24"/>
  <c r="O5" i="92" s="1"/>
  <c r="AB5" s="1"/>
  <c r="AN5" s="1"/>
  <c r="AN29" i="24"/>
  <c r="O29" i="113" s="1"/>
  <c r="AR29" i="24"/>
  <c r="Q5" i="92" s="1"/>
  <c r="AD5" s="1"/>
  <c r="AP5" s="1"/>
  <c r="AU29" i="24"/>
  <c r="S29" i="113" s="1"/>
  <c r="P30" i="24"/>
  <c r="I6" i="92" s="1"/>
  <c r="V6" s="1"/>
  <c r="AH6" s="1"/>
  <c r="S30" i="24"/>
  <c r="W30"/>
  <c r="K6" i="92" s="1"/>
  <c r="X6" s="1"/>
  <c r="AJ6" s="1"/>
  <c r="Z30" i="24"/>
  <c r="AD30"/>
  <c r="AG30"/>
  <c r="K30" i="113" s="1"/>
  <c r="AK30" i="24"/>
  <c r="O6" i="92" s="1"/>
  <c r="AB6" s="1"/>
  <c r="AN6" s="1"/>
  <c r="AN30" i="24"/>
  <c r="O30" i="113" s="1"/>
  <c r="AR30" i="24"/>
  <c r="Q6" i="92" s="1"/>
  <c r="AD6" s="1"/>
  <c r="AP6" s="1"/>
  <c r="AU30" i="24"/>
  <c r="S30" i="113" s="1"/>
  <c r="P31" i="24"/>
  <c r="I7" i="92" s="1"/>
  <c r="V7" s="1"/>
  <c r="AH7" s="1"/>
  <c r="S31" i="24"/>
  <c r="W31"/>
  <c r="K7" i="92" s="1"/>
  <c r="X7" s="1"/>
  <c r="AJ7" s="1"/>
  <c r="Z31" i="24"/>
  <c r="AD31"/>
  <c r="AG31"/>
  <c r="K31" i="113" s="1"/>
  <c r="AK31" i="24"/>
  <c r="O7" i="92" s="1"/>
  <c r="AB7" s="1"/>
  <c r="AN7" s="1"/>
  <c r="AN31" i="24"/>
  <c r="O31" i="113" s="1"/>
  <c r="AR31" i="24"/>
  <c r="Q7" i="92" s="1"/>
  <c r="AD7" s="1"/>
  <c r="AP7" s="1"/>
  <c r="AU31" i="24"/>
  <c r="S31" i="113" s="1"/>
  <c r="P32" i="24"/>
  <c r="I8" i="92" s="1"/>
  <c r="V8" s="1"/>
  <c r="AH8" s="1"/>
  <c r="S32" i="24"/>
  <c r="W32"/>
  <c r="K8" i="92" s="1"/>
  <c r="X8" s="1"/>
  <c r="AJ8" s="1"/>
  <c r="Z32" i="24"/>
  <c r="AD32"/>
  <c r="AG32"/>
  <c r="K32" i="113" s="1"/>
  <c r="AK32" i="24"/>
  <c r="O8" i="92" s="1"/>
  <c r="AB8" s="1"/>
  <c r="AN8" s="1"/>
  <c r="AN32" i="24"/>
  <c r="O32" i="113" s="1"/>
  <c r="AR32" i="24"/>
  <c r="Q8" i="92" s="1"/>
  <c r="AD8" s="1"/>
  <c r="AP8" s="1"/>
  <c r="AU32" i="24"/>
  <c r="S32" i="113" s="1"/>
  <c r="P33" i="24"/>
  <c r="I9" i="92" s="1"/>
  <c r="V9" s="1"/>
  <c r="AH9" s="1"/>
  <c r="S33" i="24"/>
  <c r="W33"/>
  <c r="K9" i="92" s="1"/>
  <c r="X9" s="1"/>
  <c r="AJ9" s="1"/>
  <c r="Z33" i="24"/>
  <c r="AD33"/>
  <c r="AG33"/>
  <c r="K33" i="113" s="1"/>
  <c r="AK33" i="24"/>
  <c r="O9" i="92" s="1"/>
  <c r="AB9" s="1"/>
  <c r="AN9" s="1"/>
  <c r="AN33" i="24"/>
  <c r="O33" i="113" s="1"/>
  <c r="AR33" i="24"/>
  <c r="Q9" i="92" s="1"/>
  <c r="AD9" s="1"/>
  <c r="AP9" s="1"/>
  <c r="AU33" i="24"/>
  <c r="S33" i="113" s="1"/>
  <c r="P34" i="24"/>
  <c r="I10" i="92" s="1"/>
  <c r="V10" s="1"/>
  <c r="AH10" s="1"/>
  <c r="S34" i="24"/>
  <c r="W34"/>
  <c r="K10" i="92" s="1"/>
  <c r="X10" s="1"/>
  <c r="AJ10" s="1"/>
  <c r="Z34" i="24"/>
  <c r="AD34"/>
  <c r="AG34"/>
  <c r="K34" i="113" s="1"/>
  <c r="AK34" i="24"/>
  <c r="O10" i="92" s="1"/>
  <c r="AB10" s="1"/>
  <c r="AN10" s="1"/>
  <c r="AN34" i="24"/>
  <c r="O34" i="113" s="1"/>
  <c r="AR34" i="24"/>
  <c r="Q10" i="92" s="1"/>
  <c r="AD10" s="1"/>
  <c r="AP10" s="1"/>
  <c r="AU34" i="24"/>
  <c r="S34" i="113" s="1"/>
  <c r="L28" i="24"/>
  <c r="P28"/>
  <c r="I4" i="92" s="1"/>
  <c r="V4" s="1"/>
  <c r="AH4" s="1"/>
  <c r="W28" i="24"/>
  <c r="K4" i="92" s="1"/>
  <c r="X4" s="1"/>
  <c r="AJ4" s="1"/>
  <c r="Z28" i="24"/>
  <c r="AD28"/>
  <c r="AG28"/>
  <c r="K28" i="113" s="1"/>
  <c r="AK28" i="24"/>
  <c r="AN28"/>
  <c r="O28" i="113" s="1"/>
  <c r="AR28" i="24"/>
  <c r="AU28"/>
  <c r="S28" i="113" s="1"/>
  <c r="L29" i="24"/>
  <c r="L30"/>
  <c r="L31"/>
  <c r="L32"/>
  <c r="L34"/>
  <c r="I29"/>
  <c r="G5" i="92" s="1"/>
  <c r="T5" s="1"/>
  <c r="AF5" s="1"/>
  <c r="I30" i="24"/>
  <c r="G6" i="92" s="1"/>
  <c r="T6" s="1"/>
  <c r="AF6" s="1"/>
  <c r="I31" i="24"/>
  <c r="G7" i="92" s="1"/>
  <c r="T7" s="1"/>
  <c r="AF7" s="1"/>
  <c r="I32" i="24"/>
  <c r="G8" i="92" s="1"/>
  <c r="T8" s="1"/>
  <c r="AF8" s="1"/>
  <c r="G9"/>
  <c r="T9" s="1"/>
  <c r="AF9" s="1"/>
  <c r="I34" i="24"/>
  <c r="G10" i="92" s="1"/>
  <c r="T10" s="1"/>
  <c r="AF10" s="1"/>
  <c r="G4"/>
  <c r="T4" s="1"/>
  <c r="AF4" s="1"/>
  <c r="AQ22" i="24"/>
  <c r="AR22" s="1"/>
  <c r="AJ22"/>
  <c r="AK22" s="1"/>
  <c r="AC22"/>
  <c r="AD22" s="1"/>
  <c r="V22"/>
  <c r="W22" s="1"/>
  <c r="L19" i="7" s="1"/>
  <c r="O22" i="24"/>
  <c r="AQ18"/>
  <c r="AR18" s="1"/>
  <c r="AJ18"/>
  <c r="AK18" s="1"/>
  <c r="AC18"/>
  <c r="AD18" s="1"/>
  <c r="V18"/>
  <c r="W18" s="1"/>
  <c r="O18"/>
  <c r="P18" s="1"/>
  <c r="AC43" i="88" l="1"/>
  <c r="AC41"/>
  <c r="X70" i="89" s="1"/>
  <c r="N15" i="88"/>
  <c r="O55" i="74"/>
  <c r="Z15" i="88"/>
  <c r="U55" i="74"/>
  <c r="Z25" i="88"/>
  <c r="U56" i="74"/>
  <c r="Z26" i="88"/>
  <c r="U57" i="74"/>
  <c r="Z27" i="88"/>
  <c r="AC27" s="1"/>
  <c r="U58" i="74"/>
  <c r="Z29" i="88"/>
  <c r="U60" i="74"/>
  <c r="Z30" i="88"/>
  <c r="U61" i="74"/>
  <c r="Z31" i="88"/>
  <c r="U62" i="74"/>
  <c r="N61" i="88"/>
  <c r="O77" i="74"/>
  <c r="N89" i="88"/>
  <c r="O86" i="74"/>
  <c r="N90" i="88"/>
  <c r="O87" i="74"/>
  <c r="N91" i="88"/>
  <c r="O88" i="74"/>
  <c r="N92" i="88"/>
  <c r="O89" i="74"/>
  <c r="N94" i="88"/>
  <c r="O91" i="74"/>
  <c r="N96" i="88"/>
  <c r="O93" i="74"/>
  <c r="O46"/>
  <c r="U46"/>
  <c r="X54"/>
  <c r="R54"/>
  <c r="D54"/>
  <c r="X53"/>
  <c r="U53"/>
  <c r="R53"/>
  <c r="O53"/>
  <c r="X51"/>
  <c r="R51"/>
  <c r="X50"/>
  <c r="U50"/>
  <c r="R50"/>
  <c r="O50"/>
  <c r="U48"/>
  <c r="O48"/>
  <c r="U47"/>
  <c r="O47"/>
  <c r="T15" i="88"/>
  <c r="R55" i="74"/>
  <c r="AF15" i="88"/>
  <c r="X55" i="74"/>
  <c r="J41" i="84"/>
  <c r="H17" i="91" s="1"/>
  <c r="D28" i="92"/>
  <c r="O29"/>
  <c r="AB29" s="1"/>
  <c r="AN29" s="1"/>
  <c r="D29"/>
  <c r="J43" i="84"/>
  <c r="H19" i="91" s="1"/>
  <c r="D30" i="92"/>
  <c r="AF25" i="88"/>
  <c r="D56" i="74" s="1"/>
  <c r="X56"/>
  <c r="AF26" i="88"/>
  <c r="D57" i="74" s="1"/>
  <c r="X57"/>
  <c r="N60" i="88"/>
  <c r="O76" i="74"/>
  <c r="N62" i="88"/>
  <c r="O78" i="74"/>
  <c r="N98" i="88"/>
  <c r="O95" i="74"/>
  <c r="R46"/>
  <c r="X46"/>
  <c r="U54"/>
  <c r="O54"/>
  <c r="U51"/>
  <c r="O51"/>
  <c r="D50"/>
  <c r="X48"/>
  <c r="R48"/>
  <c r="X47"/>
  <c r="R47"/>
  <c r="D47"/>
  <c r="AI26" i="88"/>
  <c r="AM26"/>
  <c r="AO26"/>
  <c r="G18" i="92"/>
  <c r="T18" s="1"/>
  <c r="AF18" s="1"/>
  <c r="I32" i="58"/>
  <c r="I8" i="89"/>
  <c r="K6" i="88"/>
  <c r="U46"/>
  <c r="W46"/>
  <c r="AA30"/>
  <c r="AC30"/>
  <c r="AG46"/>
  <c r="AI46"/>
  <c r="AM46"/>
  <c r="AO46"/>
  <c r="AA25"/>
  <c r="AC25"/>
  <c r="AM30"/>
  <c r="AO30"/>
  <c r="U42"/>
  <c r="W42"/>
  <c r="AM25"/>
  <c r="O112" i="89"/>
  <c r="AO25" i="88"/>
  <c r="R112" i="89" s="1"/>
  <c r="AM42" i="88"/>
  <c r="AO42" s="1"/>
  <c r="X114" i="89" s="1"/>
  <c r="AA26" i="88"/>
  <c r="AC26"/>
  <c r="I41"/>
  <c r="L15" i="7"/>
  <c r="I11" i="112"/>
  <c r="W6" i="88"/>
  <c r="AI6"/>
  <c r="Q8"/>
  <c r="AC8"/>
  <c r="H9"/>
  <c r="K8"/>
  <c r="W8"/>
  <c r="AI8"/>
  <c r="Q11"/>
  <c r="Q14"/>
  <c r="W11"/>
  <c r="AI11"/>
  <c r="W14"/>
  <c r="S26" i="120"/>
  <c r="S23" i="121"/>
  <c r="S30" i="120"/>
  <c r="S28"/>
  <c r="S25" i="121"/>
  <c r="AA30" i="120"/>
  <c r="S70"/>
  <c r="S59" i="121"/>
  <c r="S68" i="120"/>
  <c r="S57" i="121"/>
  <c r="S29" i="120"/>
  <c r="S26" i="121"/>
  <c r="S27" i="120"/>
  <c r="S24" i="121"/>
  <c r="S67" i="120"/>
  <c r="S56" i="121"/>
  <c r="K71" i="120"/>
  <c r="S71"/>
  <c r="S69"/>
  <c r="S58" i="121"/>
  <c r="AA71" i="120"/>
  <c r="S33"/>
  <c r="S30" i="121"/>
  <c r="S73" i="120"/>
  <c r="S62" i="121"/>
  <c r="S32" i="120"/>
  <c r="S29" i="121"/>
  <c r="S74" i="120"/>
  <c r="S63" i="121"/>
  <c r="S13" i="113"/>
  <c r="I46" i="69" s="1"/>
  <c r="K15" i="7"/>
  <c r="H11" i="112"/>
  <c r="S15" i="113"/>
  <c r="I48" i="69" s="1"/>
  <c r="M19" i="7"/>
  <c r="M15"/>
  <c r="O15"/>
  <c r="C14" i="102"/>
  <c r="M14" s="1"/>
  <c r="Q14" s="1"/>
  <c r="N19" i="7"/>
  <c r="C10" i="102"/>
  <c r="M10" s="1"/>
  <c r="Q10" s="1"/>
  <c r="N15" i="7"/>
  <c r="O19"/>
  <c r="K10" i="113"/>
  <c r="K11" s="1"/>
  <c r="G44" i="69" s="1"/>
  <c r="O10" i="113"/>
  <c r="H43" i="69" s="1"/>
  <c r="K11" i="118"/>
  <c r="K11" i="117"/>
  <c r="I12" i="118"/>
  <c r="I12" i="117"/>
  <c r="I11" i="118"/>
  <c r="K12"/>
  <c r="K12" i="117"/>
  <c r="Z18" i="24"/>
  <c r="P10" i="74" s="1"/>
  <c r="AF10" s="1"/>
  <c r="AR10" s="1"/>
  <c r="S18" i="24"/>
  <c r="Z22"/>
  <c r="P14" i="74" s="1"/>
  <c r="AF14" s="1"/>
  <c r="AR14" s="1"/>
  <c r="K14" i="113"/>
  <c r="G47" i="69" s="1"/>
  <c r="AG15" i="24"/>
  <c r="K12" i="113"/>
  <c r="G45" i="69" s="1"/>
  <c r="AG13" i="24"/>
  <c r="AA33" i="120"/>
  <c r="AA28"/>
  <c r="K67"/>
  <c r="AA67"/>
  <c r="K73"/>
  <c r="K70"/>
  <c r="K68"/>
  <c r="AA73"/>
  <c r="AA70"/>
  <c r="AA68"/>
  <c r="AA26"/>
  <c r="AA32"/>
  <c r="AA29"/>
  <c r="AA27"/>
  <c r="K74"/>
  <c r="K69"/>
  <c r="AA74"/>
  <c r="AA69"/>
  <c r="M6" i="102"/>
  <c r="Q6" s="1"/>
  <c r="M10" i="92"/>
  <c r="Z10" s="1"/>
  <c r="AL10" s="1"/>
  <c r="M9"/>
  <c r="Z9" s="1"/>
  <c r="AL9" s="1"/>
  <c r="M8"/>
  <c r="Z8" s="1"/>
  <c r="AL8" s="1"/>
  <c r="M7"/>
  <c r="Z7" s="1"/>
  <c r="AL7" s="1"/>
  <c r="M6"/>
  <c r="Z6" s="1"/>
  <c r="AL6" s="1"/>
  <c r="M5"/>
  <c r="Z5" s="1"/>
  <c r="AL5" s="1"/>
  <c r="O12" i="113"/>
  <c r="O13" s="1"/>
  <c r="H46" i="69" s="1"/>
  <c r="M7" i="102"/>
  <c r="Q7" s="1"/>
  <c r="O14" i="113"/>
  <c r="H47" i="69" s="1"/>
  <c r="K35" i="113"/>
  <c r="G32" i="69" s="1"/>
  <c r="O11" i="92"/>
  <c r="AB11" s="1"/>
  <c r="AN11" s="1"/>
  <c r="H139" i="69"/>
  <c r="Q27" i="92"/>
  <c r="AD27" s="1"/>
  <c r="AP27" s="1"/>
  <c r="Q4"/>
  <c r="AD4" s="1"/>
  <c r="AP4" s="1"/>
  <c r="O4"/>
  <c r="AB4" s="1"/>
  <c r="AN4" s="1"/>
  <c r="M4"/>
  <c r="Z4" s="1"/>
  <c r="AL4" s="1"/>
  <c r="Q25"/>
  <c r="AD25" s="1"/>
  <c r="AP25" s="1"/>
  <c r="L18"/>
  <c r="Y18" s="1"/>
  <c r="AK18" s="1"/>
  <c r="L16"/>
  <c r="Y16" s="1"/>
  <c r="AK16" s="1"/>
  <c r="L15"/>
  <c r="Y15" s="1"/>
  <c r="AK15" s="1"/>
  <c r="L14"/>
  <c r="Y14" s="1"/>
  <c r="AK14" s="1"/>
  <c r="O35" i="113"/>
  <c r="H32" i="69" s="1"/>
  <c r="Q11" i="92"/>
  <c r="AD11" s="1"/>
  <c r="AP11" s="1"/>
  <c r="K36" i="115"/>
  <c r="G139" i="69" s="1"/>
  <c r="O27" i="92"/>
  <c r="AB27" s="1"/>
  <c r="AN27" s="1"/>
  <c r="AN18" i="24"/>
  <c r="O18" i="113" s="1"/>
  <c r="H51" i="69" s="1"/>
  <c r="M18" i="113"/>
  <c r="H17" i="69" s="1"/>
  <c r="AG22" i="24"/>
  <c r="K22" i="113" s="1"/>
  <c r="G55" i="69" s="1"/>
  <c r="I22" i="113"/>
  <c r="G21" i="69" s="1"/>
  <c r="AU22" i="24"/>
  <c r="S22" i="113" s="1"/>
  <c r="I55" i="69" s="1"/>
  <c r="Q22" i="113"/>
  <c r="I21" i="69" s="1"/>
  <c r="AG18" i="24"/>
  <c r="K18" i="113" s="1"/>
  <c r="G51" i="69" s="1"/>
  <c r="I18" i="113"/>
  <c r="G17" i="69" s="1"/>
  <c r="AU18" i="24"/>
  <c r="S18" i="113" s="1"/>
  <c r="I51" i="69" s="1"/>
  <c r="Q18" i="113"/>
  <c r="I17" i="69" s="1"/>
  <c r="AN22" i="24"/>
  <c r="O22" i="113" s="1"/>
  <c r="H55" i="69" s="1"/>
  <c r="M22" i="113"/>
  <c r="H21" i="69" s="1"/>
  <c r="Q12" i="118"/>
  <c r="Q12" i="117"/>
  <c r="Q11" i="118"/>
  <c r="Q11" i="117"/>
  <c r="K25" i="92"/>
  <c r="X25" s="1"/>
  <c r="AJ25" s="1"/>
  <c r="I25"/>
  <c r="V25" s="1"/>
  <c r="AH25" s="1"/>
  <c r="P19"/>
  <c r="AC19" s="1"/>
  <c r="AO19" s="1"/>
  <c r="H86" i="69"/>
  <c r="P18" i="92"/>
  <c r="AC18" s="1"/>
  <c r="AO18" s="1"/>
  <c r="P16"/>
  <c r="AC16" s="1"/>
  <c r="AO16" s="1"/>
  <c r="R15"/>
  <c r="AE15" s="1"/>
  <c r="AQ15" s="1"/>
  <c r="S29" i="114"/>
  <c r="P15" i="92"/>
  <c r="AC15" s="1"/>
  <c r="AO15" s="1"/>
  <c r="P14"/>
  <c r="AC14" s="1"/>
  <c r="AO14" s="1"/>
  <c r="G43" i="69"/>
  <c r="S12" i="118"/>
  <c r="S12" i="117"/>
  <c r="S11" i="118"/>
  <c r="S11" i="117"/>
  <c r="R19" i="92"/>
  <c r="AE19" s="1"/>
  <c r="AQ19" s="1"/>
  <c r="S33" i="114"/>
  <c r="I86" i="69" s="1"/>
  <c r="N19" i="92"/>
  <c r="AA19" s="1"/>
  <c r="AM19" s="1"/>
  <c r="K33" i="114"/>
  <c r="G86" i="69" s="1"/>
  <c r="Q18" i="92"/>
  <c r="AD18" s="1"/>
  <c r="AP18" s="1"/>
  <c r="Q32" i="114"/>
  <c r="I85" i="69" s="1"/>
  <c r="O18" i="92"/>
  <c r="AB18" s="1"/>
  <c r="AN18" s="1"/>
  <c r="H85" i="69"/>
  <c r="M18" i="92"/>
  <c r="Z18" s="1"/>
  <c r="AL18" s="1"/>
  <c r="I32" i="114"/>
  <c r="G85" i="69" s="1"/>
  <c r="Q17" i="92"/>
  <c r="AD17" s="1"/>
  <c r="AP17" s="1"/>
  <c r="Q31" i="114"/>
  <c r="I84" i="69" s="1"/>
  <c r="O17" i="92"/>
  <c r="AB17" s="1"/>
  <c r="AN17" s="1"/>
  <c r="H84" i="69"/>
  <c r="Q16" i="92"/>
  <c r="AD16" s="1"/>
  <c r="AP16" s="1"/>
  <c r="Q30" i="114"/>
  <c r="I83" i="69" s="1"/>
  <c r="O16" i="92"/>
  <c r="AB16" s="1"/>
  <c r="AN16" s="1"/>
  <c r="H83" i="69"/>
  <c r="M16" i="92"/>
  <c r="Z16" s="1"/>
  <c r="AL16" s="1"/>
  <c r="I30" i="114"/>
  <c r="G83" i="69" s="1"/>
  <c r="Q15" i="92"/>
  <c r="AD15" s="1"/>
  <c r="AP15" s="1"/>
  <c r="Q29" i="114"/>
  <c r="I82" i="69" s="1"/>
  <c r="O15" i="92"/>
  <c r="AB15" s="1"/>
  <c r="AN15" s="1"/>
  <c r="H82" i="69"/>
  <c r="M15" i="92"/>
  <c r="Z15" s="1"/>
  <c r="AL15" s="1"/>
  <c r="I29" i="114"/>
  <c r="G82" i="69" s="1"/>
  <c r="Q14" i="92"/>
  <c r="AD14" s="1"/>
  <c r="AP14" s="1"/>
  <c r="Q28" i="114"/>
  <c r="I81" i="69" s="1"/>
  <c r="O14" i="92"/>
  <c r="AB14" s="1"/>
  <c r="AN14" s="1"/>
  <c r="H81" i="69"/>
  <c r="M14" i="92"/>
  <c r="Z14" s="1"/>
  <c r="AL14" s="1"/>
  <c r="I28" i="114"/>
  <c r="G81" i="69" s="1"/>
  <c r="Q13" i="92"/>
  <c r="AD13" s="1"/>
  <c r="AP13" s="1"/>
  <c r="Q27" i="114"/>
  <c r="I80" i="69" s="1"/>
  <c r="O13" i="92"/>
  <c r="AB13" s="1"/>
  <c r="AN13" s="1"/>
  <c r="H80" i="69"/>
  <c r="M13" i="92"/>
  <c r="Z13" s="1"/>
  <c r="AL13" s="1"/>
  <c r="I27" i="114"/>
  <c r="G80" i="69" s="1"/>
  <c r="F18" i="75"/>
  <c r="E9" i="87"/>
  <c r="K33" i="120"/>
  <c r="I26" i="88"/>
  <c r="K26"/>
  <c r="H57" i="74" s="1"/>
  <c r="AA57" s="1"/>
  <c r="AM57" s="1"/>
  <c r="I25" i="88"/>
  <c r="O7" i="89"/>
  <c r="K25" i="88"/>
  <c r="K28" i="120"/>
  <c r="K32"/>
  <c r="K29"/>
  <c r="K27"/>
  <c r="K26"/>
  <c r="I138" i="69"/>
  <c r="I135"/>
  <c r="G135"/>
  <c r="I134"/>
  <c r="G134"/>
  <c r="I132"/>
  <c r="G132"/>
  <c r="I133"/>
  <c r="G133"/>
  <c r="O25" i="92"/>
  <c r="AB25" s="1"/>
  <c r="AN25" s="1"/>
  <c r="H137" i="69"/>
  <c r="M25" i="92"/>
  <c r="Z25" s="1"/>
  <c r="AL25" s="1"/>
  <c r="I34" i="115"/>
  <c r="G137" i="69" s="1"/>
  <c r="Q24" i="92"/>
  <c r="AD24" s="1"/>
  <c r="AP24" s="1"/>
  <c r="Q33" i="115"/>
  <c r="I136" i="69" s="1"/>
  <c r="O24" i="92"/>
  <c r="AB24" s="1"/>
  <c r="AN24" s="1"/>
  <c r="H136" i="69"/>
  <c r="M24" i="92"/>
  <c r="Z24" s="1"/>
  <c r="AL24" s="1"/>
  <c r="I33" i="115"/>
  <c r="G136" i="69" s="1"/>
  <c r="O23" i="92"/>
  <c r="AB23" s="1"/>
  <c r="AN23" s="1"/>
  <c r="H135" i="69"/>
  <c r="O22" i="92"/>
  <c r="AB22" s="1"/>
  <c r="AN22" s="1"/>
  <c r="H134" i="69"/>
  <c r="O26" i="92"/>
  <c r="AB26" s="1"/>
  <c r="AN26" s="1"/>
  <c r="H138" i="69"/>
  <c r="I35" i="115"/>
  <c r="I73" i="60"/>
  <c r="O20" i="92"/>
  <c r="AB20" s="1"/>
  <c r="AN20" s="1"/>
  <c r="H132" i="69"/>
  <c r="O21" i="92"/>
  <c r="AB21" s="1"/>
  <c r="AN21" s="1"/>
  <c r="H133" i="69"/>
  <c r="M17" i="92"/>
  <c r="Z17" s="1"/>
  <c r="AL17" s="1"/>
  <c r="AL18" i="24"/>
  <c r="U10" i="74" s="1"/>
  <c r="AE22" i="24"/>
  <c r="R14" i="74" s="1"/>
  <c r="AS22" i="24"/>
  <c r="X14" i="74" s="1"/>
  <c r="Q18" i="24"/>
  <c r="L10" i="74" s="1"/>
  <c r="AE18" i="24"/>
  <c r="R10" i="74" s="1"/>
  <c r="AS18" i="24"/>
  <c r="X10" i="74" s="1"/>
  <c r="X22" i="24"/>
  <c r="O14" i="74" s="1"/>
  <c r="AL22" i="24"/>
  <c r="U14" i="74" s="1"/>
  <c r="X18" i="24"/>
  <c r="O10" i="74" s="1"/>
  <c r="E7" i="80"/>
  <c r="D37" i="90" s="1"/>
  <c r="I25" i="77"/>
  <c r="T25"/>
  <c r="U25" s="1"/>
  <c r="W25" s="1"/>
  <c r="O7" i="80" s="1"/>
  <c r="F51" i="90" s="1"/>
  <c r="AF25" i="77"/>
  <c r="AG25" s="1"/>
  <c r="AI25" s="1"/>
  <c r="E8" i="80"/>
  <c r="D38" i="90" s="1"/>
  <c r="I26" i="77"/>
  <c r="T26"/>
  <c r="U26" s="1"/>
  <c r="W26" s="1"/>
  <c r="AF26"/>
  <c r="AG26" s="1"/>
  <c r="AI26" s="1"/>
  <c r="I27"/>
  <c r="K27" s="1"/>
  <c r="G9" i="80" s="1"/>
  <c r="D53" i="90" s="1"/>
  <c r="T27" i="77"/>
  <c r="AF28"/>
  <c r="AG28" s="1"/>
  <c r="AI28" s="1"/>
  <c r="AG27"/>
  <c r="AI27" s="1"/>
  <c r="T29"/>
  <c r="M11" i="80" s="1"/>
  <c r="F41" i="90" s="1"/>
  <c r="AF29" i="77"/>
  <c r="I28" i="80" s="1"/>
  <c r="H41" i="90" s="1"/>
  <c r="E12" i="80"/>
  <c r="D42" i="90" s="1"/>
  <c r="I30" i="77"/>
  <c r="T30"/>
  <c r="U30" s="1"/>
  <c r="W30" s="1"/>
  <c r="AF30"/>
  <c r="AG30" s="1"/>
  <c r="AI30" s="1"/>
  <c r="T31"/>
  <c r="M13" i="80" s="1"/>
  <c r="F43" i="90" s="1"/>
  <c r="AF31" i="77"/>
  <c r="I30" i="80" s="1"/>
  <c r="H43" i="90" s="1"/>
  <c r="H42" i="77"/>
  <c r="I42" s="1"/>
  <c r="K42" s="1"/>
  <c r="H8" i="81" s="1"/>
  <c r="D81" i="90" s="1"/>
  <c r="T42" i="77"/>
  <c r="U42" s="1"/>
  <c r="W42" s="1"/>
  <c r="AG42"/>
  <c r="AI42" s="1"/>
  <c r="L29" i="81" s="1"/>
  <c r="H81" i="90" s="1"/>
  <c r="H43" i="77"/>
  <c r="T43"/>
  <c r="AF43"/>
  <c r="H46"/>
  <c r="I46" s="1"/>
  <c r="K46" s="1"/>
  <c r="H15" i="81" s="1"/>
  <c r="D88" i="90" s="1"/>
  <c r="T46" i="77"/>
  <c r="U46" s="1"/>
  <c r="W46" s="1"/>
  <c r="P15" i="81" s="1"/>
  <c r="F88" i="90" s="1"/>
  <c r="AF46" i="77"/>
  <c r="AG46" s="1"/>
  <c r="AI46" s="1"/>
  <c r="H47"/>
  <c r="F16" i="81" s="1"/>
  <c r="D71" i="90" s="1"/>
  <c r="T47" i="77"/>
  <c r="N16" i="81" s="1"/>
  <c r="F71" i="90" s="1"/>
  <c r="AF47" i="77"/>
  <c r="J37" i="81" s="1"/>
  <c r="H71" i="90" s="1"/>
  <c r="O58" i="77"/>
  <c r="Q58" s="1"/>
  <c r="N8" i="78" s="1"/>
  <c r="D128" i="90" s="1"/>
  <c r="W58" i="77"/>
  <c r="AX7" i="10" s="1"/>
  <c r="L14" i="78"/>
  <c r="D108" i="90" s="1"/>
  <c r="W64" i="77"/>
  <c r="AX13" i="10" s="1"/>
  <c r="N25" i="88"/>
  <c r="N26"/>
  <c r="N27"/>
  <c r="Q27" s="1"/>
  <c r="Z28"/>
  <c r="AA27"/>
  <c r="AL28"/>
  <c r="AM27"/>
  <c r="N29"/>
  <c r="N30"/>
  <c r="N31"/>
  <c r="N42"/>
  <c r="Z42"/>
  <c r="N43"/>
  <c r="Z44"/>
  <c r="AA43"/>
  <c r="AL44"/>
  <c r="AM43"/>
  <c r="AO43" s="1"/>
  <c r="N45"/>
  <c r="Z45"/>
  <c r="H71" i="74"/>
  <c r="AA71" s="1"/>
  <c r="AM71" s="1"/>
  <c r="H46" i="88"/>
  <c r="H47"/>
  <c r="F16" i="86" s="1"/>
  <c r="D71" i="91" s="1"/>
  <c r="T47" i="88"/>
  <c r="N25" i="77"/>
  <c r="O25" s="1"/>
  <c r="Q25" s="1"/>
  <c r="Z25"/>
  <c r="AA25" s="1"/>
  <c r="AC25" s="1"/>
  <c r="G24" i="80" s="1"/>
  <c r="G51" i="90" s="1"/>
  <c r="AL25" i="77"/>
  <c r="AM25" s="1"/>
  <c r="AO25" s="1"/>
  <c r="O24" i="80" s="1"/>
  <c r="I51" i="90" s="1"/>
  <c r="N26" i="77"/>
  <c r="O26" s="1"/>
  <c r="Q26" s="1"/>
  <c r="Z26"/>
  <c r="AA26" s="1"/>
  <c r="AC26" s="1"/>
  <c r="G25" i="80" s="1"/>
  <c r="G52" i="90" s="1"/>
  <c r="AL26" i="77"/>
  <c r="AM26" s="1"/>
  <c r="AO26" s="1"/>
  <c r="O25" i="80" s="1"/>
  <c r="I52" i="90" s="1"/>
  <c r="N28" i="77"/>
  <c r="O28" s="1"/>
  <c r="Q28" s="1"/>
  <c r="O27"/>
  <c r="Q27" s="1"/>
  <c r="Z28"/>
  <c r="AA28" s="1"/>
  <c r="AC28" s="1"/>
  <c r="AA27"/>
  <c r="AC27" s="1"/>
  <c r="AL28"/>
  <c r="AM28" s="1"/>
  <c r="AO28" s="1"/>
  <c r="AM27"/>
  <c r="AO27" s="1"/>
  <c r="N30"/>
  <c r="O30" s="1"/>
  <c r="Q30" s="1"/>
  <c r="K12" i="80" s="1"/>
  <c r="E56" i="90" s="1"/>
  <c r="Z30" i="77"/>
  <c r="AA30" s="1"/>
  <c r="AC30" s="1"/>
  <c r="G29" i="80" s="1"/>
  <c r="G56" i="90" s="1"/>
  <c r="AL30" i="77"/>
  <c r="AM30" s="1"/>
  <c r="AO30" s="1"/>
  <c r="N31"/>
  <c r="I13" i="80" s="1"/>
  <c r="E43" i="90" s="1"/>
  <c r="Z31" i="77"/>
  <c r="E30" i="80" s="1"/>
  <c r="G43" i="90" s="1"/>
  <c r="AL31" i="77"/>
  <c r="M30" i="80" s="1"/>
  <c r="I43" i="90" s="1"/>
  <c r="N42" i="77"/>
  <c r="O42" s="1"/>
  <c r="Q42" s="1"/>
  <c r="L8" i="81" s="1"/>
  <c r="E81" i="90" s="1"/>
  <c r="Z42" i="77"/>
  <c r="AA42" s="1"/>
  <c r="AC42" s="1"/>
  <c r="H29" i="81" s="1"/>
  <c r="G81" i="90" s="1"/>
  <c r="AM42" i="77"/>
  <c r="AO42" s="1"/>
  <c r="O44"/>
  <c r="Q44" s="1"/>
  <c r="O43"/>
  <c r="Q43" s="1"/>
  <c r="AA44"/>
  <c r="AC44" s="1"/>
  <c r="H31" i="81" s="1"/>
  <c r="G83" i="90" s="1"/>
  <c r="AA43" i="77"/>
  <c r="AC43" s="1"/>
  <c r="AM44"/>
  <c r="AO44" s="1"/>
  <c r="P31" i="81" s="1"/>
  <c r="I83" i="90" s="1"/>
  <c r="AM43" i="77"/>
  <c r="AO43" s="1"/>
  <c r="J11" i="81"/>
  <c r="E66" i="90" s="1"/>
  <c r="F32" i="81"/>
  <c r="G66" i="90" s="1"/>
  <c r="N32" i="81"/>
  <c r="I66" i="90" s="1"/>
  <c r="N46" i="77"/>
  <c r="O46" s="1"/>
  <c r="Q46" s="1"/>
  <c r="Z46"/>
  <c r="AA46" s="1"/>
  <c r="AC46" s="1"/>
  <c r="AM46"/>
  <c r="AO46" s="1"/>
  <c r="N47"/>
  <c r="J16" i="81" s="1"/>
  <c r="E71" i="90" s="1"/>
  <c r="Z47" i="77"/>
  <c r="F37" i="81" s="1"/>
  <c r="G71" i="90" s="1"/>
  <c r="N37" i="81"/>
  <c r="I71" i="90" s="1"/>
  <c r="O57" i="77"/>
  <c r="Q57" s="1"/>
  <c r="N7" i="78" s="1"/>
  <c r="D127" i="90" s="1"/>
  <c r="W57" i="77"/>
  <c r="AX6" i="10" s="1"/>
  <c r="O63" i="77"/>
  <c r="Q63" s="1"/>
  <c r="N13" i="78" s="1"/>
  <c r="D133" i="90" s="1"/>
  <c r="W63" i="77"/>
  <c r="AX12" i="10" s="1"/>
  <c r="L15" i="78"/>
  <c r="D109" i="90" s="1"/>
  <c r="W65" i="77"/>
  <c r="AX14" i="10" s="1"/>
  <c r="T25" i="88"/>
  <c r="T26"/>
  <c r="O50" i="89" s="1"/>
  <c r="I27" i="88"/>
  <c r="K27" s="1"/>
  <c r="H28"/>
  <c r="T27"/>
  <c r="W27" s="1"/>
  <c r="AF27"/>
  <c r="T29"/>
  <c r="AF29"/>
  <c r="H30"/>
  <c r="T30"/>
  <c r="M12" i="85" s="1"/>
  <c r="F42" i="91" s="1"/>
  <c r="AF30" i="88"/>
  <c r="D61" i="74" s="1"/>
  <c r="H31" i="88"/>
  <c r="T31"/>
  <c r="AF31"/>
  <c r="H42"/>
  <c r="AF42"/>
  <c r="H43"/>
  <c r="T44"/>
  <c r="U43"/>
  <c r="W43" s="1"/>
  <c r="AF43"/>
  <c r="H45"/>
  <c r="AF45"/>
  <c r="N46"/>
  <c r="Z46"/>
  <c r="N47"/>
  <c r="P72" i="74"/>
  <c r="AF72" s="1"/>
  <c r="AR72" s="1"/>
  <c r="Z47" i="88"/>
  <c r="U80" i="89" s="1"/>
  <c r="O61" i="77"/>
  <c r="Q61" s="1"/>
  <c r="N11" i="78" s="1"/>
  <c r="D131" i="90" s="1"/>
  <c r="W61" i="77"/>
  <c r="AX10" i="10" s="1"/>
  <c r="O59" i="77"/>
  <c r="Q59" s="1"/>
  <c r="N9" i="78" s="1"/>
  <c r="D129" i="90" s="1"/>
  <c r="W59" i="77"/>
  <c r="AX8" i="10" s="1"/>
  <c r="O60" i="77"/>
  <c r="Q60" s="1"/>
  <c r="N10" i="78" s="1"/>
  <c r="D130" i="90" s="1"/>
  <c r="W60" i="77"/>
  <c r="AX9" i="10" s="1"/>
  <c r="K30" i="54"/>
  <c r="L15" i="75"/>
  <c r="H67" i="88" s="1"/>
  <c r="O91" i="89"/>
  <c r="O92"/>
  <c r="G13" i="92"/>
  <c r="T13" s="1"/>
  <c r="AF13" s="1"/>
  <c r="I27" i="58"/>
  <c r="P22" i="24"/>
  <c r="K19" i="7" s="1"/>
  <c r="J38" i="86"/>
  <c r="H71" i="91" s="1"/>
  <c r="H16" i="83"/>
  <c r="I29"/>
  <c r="S71" i="74"/>
  <c r="AH71" s="1"/>
  <c r="AT71" s="1"/>
  <c r="J37" i="84"/>
  <c r="H13" i="91" s="1"/>
  <c r="W10" i="74"/>
  <c r="AK10" s="1"/>
  <c r="AW10" s="1"/>
  <c r="I114" i="89"/>
  <c r="I121"/>
  <c r="V56" i="74"/>
  <c r="AJ56" s="1"/>
  <c r="AV56" s="1"/>
  <c r="V65"/>
  <c r="AJ65" s="1"/>
  <c r="AV65" s="1"/>
  <c r="I18" i="87"/>
  <c r="I20"/>
  <c r="I115" i="89"/>
  <c r="J72" i="74"/>
  <c r="AB72" s="1"/>
  <c r="AN72" s="1"/>
  <c r="V72"/>
  <c r="AJ72" s="1"/>
  <c r="AV72" s="1"/>
  <c r="V58"/>
  <c r="AJ58" s="1"/>
  <c r="AV58" s="1"/>
  <c r="V60"/>
  <c r="AJ60" s="1"/>
  <c r="AV60" s="1"/>
  <c r="V62"/>
  <c r="AJ62" s="1"/>
  <c r="AV62" s="1"/>
  <c r="N33" i="86"/>
  <c r="I66" i="91" s="1"/>
  <c r="V55" i="74"/>
  <c r="AJ55" s="1"/>
  <c r="AV55" s="1"/>
  <c r="R121" i="89"/>
  <c r="N71" i="74"/>
  <c r="AE71" s="1"/>
  <c r="AQ71" s="1"/>
  <c r="Q14"/>
  <c r="AG14" s="1"/>
  <c r="AS14" s="1"/>
  <c r="J65"/>
  <c r="AB65" s="1"/>
  <c r="AN65" s="1"/>
  <c r="N10"/>
  <c r="AE10" s="1"/>
  <c r="AQ10" s="1"/>
  <c r="S67"/>
  <c r="AH67" s="1"/>
  <c r="AT67" s="1"/>
  <c r="N14"/>
  <c r="AE14" s="1"/>
  <c r="AQ14" s="1"/>
  <c r="T14"/>
  <c r="AI14" s="1"/>
  <c r="AU14" s="1"/>
  <c r="P65"/>
  <c r="AF65" s="1"/>
  <c r="AR65" s="1"/>
  <c r="I11" i="88"/>
  <c r="H51" i="74" s="1"/>
  <c r="AA51" s="1"/>
  <c r="AM51" s="1"/>
  <c r="AG11" i="88"/>
  <c r="T51" i="74" s="1"/>
  <c r="AI51" s="1"/>
  <c r="AU51" s="1"/>
  <c r="G53"/>
  <c r="Z53" s="1"/>
  <c r="AL53" s="1"/>
  <c r="I99" i="89"/>
  <c r="I58"/>
  <c r="G55" i="74"/>
  <c r="Z55" s="1"/>
  <c r="AL55" s="1"/>
  <c r="M62"/>
  <c r="AD62" s="1"/>
  <c r="AP62" s="1"/>
  <c r="J87"/>
  <c r="AB87" s="1"/>
  <c r="AN87" s="1"/>
  <c r="J89"/>
  <c r="AB89" s="1"/>
  <c r="AN89" s="1"/>
  <c r="J91"/>
  <c r="AB91" s="1"/>
  <c r="AN91" s="1"/>
  <c r="J93"/>
  <c r="AB93" s="1"/>
  <c r="AN93" s="1"/>
  <c r="I71" i="89"/>
  <c r="J98" i="74"/>
  <c r="AB98" s="1"/>
  <c r="AN98" s="1"/>
  <c r="N7" i="84"/>
  <c r="F5" i="91" s="1"/>
  <c r="I9" i="89"/>
  <c r="I93"/>
  <c r="I31"/>
  <c r="J50" i="74"/>
  <c r="AB50" s="1"/>
  <c r="AN50" s="1"/>
  <c r="M51"/>
  <c r="AD51" s="1"/>
  <c r="AP51" s="1"/>
  <c r="I16" i="89"/>
  <c r="I100"/>
  <c r="G56" i="74"/>
  <c r="Z56" s="1"/>
  <c r="AL56" s="1"/>
  <c r="G58"/>
  <c r="Z58" s="1"/>
  <c r="AL58" s="1"/>
  <c r="G60"/>
  <c r="Z60" s="1"/>
  <c r="AL60" s="1"/>
  <c r="H7" i="83"/>
  <c r="C102" i="91" s="1"/>
  <c r="G77" i="74"/>
  <c r="Z77" s="1"/>
  <c r="AL77" s="1"/>
  <c r="L12" i="83"/>
  <c r="D107" i="91" s="1"/>
  <c r="G80" i="74"/>
  <c r="Z80" s="1"/>
  <c r="AL80" s="1"/>
  <c r="H15" i="83"/>
  <c r="C110" i="91" s="1"/>
  <c r="J86" i="74"/>
  <c r="AB86" s="1"/>
  <c r="AN86" s="1"/>
  <c r="J88"/>
  <c r="AB88" s="1"/>
  <c r="AN88" s="1"/>
  <c r="N34" i="84"/>
  <c r="I10" i="91" s="1"/>
  <c r="F7" i="84"/>
  <c r="D5" i="91" s="1"/>
  <c r="I92" i="89"/>
  <c r="I51"/>
  <c r="M56" i="74"/>
  <c r="AD56" s="1"/>
  <c r="AP56" s="1"/>
  <c r="E8" i="85"/>
  <c r="D38" i="91" s="1"/>
  <c r="K25" i="85"/>
  <c r="H52" i="91" s="1"/>
  <c r="J76" i="74"/>
  <c r="AB76" s="1"/>
  <c r="AN76" s="1"/>
  <c r="J80"/>
  <c r="AB80" s="1"/>
  <c r="AN80" s="1"/>
  <c r="J81"/>
  <c r="AB81" s="1"/>
  <c r="AN81" s="1"/>
  <c r="O7" i="88"/>
  <c r="I52" i="89"/>
  <c r="U10" i="88"/>
  <c r="O14"/>
  <c r="K54" i="74" s="1"/>
  <c r="AC54" s="1"/>
  <c r="AO54" s="1"/>
  <c r="H10" i="83"/>
  <c r="C105" i="91" s="1"/>
  <c r="L11" i="83"/>
  <c r="D106" i="91" s="1"/>
  <c r="J79" i="74"/>
  <c r="AB79" s="1"/>
  <c r="AN79" s="1"/>
  <c r="I90" i="88"/>
  <c r="J96" i="74"/>
  <c r="AB96" s="1"/>
  <c r="AN96" s="1"/>
  <c r="J46"/>
  <c r="AB46" s="1"/>
  <c r="AN46" s="1"/>
  <c r="P47"/>
  <c r="AF47" s="1"/>
  <c r="AR47" s="1"/>
  <c r="I10" i="88"/>
  <c r="J12" i="84"/>
  <c r="E10" i="91" s="1"/>
  <c r="I79" i="89"/>
  <c r="J57" i="74"/>
  <c r="AB57" s="1"/>
  <c r="AN57" s="1"/>
  <c r="P60"/>
  <c r="AF60" s="1"/>
  <c r="AR60" s="1"/>
  <c r="P62"/>
  <c r="AF62" s="1"/>
  <c r="AR62" s="1"/>
  <c r="H8" i="83"/>
  <c r="C103" i="91" s="1"/>
  <c r="H12" i="83"/>
  <c r="C107" i="91" s="1"/>
  <c r="G79" i="74"/>
  <c r="Z79" s="1"/>
  <c r="AL79" s="1"/>
  <c r="I91" i="88"/>
  <c r="J97" i="74"/>
  <c r="AB97" s="1"/>
  <c r="AN97" s="1"/>
  <c r="J99"/>
  <c r="AB99" s="1"/>
  <c r="AN99" s="1"/>
  <c r="E18" i="87"/>
  <c r="L14" i="83"/>
  <c r="D109" i="91" s="1"/>
  <c r="E20" i="87"/>
  <c r="O65" i="88"/>
  <c r="P81" i="74" s="1"/>
  <c r="AF81" s="1"/>
  <c r="AR81" s="1"/>
  <c r="N12" i="86"/>
  <c r="F67" i="91" s="1"/>
  <c r="G68" i="74"/>
  <c r="Z68" s="1"/>
  <c r="AL68" s="1"/>
  <c r="G70"/>
  <c r="Z70" s="1"/>
  <c r="AL70" s="1"/>
  <c r="J36" i="86"/>
  <c r="H69" i="91" s="1"/>
  <c r="P68" i="74"/>
  <c r="AF68" s="1"/>
  <c r="AR68" s="1"/>
  <c r="P70"/>
  <c r="AF70" s="1"/>
  <c r="AR70" s="1"/>
  <c r="J68"/>
  <c r="AB68" s="1"/>
  <c r="AN68" s="1"/>
  <c r="J70"/>
  <c r="AB70" s="1"/>
  <c r="AN70" s="1"/>
  <c r="N64"/>
  <c r="AE64" s="1"/>
  <c r="AQ64" s="1"/>
  <c r="U50" i="89"/>
  <c r="N30" i="86"/>
  <c r="I63" i="91" s="1"/>
  <c r="U113" i="89"/>
  <c r="F30" i="86"/>
  <c r="G63" i="91" s="1"/>
  <c r="J8" i="86"/>
  <c r="E63" i="91" s="1"/>
  <c r="U92" i="89"/>
  <c r="G64" i="74"/>
  <c r="Z64" s="1"/>
  <c r="AL64" s="1"/>
  <c r="U8" i="89"/>
  <c r="N14" i="86"/>
  <c r="F69" i="91" s="1"/>
  <c r="H7" i="81"/>
  <c r="D80" i="90" s="1"/>
  <c r="O63" i="88"/>
  <c r="Q63" s="1"/>
  <c r="J74" i="74"/>
  <c r="AB74" s="1"/>
  <c r="AN74" s="1"/>
  <c r="H14" i="83"/>
  <c r="C109" i="91" s="1"/>
  <c r="F34" i="86"/>
  <c r="G67" i="91" s="1"/>
  <c r="J73" i="74"/>
  <c r="AB73" s="1"/>
  <c r="AN73" s="1"/>
  <c r="K75"/>
  <c r="AC75" s="1"/>
  <c r="AO75" s="1"/>
  <c r="L13" i="83"/>
  <c r="D108" i="91" s="1"/>
  <c r="N7" i="86"/>
  <c r="F62" i="91" s="1"/>
  <c r="I59" i="77"/>
  <c r="K59" s="1"/>
  <c r="J9" i="78" s="1"/>
  <c r="C129" i="90" s="1"/>
  <c r="I58" i="77"/>
  <c r="K58" s="1"/>
  <c r="J8" i="78" s="1"/>
  <c r="C128" i="90" s="1"/>
  <c r="G74" i="74"/>
  <c r="Z74" s="1"/>
  <c r="AL74" s="1"/>
  <c r="I57" i="77"/>
  <c r="K57" s="1"/>
  <c r="J7" i="78" s="1"/>
  <c r="C127" i="90" s="1"/>
  <c r="G73" i="74"/>
  <c r="Z73" s="1"/>
  <c r="AL73" s="1"/>
  <c r="K26" i="92"/>
  <c r="X26" s="1"/>
  <c r="AJ26" s="1"/>
  <c r="K23"/>
  <c r="X23" s="1"/>
  <c r="AJ23" s="1"/>
  <c r="K22"/>
  <c r="X22" s="1"/>
  <c r="AJ22" s="1"/>
  <c r="K21"/>
  <c r="X21" s="1"/>
  <c r="AJ21" s="1"/>
  <c r="H93" i="77"/>
  <c r="C150" i="90" s="1"/>
  <c r="E15" i="82"/>
  <c r="Q20" i="92"/>
  <c r="AD20" s="1"/>
  <c r="AP20" s="1"/>
  <c r="Q26"/>
  <c r="AD26" s="1"/>
  <c r="AP26" s="1"/>
  <c r="Q23"/>
  <c r="AD23" s="1"/>
  <c r="AP23" s="1"/>
  <c r="Q22"/>
  <c r="AD22" s="1"/>
  <c r="AP22" s="1"/>
  <c r="Q21"/>
  <c r="AD21" s="1"/>
  <c r="AP21" s="1"/>
  <c r="K20"/>
  <c r="X20" s="1"/>
  <c r="AJ20" s="1"/>
  <c r="AF9" i="77"/>
  <c r="J31" i="79" s="1"/>
  <c r="H8" i="90" s="1"/>
  <c r="F19" i="75"/>
  <c r="L16" s="1"/>
  <c r="E25" i="85"/>
  <c r="G38" i="91" s="1"/>
  <c r="AL9" i="77"/>
  <c r="N31" i="79" s="1"/>
  <c r="I8" i="90" s="1"/>
  <c r="J29" i="84"/>
  <c r="H5" i="91" s="1"/>
  <c r="I92" i="77"/>
  <c r="K92" s="1"/>
  <c r="E29" i="85"/>
  <c r="G42" i="91" s="1"/>
  <c r="E35" i="85"/>
  <c r="N38" i="86"/>
  <c r="I71" i="91" s="1"/>
  <c r="O3" i="87"/>
  <c r="K25"/>
  <c r="O11" i="88"/>
  <c r="L34" i="89" s="1"/>
  <c r="AG13" i="88"/>
  <c r="Q61" i="74"/>
  <c r="AG61" s="1"/>
  <c r="AS61" s="1"/>
  <c r="F26" i="75"/>
  <c r="L18" s="1"/>
  <c r="N95" i="77"/>
  <c r="D152" i="90" s="1"/>
  <c r="AG6" i="88"/>
  <c r="AG14"/>
  <c r="T54" i="74" s="1"/>
  <c r="AI54" s="1"/>
  <c r="AU54" s="1"/>
  <c r="K68"/>
  <c r="AC68" s="1"/>
  <c r="AO68" s="1"/>
  <c r="Q68"/>
  <c r="AG68" s="1"/>
  <c r="AS68" s="1"/>
  <c r="D160" i="91"/>
  <c r="AM10" i="77"/>
  <c r="H12" i="86"/>
  <c r="D85" i="91" s="1"/>
  <c r="T68" i="74"/>
  <c r="AI68" s="1"/>
  <c r="AU68" s="1"/>
  <c r="S53"/>
  <c r="AH53" s="1"/>
  <c r="AT53" s="1"/>
  <c r="H95" i="77"/>
  <c r="E13" i="82" s="1"/>
  <c r="L8" i="78"/>
  <c r="D102" i="90" s="1"/>
  <c r="J11" i="79"/>
  <c r="E9" i="90" s="1"/>
  <c r="N15" i="84"/>
  <c r="F13" i="91" s="1"/>
  <c r="M35" i="85"/>
  <c r="N34" i="86"/>
  <c r="I67" i="91" s="1"/>
  <c r="Q58" i="74"/>
  <c r="AG58" s="1"/>
  <c r="AS58" s="1"/>
  <c r="J7" i="83"/>
  <c r="C128" i="91" s="1"/>
  <c r="N95" i="88"/>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AA11"/>
  <c r="L76" i="89" s="1"/>
  <c r="U13" i="88"/>
  <c r="U14"/>
  <c r="N54" i="74" s="1"/>
  <c r="AE54" s="1"/>
  <c r="AQ54" s="1"/>
  <c r="I63" i="88"/>
  <c r="P3" i="81"/>
  <c r="P3" i="84"/>
  <c r="O3" i="85"/>
  <c r="O3" i="82"/>
  <c r="P3" i="79"/>
  <c r="O3" i="80"/>
  <c r="N3" i="83"/>
  <c r="A4" i="74"/>
  <c r="A5" s="1"/>
  <c r="O8" i="77"/>
  <c r="Q8" s="1"/>
  <c r="L9" i="79" s="1"/>
  <c r="E25" i="90" s="1"/>
  <c r="N9" i="77"/>
  <c r="O9" s="1"/>
  <c r="Q9" s="1"/>
  <c r="L10" i="79" s="1"/>
  <c r="E26" i="90" s="1"/>
  <c r="O62" i="77"/>
  <c r="Q62" s="1"/>
  <c r="N12" i="78" s="1"/>
  <c r="D132" i="90" s="1"/>
  <c r="L12" i="78"/>
  <c r="D106" i="90" s="1"/>
  <c r="G95" i="74"/>
  <c r="Z95" s="1"/>
  <c r="AL95" s="1"/>
  <c r="E16" i="87"/>
  <c r="N65" i="74"/>
  <c r="AE65" s="1"/>
  <c r="AQ65" s="1"/>
  <c r="M65"/>
  <c r="AD65" s="1"/>
  <c r="AP65" s="1"/>
  <c r="U52" i="89"/>
  <c r="N9" i="86"/>
  <c r="F64" i="91" s="1"/>
  <c r="M67" i="74"/>
  <c r="AD67" s="1"/>
  <c r="AP67" s="1"/>
  <c r="N11" i="86"/>
  <c r="F66" i="91" s="1"/>
  <c r="I80" i="89"/>
  <c r="P55" i="74"/>
  <c r="AF55" s="1"/>
  <c r="AR55" s="1"/>
  <c r="L63" i="89"/>
  <c r="L28" i="92"/>
  <c r="Y28" s="1"/>
  <c r="AK28" s="1"/>
  <c r="L105" i="89"/>
  <c r="P28" i="92"/>
  <c r="AC28" s="1"/>
  <c r="AO28" s="1"/>
  <c r="L64" i="89"/>
  <c r="L29" i="92"/>
  <c r="Y29" s="1"/>
  <c r="AK29" s="1"/>
  <c r="L106" i="89"/>
  <c r="P29" i="92"/>
  <c r="AC29" s="1"/>
  <c r="AO29" s="1"/>
  <c r="L65" i="89"/>
  <c r="L30" i="92"/>
  <c r="Y30" s="1"/>
  <c r="AK30" s="1"/>
  <c r="L107" i="89"/>
  <c r="P30" i="92"/>
  <c r="AC30" s="1"/>
  <c r="AO30" s="1"/>
  <c r="O113" i="89"/>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J55" i="74"/>
  <c r="AB55" s="1"/>
  <c r="AN55" s="1"/>
  <c r="L42" i="89"/>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I25" i="85"/>
  <c r="H38" i="91" s="1"/>
  <c r="O38" i="89"/>
  <c r="R41"/>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P67"/>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H11" i="83"/>
  <c r="C106" i="91" s="1"/>
  <c r="J7" i="86"/>
  <c r="E62" i="91" s="1"/>
  <c r="J16" i="86"/>
  <c r="E71" i="91" s="1"/>
  <c r="D158"/>
  <c r="N35" i="81"/>
  <c r="I69" i="90" s="1"/>
  <c r="L15" i="83"/>
  <c r="D110" i="91" s="1"/>
  <c r="I27" i="83"/>
  <c r="F8" i="84"/>
  <c r="D6" i="91" s="1"/>
  <c r="I9" i="85"/>
  <c r="E39" i="91" s="1"/>
  <c r="M18" i="85"/>
  <c r="M25"/>
  <c r="I38" i="91" s="1"/>
  <c r="M29" i="85"/>
  <c r="I42" i="91" s="1"/>
  <c r="E7" i="87"/>
  <c r="I12"/>
  <c r="E17"/>
  <c r="K32"/>
  <c r="D154" i="91"/>
  <c r="S46" i="74"/>
  <c r="AH46" s="1"/>
  <c r="AT46" s="1"/>
  <c r="M26" i="92"/>
  <c r="Z26" s="1"/>
  <c r="AL26" s="1"/>
  <c r="M23"/>
  <c r="Z23" s="1"/>
  <c r="AL23" s="1"/>
  <c r="M22"/>
  <c r="Z22" s="1"/>
  <c r="AL22" s="1"/>
  <c r="M21"/>
  <c r="Z21" s="1"/>
  <c r="AL21" s="1"/>
  <c r="W61" i="74"/>
  <c r="AK61" s="1"/>
  <c r="AW61" s="1"/>
  <c r="J71"/>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G76" i="74"/>
  <c r="Z76" s="1"/>
  <c r="AL76" s="1"/>
  <c r="O61" i="88"/>
  <c r="P77" i="74" s="1"/>
  <c r="AF77" s="1"/>
  <c r="AR77" s="1"/>
  <c r="J77"/>
  <c r="AB77" s="1"/>
  <c r="AN77" s="1"/>
  <c r="O62" i="88"/>
  <c r="P78" i="74" s="1"/>
  <c r="AF78" s="1"/>
  <c r="AR78" s="1"/>
  <c r="J78"/>
  <c r="AB78" s="1"/>
  <c r="AN78" s="1"/>
  <c r="I25" i="83"/>
  <c r="H36" i="92"/>
  <c r="U36" s="1"/>
  <c r="AG36" s="1"/>
  <c r="I26" i="83"/>
  <c r="H37" i="92"/>
  <c r="U37" s="1"/>
  <c r="AG37" s="1"/>
  <c r="M31" i="83"/>
  <c r="D122" i="91" s="1"/>
  <c r="J41" i="92"/>
  <c r="W41" s="1"/>
  <c r="AI41" s="1"/>
  <c r="C148" i="91"/>
  <c r="G87" i="74"/>
  <c r="Z87" s="1"/>
  <c r="AL87" s="1"/>
  <c r="D156" i="91"/>
  <c r="J95" i="74"/>
  <c r="AB95" s="1"/>
  <c r="AN95" s="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O41" i="89"/>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M72"/>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D150" i="90"/>
  <c r="F29" i="84"/>
  <c r="G5" i="91" s="1"/>
  <c r="O29" i="85"/>
  <c r="I56" i="91" s="1"/>
  <c r="F31" i="86"/>
  <c r="G64" i="91" s="1"/>
  <c r="AA10" i="77"/>
  <c r="J13" i="81"/>
  <c r="E68" i="90" s="1"/>
  <c r="N34" i="81"/>
  <c r="I68" i="90" s="1"/>
  <c r="I12" i="82"/>
  <c r="L10" i="78"/>
  <c r="D104" i="90" s="1"/>
  <c r="L9" i="83"/>
  <c r="D104" i="91" s="1"/>
  <c r="N30" i="84"/>
  <c r="I6" i="91" s="1"/>
  <c r="F38" i="84"/>
  <c r="G14" i="91" s="1"/>
  <c r="I7" i="85"/>
  <c r="E37" i="91" s="1"/>
  <c r="I13" i="85"/>
  <c r="E43" i="91" s="1"/>
  <c r="I28" i="85"/>
  <c r="H41" i="91" s="1"/>
  <c r="F29" i="86"/>
  <c r="G62" i="91" s="1"/>
  <c r="N37" i="86"/>
  <c r="I70" i="91" s="1"/>
  <c r="E19" i="87"/>
  <c r="K26"/>
  <c r="U8" i="88"/>
  <c r="N48" i="74" s="1"/>
  <c r="AE48" s="1"/>
  <c r="AQ48" s="1"/>
  <c r="AM11" i="88"/>
  <c r="I14"/>
  <c r="L16" i="89" s="1"/>
  <c r="Q56" i="74"/>
  <c r="AG56" s="1"/>
  <c r="AS56" s="1"/>
  <c r="Q57"/>
  <c r="AG57" s="1"/>
  <c r="AS57" s="1"/>
  <c r="K63"/>
  <c r="AC63" s="1"/>
  <c r="AO63" s="1"/>
  <c r="H29" i="86"/>
  <c r="G80" i="91" s="1"/>
  <c r="K71" i="74"/>
  <c r="AC71" s="1"/>
  <c r="AO71" s="1"/>
  <c r="Q71"/>
  <c r="AG71" s="1"/>
  <c r="AS71" s="1"/>
  <c r="W71"/>
  <c r="AK71" s="1"/>
  <c r="AW71" s="1"/>
  <c r="I61" i="88"/>
  <c r="I89"/>
  <c r="O96"/>
  <c r="U38" i="89"/>
  <c r="O7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O35" i="56"/>
  <c r="J26" i="92"/>
  <c r="W26" s="1"/>
  <c r="AI26" s="1"/>
  <c r="R25"/>
  <c r="AE25" s="1"/>
  <c r="AQ25" s="1"/>
  <c r="N25"/>
  <c r="AA25" s="1"/>
  <c r="AM25" s="1"/>
  <c r="O34" i="56"/>
  <c r="J25" i="92"/>
  <c r="W25" s="1"/>
  <c r="AI25" s="1"/>
  <c r="R24"/>
  <c r="AE24" s="1"/>
  <c r="AQ24" s="1"/>
  <c r="N24"/>
  <c r="AA24" s="1"/>
  <c r="AM24" s="1"/>
  <c r="O33" i="56"/>
  <c r="J24" i="92"/>
  <c r="W24" s="1"/>
  <c r="AI24" s="1"/>
  <c r="R23"/>
  <c r="AE23" s="1"/>
  <c r="AQ23" s="1"/>
  <c r="N23"/>
  <c r="AA23" s="1"/>
  <c r="AM23" s="1"/>
  <c r="O32" i="56"/>
  <c r="J23" i="92"/>
  <c r="W23" s="1"/>
  <c r="AI23" s="1"/>
  <c r="R22"/>
  <c r="AE22" s="1"/>
  <c r="AQ22" s="1"/>
  <c r="N22"/>
  <c r="AA22" s="1"/>
  <c r="AM22" s="1"/>
  <c r="O31" i="56"/>
  <c r="J22" i="92"/>
  <c r="W22" s="1"/>
  <c r="AI22" s="1"/>
  <c r="R21"/>
  <c r="AE21" s="1"/>
  <c r="AQ21" s="1"/>
  <c r="N21"/>
  <c r="AA21" s="1"/>
  <c r="AM21" s="1"/>
  <c r="O30" i="56"/>
  <c r="J21" i="92"/>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O29" i="56"/>
  <c r="J20" i="92"/>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K28" i="54"/>
  <c r="H14" i="92"/>
  <c r="U14" s="1"/>
  <c r="AG14" s="1"/>
  <c r="K34" i="61"/>
  <c r="H10" i="92"/>
  <c r="U10" s="1"/>
  <c r="AG10" s="1"/>
  <c r="K30" i="61"/>
  <c r="H6" i="92"/>
  <c r="U6" s="1"/>
  <c r="AG6" s="1"/>
  <c r="P4"/>
  <c r="AC4" s="1"/>
  <c r="AO4" s="1"/>
  <c r="S28" i="61"/>
  <c r="L4" i="92"/>
  <c r="Y4" s="1"/>
  <c r="AK4" s="1"/>
  <c r="K28" i="61"/>
  <c r="H4" i="92"/>
  <c r="U4" s="1"/>
  <c r="AG4" s="1"/>
  <c r="S35" i="61"/>
  <c r="L11" i="92"/>
  <c r="Y11" s="1"/>
  <c r="AK11" s="1"/>
  <c r="P26"/>
  <c r="AC26" s="1"/>
  <c r="AO26" s="1"/>
  <c r="S35" i="56"/>
  <c r="L26" i="92"/>
  <c r="Y26" s="1"/>
  <c r="AK26" s="1"/>
  <c r="K35" i="56"/>
  <c r="H26" i="92"/>
  <c r="U26" s="1"/>
  <c r="AG26" s="1"/>
  <c r="P25"/>
  <c r="AC25" s="1"/>
  <c r="AO25" s="1"/>
  <c r="S34" i="56"/>
  <c r="L25" i="92"/>
  <c r="Y25" s="1"/>
  <c r="AK25" s="1"/>
  <c r="K34" i="56"/>
  <c r="H25" i="92"/>
  <c r="U25" s="1"/>
  <c r="AG25" s="1"/>
  <c r="P24"/>
  <c r="AC24" s="1"/>
  <c r="AO24" s="1"/>
  <c r="S33" i="56"/>
  <c r="L24" i="92"/>
  <c r="Y24" s="1"/>
  <c r="AK24" s="1"/>
  <c r="K33" i="56"/>
  <c r="H24" i="92"/>
  <c r="U24" s="1"/>
  <c r="AG24" s="1"/>
  <c r="P23"/>
  <c r="AC23" s="1"/>
  <c r="AO23" s="1"/>
  <c r="S32" i="56"/>
  <c r="L23" i="92"/>
  <c r="Y23" s="1"/>
  <c r="AK23" s="1"/>
  <c r="K32" i="56"/>
  <c r="H23" i="92"/>
  <c r="U23" s="1"/>
  <c r="AG23" s="1"/>
  <c r="P22"/>
  <c r="AC22" s="1"/>
  <c r="AO22" s="1"/>
  <c r="S31" i="56"/>
  <c r="L22" i="92"/>
  <c r="Y22" s="1"/>
  <c r="AK22" s="1"/>
  <c r="K31" i="56"/>
  <c r="H22" i="92"/>
  <c r="U22" s="1"/>
  <c r="AG22" s="1"/>
  <c r="P21"/>
  <c r="AC21" s="1"/>
  <c r="AO21" s="1"/>
  <c r="S30" i="56"/>
  <c r="L21" i="92"/>
  <c r="Y21" s="1"/>
  <c r="AK21" s="1"/>
  <c r="K30" i="56"/>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S29" i="56"/>
  <c r="L20" i="92"/>
  <c r="Y20" s="1"/>
  <c r="AK20" s="1"/>
  <c r="K29" i="56"/>
  <c r="H20" i="92"/>
  <c r="U20" s="1"/>
  <c r="AG20" s="1"/>
  <c r="S33" i="54"/>
  <c r="L19" i="92"/>
  <c r="Y19" s="1"/>
  <c r="AK19" s="1"/>
  <c r="R17"/>
  <c r="AE17" s="1"/>
  <c r="AQ17" s="1"/>
  <c r="N17"/>
  <c r="AA17" s="1"/>
  <c r="AM17" s="1"/>
  <c r="N15"/>
  <c r="AA15" s="1"/>
  <c r="AM15" s="1"/>
  <c r="R13"/>
  <c r="AE13" s="1"/>
  <c r="AQ13" s="1"/>
  <c r="N13"/>
  <c r="AA13" s="1"/>
  <c r="AM13" s="1"/>
  <c r="O27" i="54"/>
  <c r="J13" i="92"/>
  <c r="W13" s="1"/>
  <c r="AI13" s="1"/>
  <c r="U30" i="89"/>
  <c r="J64" i="74"/>
  <c r="AB64" s="1"/>
  <c r="AN64" s="1"/>
  <c r="U72" i="89"/>
  <c r="P64" i="74"/>
  <c r="AF64" s="1"/>
  <c r="AR64" s="1"/>
  <c r="U114" i="89"/>
  <c r="V64" i="74"/>
  <c r="AJ64" s="1"/>
  <c r="AV64" s="1"/>
  <c r="U51" i="89"/>
  <c r="M64" i="74"/>
  <c r="AD64" s="1"/>
  <c r="AP64" s="1"/>
  <c r="S64"/>
  <c r="AH64" s="1"/>
  <c r="AT64" s="1"/>
  <c r="N8" i="86"/>
  <c r="F63" i="91" s="1"/>
  <c r="J30" i="86"/>
  <c r="H63" i="91" s="1"/>
  <c r="S36" i="56"/>
  <c r="L27" i="92"/>
  <c r="Y27" s="1"/>
  <c r="AK27" s="1"/>
  <c r="P27"/>
  <c r="AC27" s="1"/>
  <c r="AO27" s="1"/>
  <c r="K36" i="56"/>
  <c r="H27" i="92"/>
  <c r="U27" s="1"/>
  <c r="AG27" s="1"/>
  <c r="R27"/>
  <c r="AE27" s="1"/>
  <c r="AQ27" s="1"/>
  <c r="O36" i="56"/>
  <c r="J27" i="92"/>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G72" i="74"/>
  <c r="Z72" s="1"/>
  <c r="AL72" s="1"/>
  <c r="G71"/>
  <c r="Z71" s="1"/>
  <c r="AL71" s="1"/>
  <c r="G67"/>
  <c r="Z67" s="1"/>
  <c r="AL67" s="1"/>
  <c r="G65"/>
  <c r="Z65" s="1"/>
  <c r="AL65" s="1"/>
  <c r="F9" i="86"/>
  <c r="D64" i="91" s="1"/>
  <c r="G63" i="74"/>
  <c r="Z63" s="1"/>
  <c r="AL63" s="1"/>
  <c r="G61"/>
  <c r="Z61" s="1"/>
  <c r="AL61" s="1"/>
  <c r="O8" i="89"/>
  <c r="G57" i="74"/>
  <c r="Z57" s="1"/>
  <c r="AL57" s="1"/>
  <c r="I13" i="88"/>
  <c r="M53" i="74" s="1"/>
  <c r="AD53" s="1"/>
  <c r="AP53" s="1"/>
  <c r="G51"/>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D49" i="74" s="1"/>
  <c r="I96" i="89"/>
  <c r="S50" i="74"/>
  <c r="AH50" s="1"/>
  <c r="AT50" s="1"/>
  <c r="F36" i="84"/>
  <c r="G12" i="91" s="1"/>
  <c r="I73" i="89"/>
  <c r="F31" i="84"/>
  <c r="G7" i="91" s="1"/>
  <c r="Z9" i="88"/>
  <c r="AC9" s="1"/>
  <c r="AA8"/>
  <c r="Q48" i="74" s="1"/>
  <c r="AG48" s="1"/>
  <c r="AS48" s="1"/>
  <c r="J53"/>
  <c r="AB53" s="1"/>
  <c r="AN53" s="1"/>
  <c r="J14" i="84"/>
  <c r="E12" i="91" s="1"/>
  <c r="I10" i="89"/>
  <c r="F9" i="84"/>
  <c r="D7" i="91" s="1"/>
  <c r="G48" i="74"/>
  <c r="Z48" s="1"/>
  <c r="AL48" s="1"/>
  <c r="I8" i="88"/>
  <c r="H48" i="74" s="1"/>
  <c r="AA48" s="1"/>
  <c r="AM48" s="1"/>
  <c r="AM13" i="88"/>
  <c r="N36" i="84"/>
  <c r="I12" i="91" s="1"/>
  <c r="S47" i="74"/>
  <c r="AH47" s="1"/>
  <c r="AT47" s="1"/>
  <c r="J14" i="79"/>
  <c r="E12" i="90" s="1"/>
  <c r="F11" i="84"/>
  <c r="D9" i="91" s="1"/>
  <c r="J48" i="74"/>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W7" s="1"/>
  <c r="AL9"/>
  <c r="AO9" s="1"/>
  <c r="U11"/>
  <c r="N51" i="74" s="1"/>
  <c r="AE51" s="1"/>
  <c r="AQ51" s="1"/>
  <c r="AA14" i="88"/>
  <c r="L79" i="89" s="1"/>
  <c r="AM14" i="88"/>
  <c r="S54" i="74"/>
  <c r="AH54" s="1"/>
  <c r="AT54" s="1"/>
  <c r="G54"/>
  <c r="Z54" s="1"/>
  <c r="AL54" s="1"/>
  <c r="G50"/>
  <c r="Z50" s="1"/>
  <c r="AL50" s="1"/>
  <c r="G46"/>
  <c r="Z46" s="1"/>
  <c r="AL46" s="1"/>
  <c r="H12" i="77"/>
  <c r="F13" i="79" s="1"/>
  <c r="D11" i="90" s="1"/>
  <c r="J9" i="84"/>
  <c r="E7" i="91" s="1"/>
  <c r="J16" i="84"/>
  <c r="E14" i="91" s="1"/>
  <c r="J30" i="84"/>
  <c r="H6" i="91" s="1"/>
  <c r="J38" i="84"/>
  <c r="H14" i="91" s="1"/>
  <c r="I6" i="88"/>
  <c r="AG7"/>
  <c r="O8"/>
  <c r="K48" i="74" s="1"/>
  <c r="AC48" s="1"/>
  <c r="AO48" s="1"/>
  <c r="AM8" i="88"/>
  <c r="I12" i="89"/>
  <c r="I54"/>
  <c r="M46" i="74"/>
  <c r="AD46" s="1"/>
  <c r="AP46" s="1"/>
  <c r="P54"/>
  <c r="AF54" s="1"/>
  <c r="AR54" s="1"/>
  <c r="J51"/>
  <c r="AB51" s="1"/>
  <c r="AN51" s="1"/>
  <c r="J47"/>
  <c r="AB47" s="1"/>
  <c r="AN47" s="1"/>
  <c r="I34" i="85"/>
  <c r="I33"/>
  <c r="E34"/>
  <c r="N20" i="86"/>
  <c r="F41"/>
  <c r="N41"/>
  <c r="J42"/>
  <c r="F43"/>
  <c r="N43"/>
  <c r="F42" i="84"/>
  <c r="G18" i="91" s="1"/>
  <c r="N19" i="84"/>
  <c r="F17" i="91" s="1"/>
  <c r="N21" i="84"/>
  <c r="F19" i="91" s="1"/>
  <c r="H72" i="88"/>
  <c r="W72" i="77"/>
  <c r="AX21" i="10" s="1"/>
  <c r="H22" i="83"/>
  <c r="W67" i="77"/>
  <c r="AX16" i="10" s="1"/>
  <c r="H17" i="83"/>
  <c r="H20"/>
  <c r="L20" s="1"/>
  <c r="H70" i="88"/>
  <c r="H70" i="77"/>
  <c r="W70" s="1"/>
  <c r="AX19" i="10" s="1"/>
  <c r="H68" i="88"/>
  <c r="H18" i="83"/>
  <c r="W68" i="77"/>
  <c r="AX17" i="10" s="1"/>
  <c r="H69" i="88"/>
  <c r="H69" i="77"/>
  <c r="W69" s="1"/>
  <c r="AX18" i="10" s="1"/>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K13" i="82"/>
  <c r="C154" i="90"/>
  <c r="D155"/>
  <c r="O98" i="77"/>
  <c r="Q98" s="1"/>
  <c r="I113" i="89"/>
  <c r="AM6" i="88"/>
  <c r="N29" i="84"/>
  <c r="I5" i="91" s="1"/>
  <c r="I75" i="89"/>
  <c r="AA10" i="88"/>
  <c r="V50" i="74" s="1"/>
  <c r="AJ50" s="1"/>
  <c r="AV50" s="1"/>
  <c r="F33" i="84"/>
  <c r="G9" i="91" s="1"/>
  <c r="O33" i="89"/>
  <c r="I11" i="85"/>
  <c r="E41" i="91" s="1"/>
  <c r="O75" i="89"/>
  <c r="E28" i="85"/>
  <c r="G41" i="91" s="1"/>
  <c r="O117" i="89"/>
  <c r="M28" i="85"/>
  <c r="I41" i="91" s="1"/>
  <c r="O80" i="89"/>
  <c r="E30" i="85"/>
  <c r="G43" i="91" s="1"/>
  <c r="L29" i="86"/>
  <c r="H80" i="91" s="1"/>
  <c r="U31" i="89"/>
  <c r="K65" i="74"/>
  <c r="AC65" s="1"/>
  <c r="AO65" s="1"/>
  <c r="J9" i="86"/>
  <c r="E64" i="91" s="1"/>
  <c r="F36" i="86"/>
  <c r="G69" i="91" s="1"/>
  <c r="N36" i="86"/>
  <c r="I69" i="91" s="1"/>
  <c r="L7" i="83"/>
  <c r="D102" i="91" s="1"/>
  <c r="L8" i="83"/>
  <c r="D103" i="91" s="1"/>
  <c r="D147"/>
  <c r="O89" i="88"/>
  <c r="I7" i="87"/>
  <c r="O92" i="88"/>
  <c r="D150" i="91"/>
  <c r="N30" i="79"/>
  <c r="I7" i="90" s="1"/>
  <c r="AM8" i="77"/>
  <c r="AO8" s="1"/>
  <c r="P30" i="79" s="1"/>
  <c r="I25" i="90" s="1"/>
  <c r="F35" i="79"/>
  <c r="G12" i="90" s="1"/>
  <c r="AA13" i="77"/>
  <c r="AM13"/>
  <c r="N35" i="79"/>
  <c r="I12" i="90" s="1"/>
  <c r="F30" i="81"/>
  <c r="G64" i="90" s="1"/>
  <c r="H30" i="81"/>
  <c r="G82" i="90" s="1"/>
  <c r="D147"/>
  <c r="O90" i="77"/>
  <c r="Q90" s="1"/>
  <c r="D149" i="90"/>
  <c r="O92" i="77"/>
  <c r="Q92" s="1"/>
  <c r="C151" i="90"/>
  <c r="E12" i="82"/>
  <c r="I94" i="77"/>
  <c r="K94" s="1"/>
  <c r="K15" i="82"/>
  <c r="D184" i="91"/>
  <c r="D183" i="90"/>
  <c r="L29" i="84"/>
  <c r="H23" i="91" s="1"/>
  <c r="I72" i="89"/>
  <c r="AA7" i="88"/>
  <c r="V47" i="74" s="1"/>
  <c r="AJ47" s="1"/>
  <c r="AV47" s="1"/>
  <c r="F30" i="84"/>
  <c r="G6" i="91" s="1"/>
  <c r="I117" i="89"/>
  <c r="AM10" i="88"/>
  <c r="N33" i="84"/>
  <c r="I9" i="91" s="1"/>
  <c r="I122" i="89"/>
  <c r="N38" i="84"/>
  <c r="I14" i="91" s="1"/>
  <c r="O60" i="88"/>
  <c r="L10" i="83"/>
  <c r="D105" i="91" s="1"/>
  <c r="O90" i="88"/>
  <c r="D148" i="91"/>
  <c r="I8" i="87"/>
  <c r="T9" i="77"/>
  <c r="N97"/>
  <c r="L7" i="78"/>
  <c r="D101" i="90" s="1"/>
  <c r="L9" i="78"/>
  <c r="D103" i="90" s="1"/>
  <c r="L11" i="78"/>
  <c r="D105" i="90" s="1"/>
  <c r="L13" i="78"/>
  <c r="D107" i="90" s="1"/>
  <c r="F7" i="79"/>
  <c r="D5" i="90" s="1"/>
  <c r="J8" i="79"/>
  <c r="E6" i="90" s="1"/>
  <c r="N9" i="79"/>
  <c r="F7" i="90" s="1"/>
  <c r="F11" i="79"/>
  <c r="D9" i="90" s="1"/>
  <c r="N11" i="79"/>
  <c r="F9" i="90" s="1"/>
  <c r="N12" i="79"/>
  <c r="F10" i="90" s="1"/>
  <c r="F14" i="79"/>
  <c r="D12" i="90" s="1"/>
  <c r="N14" i="79"/>
  <c r="F12" i="90" s="1"/>
  <c r="N15" i="79"/>
  <c r="F13" i="90" s="1"/>
  <c r="M25" i="80"/>
  <c r="I38" i="90" s="1"/>
  <c r="E29" i="80"/>
  <c r="G42" i="90" s="1"/>
  <c r="J8" i="81"/>
  <c r="E63" i="90" s="1"/>
  <c r="F11" i="81"/>
  <c r="D66" i="90" s="1"/>
  <c r="F15" i="81"/>
  <c r="D70" i="90" s="1"/>
  <c r="J28" i="81"/>
  <c r="H62" i="90" s="1"/>
  <c r="I16" i="82"/>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5" i="77"/>
  <c r="G7" i="80" s="1"/>
  <c r="D51" i="90" s="1"/>
  <c r="K24" i="80"/>
  <c r="H51" i="90" s="1"/>
  <c r="K26" i="77"/>
  <c r="G8" i="80" s="1"/>
  <c r="D52" i="90" s="1"/>
  <c r="O8" i="80"/>
  <c r="F52" i="90" s="1"/>
  <c r="K25" i="80"/>
  <c r="H52" i="90" s="1"/>
  <c r="K26" i="80"/>
  <c r="H53" i="90" s="1"/>
  <c r="K30" i="77"/>
  <c r="G12" i="80" s="1"/>
  <c r="D56" i="90" s="1"/>
  <c r="O12" i="80"/>
  <c r="F56" i="90" s="1"/>
  <c r="K29" i="80"/>
  <c r="H56" i="90" s="1"/>
  <c r="L7" i="81"/>
  <c r="E80" i="90" s="1"/>
  <c r="H28" i="81"/>
  <c r="G80" i="90" s="1"/>
  <c r="P28" i="81"/>
  <c r="I80" i="90" s="1"/>
  <c r="P29" i="81"/>
  <c r="I81" i="90" s="1"/>
  <c r="L36" i="81"/>
  <c r="H88" i="90" s="1"/>
  <c r="H11" i="78"/>
  <c r="C105" i="90" s="1"/>
  <c r="H13" i="78"/>
  <c r="C107" i="90" s="1"/>
  <c r="J9" i="79"/>
  <c r="E7" i="90" s="1"/>
  <c r="J12" i="79"/>
  <c r="E10" i="90" s="1"/>
  <c r="E25" i="80"/>
  <c r="G38" i="90" s="1"/>
  <c r="N7" i="81"/>
  <c r="F62" i="90" s="1"/>
  <c r="N11" i="81"/>
  <c r="F66" i="90" s="1"/>
  <c r="J30" i="81"/>
  <c r="H64" i="90" s="1"/>
  <c r="J32" i="81"/>
  <c r="H66" i="90" s="1"/>
  <c r="N33" i="81"/>
  <c r="I67" i="90" s="1"/>
  <c r="J14" i="86"/>
  <c r="E69" i="91" s="1"/>
  <c r="I10" i="87"/>
  <c r="H71" i="88"/>
  <c r="W71" i="77"/>
  <c r="AX20" i="10" s="1"/>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H28" i="77"/>
  <c r="I28" s="1"/>
  <c r="M9" i="80"/>
  <c r="F39" i="90" s="1"/>
  <c r="F12" i="81"/>
  <c r="D67" i="90" s="1"/>
  <c r="N12" i="81"/>
  <c r="F67" i="90" s="1"/>
  <c r="J33" i="81"/>
  <c r="H67" i="90" s="1"/>
  <c r="C146"/>
  <c r="I89" i="77"/>
  <c r="K89" s="1"/>
  <c r="E7" i="82"/>
  <c r="I91" i="77"/>
  <c r="K91" s="1"/>
  <c r="E9" i="82"/>
  <c r="C148" i="90"/>
  <c r="D149" i="91"/>
  <c r="O91" i="88"/>
  <c r="I9" i="87"/>
  <c r="F30" i="79"/>
  <c r="G7" i="90" s="1"/>
  <c r="AA8" i="77"/>
  <c r="AC8" s="1"/>
  <c r="H30" i="79" s="1"/>
  <c r="G25" i="90" s="1"/>
  <c r="AM9" i="77"/>
  <c r="AO9" s="1"/>
  <c r="P31" i="79" s="1"/>
  <c r="I26" i="90" s="1"/>
  <c r="I11" i="80"/>
  <c r="E41" i="90" s="1"/>
  <c r="E28" i="80"/>
  <c r="G41" i="90" s="1"/>
  <c r="M28" i="80"/>
  <c r="I41" i="90" s="1"/>
  <c r="J9" i="81"/>
  <c r="E64" i="90" s="1"/>
  <c r="L9" i="81"/>
  <c r="E82" i="90" s="1"/>
  <c r="N30" i="81"/>
  <c r="I64" i="90" s="1"/>
  <c r="P30" i="81"/>
  <c r="I82" i="90" s="1"/>
  <c r="D146"/>
  <c r="O89" i="77"/>
  <c r="Q89" s="1"/>
  <c r="D148" i="90"/>
  <c r="O91" i="77"/>
  <c r="Q91" s="1"/>
  <c r="D180" i="91"/>
  <c r="D179" i="90"/>
  <c r="K11" i="82"/>
  <c r="D153" i="90"/>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M24" i="80"/>
  <c r="I37"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26" i="80"/>
  <c r="G53" i="90" s="1"/>
  <c r="O26" i="80"/>
  <c r="I53" i="90" s="1"/>
  <c r="O29" i="80"/>
  <c r="I56" i="90" s="1"/>
  <c r="P8" i="81"/>
  <c r="F81" i="90" s="1"/>
  <c r="L12" i="81"/>
  <c r="E85" i="90" s="1"/>
  <c r="H33" i="81"/>
  <c r="G85" i="90" s="1"/>
  <c r="P33" i="81"/>
  <c r="I85" i="90" s="1"/>
  <c r="L13" i="81"/>
  <c r="E86" i="90" s="1"/>
  <c r="L15" i="81"/>
  <c r="E88" i="90" s="1"/>
  <c r="H36" i="81"/>
  <c r="G88" i="90" s="1"/>
  <c r="P36" i="81"/>
  <c r="I88" i="90" s="1"/>
  <c r="H8" i="78"/>
  <c r="C102" i="90" s="1"/>
  <c r="H10" i="78"/>
  <c r="C104" i="90" s="1"/>
  <c r="H12" i="78"/>
  <c r="C106" i="90" s="1"/>
  <c r="I26" i="80"/>
  <c r="H39" i="90" s="1"/>
  <c r="F9" i="81"/>
  <c r="D64" i="90" s="1"/>
  <c r="J12" i="81"/>
  <c r="E67" i="90" s="1"/>
  <c r="J14" i="81"/>
  <c r="E69" i="90" s="1"/>
  <c r="F35" i="81"/>
  <c r="G69" i="90" s="1"/>
  <c r="I9" i="82"/>
  <c r="P7" i="86"/>
  <c r="F80"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K12" s="1"/>
  <c r="F12" i="84"/>
  <c r="D10" i="91" s="1"/>
  <c r="I55" i="89"/>
  <c r="T12" i="88"/>
  <c r="N12" i="84"/>
  <c r="F10" i="91" s="1"/>
  <c r="I97" i="89"/>
  <c r="AF12" i="88"/>
  <c r="D52" i="74" s="1"/>
  <c r="I15" i="89"/>
  <c r="F14" i="84"/>
  <c r="D12" i="91" s="1"/>
  <c r="I57" i="89"/>
  <c r="N14" i="84"/>
  <c r="F12" i="91" s="1"/>
  <c r="I17" i="89"/>
  <c r="F16" i="84"/>
  <c r="D14" i="91" s="1"/>
  <c r="I84" i="89"/>
  <c r="I126"/>
  <c r="N41" i="84"/>
  <c r="I17" i="91" s="1"/>
  <c r="I86" i="89"/>
  <c r="F43" i="84"/>
  <c r="G19" i="91" s="1"/>
  <c r="I128" i="89"/>
  <c r="N43" i="84"/>
  <c r="I19" i="91" s="1"/>
  <c r="O70" i="89"/>
  <c r="E24" i="85"/>
  <c r="G37" i="91" s="1"/>
  <c r="M24" i="85"/>
  <c r="I37" i="91" s="1"/>
  <c r="I8" i="85"/>
  <c r="E38" i="91" s="1"/>
  <c r="O71" i="89"/>
  <c r="O31"/>
  <c r="O73"/>
  <c r="E26" i="85"/>
  <c r="G39" i="91" s="1"/>
  <c r="M26" i="85"/>
  <c r="I39" i="91" s="1"/>
  <c r="O59" i="89"/>
  <c r="O63"/>
  <c r="M17" i="85"/>
  <c r="V69" i="74"/>
  <c r="AJ69" s="1"/>
  <c r="AV69" s="1"/>
  <c r="C180" i="91"/>
  <c r="G11" i="87"/>
  <c r="H94" i="88"/>
  <c r="H95"/>
  <c r="G11" i="82"/>
  <c r="G13"/>
  <c r="G15"/>
  <c r="N8" i="84"/>
  <c r="F6" i="91" s="1"/>
  <c r="N37" i="84"/>
  <c r="I13" i="91" s="1"/>
  <c r="I24" i="85"/>
  <c r="H37" i="91" s="1"/>
  <c r="N15" i="86"/>
  <c r="F70" i="91" s="1"/>
  <c r="N29" i="86"/>
  <c r="I62" i="91" s="1"/>
  <c r="J34" i="86"/>
  <c r="H67" i="91" s="1"/>
  <c r="I16" i="87"/>
  <c r="AA6" i="88"/>
  <c r="Q46" i="74" s="1"/>
  <c r="AG46" s="1"/>
  <c r="AS46" s="1"/>
  <c r="AM7" i="88"/>
  <c r="AO7" s="1"/>
  <c r="N9"/>
  <c r="T9"/>
  <c r="O98"/>
  <c r="O37" i="89"/>
  <c r="I50"/>
  <c r="I93" i="91"/>
  <c r="I30" i="89"/>
  <c r="J8" i="84"/>
  <c r="E6" i="91" s="1"/>
  <c r="I36" i="89"/>
  <c r="O13" i="88"/>
  <c r="I78" i="89"/>
  <c r="AA13" i="88"/>
  <c r="O122" i="89"/>
  <c r="M30" i="85"/>
  <c r="I43" i="91" s="1"/>
  <c r="U73" i="89"/>
  <c r="Q65" i="74"/>
  <c r="AG65" s="1"/>
  <c r="AS65" s="1"/>
  <c r="U33" i="89"/>
  <c r="U100"/>
  <c r="T71" i="74"/>
  <c r="AI71" s="1"/>
  <c r="AU71" s="1"/>
  <c r="D152" i="91"/>
  <c r="O94" i="88"/>
  <c r="E91" i="90"/>
  <c r="D31" i="89"/>
  <c r="I91" i="90"/>
  <c r="I91" i="91"/>
  <c r="G92" i="90"/>
  <c r="D76" i="89"/>
  <c r="E93" i="90"/>
  <c r="E93" i="91"/>
  <c r="G94" i="90"/>
  <c r="G94" i="91"/>
  <c r="I34" i="89"/>
  <c r="N12" i="88"/>
  <c r="I76" i="89"/>
  <c r="Z12" i="88"/>
  <c r="AC12" s="1"/>
  <c r="I118" i="89"/>
  <c r="AL12" i="88"/>
  <c r="AO12" s="1"/>
  <c r="I37" i="89"/>
  <c r="J15" i="84"/>
  <c r="E13" i="91" s="1"/>
  <c r="I106" i="89"/>
  <c r="J42" i="84"/>
  <c r="H18" i="91" s="1"/>
  <c r="E7" i="85"/>
  <c r="D37" i="91" s="1"/>
  <c r="O49" i="89"/>
  <c r="M7" i="85"/>
  <c r="F37" i="91" s="1"/>
  <c r="O10" i="89"/>
  <c r="E9" i="85"/>
  <c r="D39" i="91" s="1"/>
  <c r="O12" i="89"/>
  <c r="E11" i="85"/>
  <c r="D41" i="91" s="1"/>
  <c r="O54" i="89"/>
  <c r="O100"/>
  <c r="T65" i="74"/>
  <c r="AI65" s="1"/>
  <c r="AU65" s="1"/>
  <c r="U12" i="89"/>
  <c r="U54"/>
  <c r="U96"/>
  <c r="C156" i="91"/>
  <c r="I98" i="88"/>
  <c r="D157" i="91"/>
  <c r="I17" i="87"/>
  <c r="D159" i="91"/>
  <c r="I19" i="87"/>
  <c r="P12" i="86"/>
  <c r="F85" i="91" s="1"/>
  <c r="J37" i="86"/>
  <c r="H70" i="91" s="1"/>
  <c r="N93" i="88"/>
  <c r="I120" i="89"/>
  <c r="E91" i="91"/>
  <c r="H93" i="88"/>
  <c r="H92"/>
  <c r="O33" i="54"/>
  <c r="S30"/>
  <c r="O26"/>
  <c r="O31"/>
  <c r="K32"/>
  <c r="S28"/>
  <c r="K27"/>
  <c r="J10" i="74"/>
  <c r="AB10" s="1"/>
  <c r="AN10" s="1"/>
  <c r="O29" i="54"/>
  <c r="S14" i="74"/>
  <c r="AH14" s="1"/>
  <c r="AT14" s="1"/>
  <c r="S10"/>
  <c r="AH10" s="1"/>
  <c r="AT10" s="1"/>
  <c r="S32" i="54"/>
  <c r="K31"/>
  <c r="M14" i="74"/>
  <c r="AD14" s="1"/>
  <c r="AP14" s="1"/>
  <c r="M10"/>
  <c r="AD10" s="1"/>
  <c r="AP10" s="1"/>
  <c r="K29" i="54"/>
  <c r="K33"/>
  <c r="S26"/>
  <c r="K26"/>
  <c r="K22" i="7"/>
  <c r="H17" i="112"/>
  <c r="Q98" i="88" l="1"/>
  <c r="Q96"/>
  <c r="Q94"/>
  <c r="Q92"/>
  <c r="Q91"/>
  <c r="Q90"/>
  <c r="Q89"/>
  <c r="Q62"/>
  <c r="Q61"/>
  <c r="K41"/>
  <c r="AI25"/>
  <c r="K24" i="85" s="1"/>
  <c r="H51" i="91" s="1"/>
  <c r="M95" i="74"/>
  <c r="AD95" s="1"/>
  <c r="AP95" s="1"/>
  <c r="P86"/>
  <c r="AF86" s="1"/>
  <c r="AR86" s="1"/>
  <c r="M86"/>
  <c r="AD86" s="1"/>
  <c r="AP86" s="1"/>
  <c r="K63" i="88"/>
  <c r="M79" i="74"/>
  <c r="AD79" s="1"/>
  <c r="AP79" s="1"/>
  <c r="K79"/>
  <c r="AC79" s="1"/>
  <c r="AO79" s="1"/>
  <c r="P79"/>
  <c r="AF79" s="1"/>
  <c r="AR79" s="1"/>
  <c r="M88"/>
  <c r="AD88" s="1"/>
  <c r="AP88" s="1"/>
  <c r="M87"/>
  <c r="AD87" s="1"/>
  <c r="AP87" s="1"/>
  <c r="V53"/>
  <c r="AJ53" s="1"/>
  <c r="AV53" s="1"/>
  <c r="V54"/>
  <c r="AJ54" s="1"/>
  <c r="AV54" s="1"/>
  <c r="P50"/>
  <c r="AF50" s="1"/>
  <c r="AR50" s="1"/>
  <c r="V51"/>
  <c r="AJ51" s="1"/>
  <c r="AV51" s="1"/>
  <c r="X50" i="89"/>
  <c r="AG25" i="88"/>
  <c r="AG26"/>
  <c r="P89" i="74"/>
  <c r="AF89" s="1"/>
  <c r="AR89" s="1"/>
  <c r="P91"/>
  <c r="AF91" s="1"/>
  <c r="AR91" s="1"/>
  <c r="P95"/>
  <c r="AF95" s="1"/>
  <c r="AR95" s="1"/>
  <c r="P88"/>
  <c r="AF88" s="1"/>
  <c r="AR88" s="1"/>
  <c r="P87"/>
  <c r="AF87" s="1"/>
  <c r="AR87" s="1"/>
  <c r="Q60" i="88"/>
  <c r="P76" i="74"/>
  <c r="AF76" s="1"/>
  <c r="AR76" s="1"/>
  <c r="P93"/>
  <c r="AF93" s="1"/>
  <c r="AR93" s="1"/>
  <c r="K61" i="88"/>
  <c r="M77" i="74"/>
  <c r="AD77" s="1"/>
  <c r="AP77" s="1"/>
  <c r="K60" i="88"/>
  <c r="M76" i="74"/>
  <c r="AD76" s="1"/>
  <c r="AP76" s="1"/>
  <c r="K62" i="88"/>
  <c r="M78" i="74"/>
  <c r="AD78" s="1"/>
  <c r="AP78" s="1"/>
  <c r="D62"/>
  <c r="D60"/>
  <c r="AI27" i="88"/>
  <c r="D58" i="74"/>
  <c r="D55"/>
  <c r="P53"/>
  <c r="AF53" s="1"/>
  <c r="AR53" s="1"/>
  <c r="M48"/>
  <c r="AD48" s="1"/>
  <c r="AP48" s="1"/>
  <c r="M47"/>
  <c r="AD47" s="1"/>
  <c r="AP47" s="1"/>
  <c r="V48"/>
  <c r="AJ48" s="1"/>
  <c r="AV48" s="1"/>
  <c r="P48"/>
  <c r="AF48" s="1"/>
  <c r="AR48" s="1"/>
  <c r="M54"/>
  <c r="AD54" s="1"/>
  <c r="AP54" s="1"/>
  <c r="P46"/>
  <c r="AF46" s="1"/>
  <c r="AR46" s="1"/>
  <c r="S51"/>
  <c r="AH51" s="1"/>
  <c r="AT51" s="1"/>
  <c r="P51"/>
  <c r="AF51" s="1"/>
  <c r="AR51" s="1"/>
  <c r="V46"/>
  <c r="AJ46" s="1"/>
  <c r="AV46" s="1"/>
  <c r="J62"/>
  <c r="AB62" s="1"/>
  <c r="AN62" s="1"/>
  <c r="M57"/>
  <c r="AD57" s="1"/>
  <c r="AP57" s="1"/>
  <c r="O28" i="89"/>
  <c r="M8" i="85"/>
  <c r="F38" i="91" s="1"/>
  <c r="U29" i="89"/>
  <c r="U71"/>
  <c r="J58" i="74"/>
  <c r="AB58" s="1"/>
  <c r="AN58" s="1"/>
  <c r="J60"/>
  <c r="AB60" s="1"/>
  <c r="AN60" s="1"/>
  <c r="M29" i="80"/>
  <c r="I42" i="90" s="1"/>
  <c r="I8" i="80"/>
  <c r="E38" i="90" s="1"/>
  <c r="J11" i="86"/>
  <c r="E66" i="91" s="1"/>
  <c r="F33" i="86"/>
  <c r="G66" i="91" s="1"/>
  <c r="O29" i="89"/>
  <c r="N16" i="86"/>
  <c r="F71" i="91" s="1"/>
  <c r="E24" i="80"/>
  <c r="G37" i="90" s="1"/>
  <c r="G62" i="74"/>
  <c r="Z62" s="1"/>
  <c r="AL62" s="1"/>
  <c r="U16" i="89"/>
  <c r="U17"/>
  <c r="U59"/>
  <c r="S62" i="74"/>
  <c r="AH62" s="1"/>
  <c r="AT62" s="1"/>
  <c r="U75" i="89"/>
  <c r="S60" i="74"/>
  <c r="AH60" s="1"/>
  <c r="AT60" s="1"/>
  <c r="J56"/>
  <c r="AB56" s="1"/>
  <c r="AN56" s="1"/>
  <c r="N46"/>
  <c r="AE46" s="1"/>
  <c r="AQ46" s="1"/>
  <c r="T46"/>
  <c r="AI46" s="1"/>
  <c r="AU46" s="1"/>
  <c r="J10" i="81"/>
  <c r="E65" i="90" s="1"/>
  <c r="F15" i="86"/>
  <c r="D70" i="91" s="1"/>
  <c r="J36" i="81"/>
  <c r="H70" i="90" s="1"/>
  <c r="N15" i="81"/>
  <c r="F70" i="90" s="1"/>
  <c r="O15" i="113"/>
  <c r="H48" i="69" s="1"/>
  <c r="U44" i="88"/>
  <c r="W44"/>
  <c r="U26"/>
  <c r="W26"/>
  <c r="N36" i="81"/>
  <c r="I70" i="90" s="1"/>
  <c r="AM44" i="88"/>
  <c r="AO44" s="1"/>
  <c r="AM28"/>
  <c r="AO28"/>
  <c r="AG42"/>
  <c r="AI42" s="1"/>
  <c r="U25"/>
  <c r="W25"/>
  <c r="R49" i="89" s="1"/>
  <c r="F36" i="81"/>
  <c r="G70" i="90" s="1"/>
  <c r="N29" i="81"/>
  <c r="I63" i="90" s="1"/>
  <c r="I12" i="80"/>
  <c r="E42" i="90" s="1"/>
  <c r="AA44" i="88"/>
  <c r="AC44"/>
  <c r="AA28"/>
  <c r="AC28"/>
  <c r="J15" i="81"/>
  <c r="E70" i="90" s="1"/>
  <c r="F29" i="81"/>
  <c r="G63" i="90" s="1"/>
  <c r="I7" i="80"/>
  <c r="E37" i="90" s="1"/>
  <c r="AA42" i="88"/>
  <c r="O26"/>
  <c r="Q26"/>
  <c r="AG30"/>
  <c r="AI30"/>
  <c r="R100" i="89" s="1"/>
  <c r="U30" i="88"/>
  <c r="W30"/>
  <c r="O42"/>
  <c r="O25"/>
  <c r="Q25"/>
  <c r="AA46"/>
  <c r="O46"/>
  <c r="Q46"/>
  <c r="O30"/>
  <c r="Q30"/>
  <c r="K61" i="74" s="1"/>
  <c r="AC61" s="1"/>
  <c r="AO61" s="1"/>
  <c r="I46" i="88"/>
  <c r="I42"/>
  <c r="L22" i="7"/>
  <c r="I17" i="112"/>
  <c r="K13" i="113"/>
  <c r="G46" i="69" s="1"/>
  <c r="O11" i="113"/>
  <c r="H44" i="69" s="1"/>
  <c r="AI12" i="88"/>
  <c r="Q12"/>
  <c r="W9"/>
  <c r="W12"/>
  <c r="AI7"/>
  <c r="T47" i="74" s="1"/>
  <c r="AI47" s="1"/>
  <c r="AU47" s="1"/>
  <c r="AI9" i="88"/>
  <c r="Q9"/>
  <c r="AC7"/>
  <c r="Q47" i="74" s="1"/>
  <c r="AG47" s="1"/>
  <c r="AS47" s="1"/>
  <c r="Q7" i="88"/>
  <c r="K47" i="74" s="1"/>
  <c r="AC47" s="1"/>
  <c r="AO47" s="1"/>
  <c r="I73" i="120"/>
  <c r="I62" i="121"/>
  <c r="K15" i="113"/>
  <c r="G48" i="69" s="1"/>
  <c r="M25" i="113"/>
  <c r="N22" i="7"/>
  <c r="Q24" i="115"/>
  <c r="O65" i="7"/>
  <c r="I25" i="113"/>
  <c r="M22" i="7"/>
  <c r="Q25" i="113"/>
  <c r="O22" i="7"/>
  <c r="G17" i="112"/>
  <c r="J22" i="7"/>
  <c r="V10" i="74"/>
  <c r="AJ10" s="1"/>
  <c r="AV10" s="1"/>
  <c r="V14"/>
  <c r="AJ14" s="1"/>
  <c r="AV14" s="1"/>
  <c r="S22" i="24"/>
  <c r="J29" i="81"/>
  <c r="H63" i="90" s="1"/>
  <c r="N8" i="81"/>
  <c r="F63" i="90" s="1"/>
  <c r="F8" i="81"/>
  <c r="D63" i="90" s="1"/>
  <c r="I29" i="80"/>
  <c r="H42" i="90" s="1"/>
  <c r="M12" i="80"/>
  <c r="F42" i="90" s="1"/>
  <c r="I25" i="80"/>
  <c r="H38" i="90" s="1"/>
  <c r="M8" i="80"/>
  <c r="F38" i="90" s="1"/>
  <c r="I24" i="80"/>
  <c r="H37" i="90" s="1"/>
  <c r="M7" i="80"/>
  <c r="F37" i="90" s="1"/>
  <c r="H45" i="69"/>
  <c r="K10" i="74"/>
  <c r="AC10" s="1"/>
  <c r="AO10" s="1"/>
  <c r="Q10"/>
  <c r="AG10" s="1"/>
  <c r="AS10" s="1"/>
  <c r="W14"/>
  <c r="AK14" s="1"/>
  <c r="AW14" s="1"/>
  <c r="T10"/>
  <c r="AI10" s="1"/>
  <c r="AU10" s="1"/>
  <c r="K98" i="88"/>
  <c r="H95" i="74" s="1"/>
  <c r="AA95" s="1"/>
  <c r="AM95" s="1"/>
  <c r="K90" i="88"/>
  <c r="H87" i="74" s="1"/>
  <c r="AA87" s="1"/>
  <c r="AM87" s="1"/>
  <c r="K91" i="88"/>
  <c r="H88" i="74" s="1"/>
  <c r="AA88" s="1"/>
  <c r="AM88" s="1"/>
  <c r="K89" i="88"/>
  <c r="H86" i="74" s="1"/>
  <c r="AA86" s="1"/>
  <c r="AM86" s="1"/>
  <c r="H79"/>
  <c r="AA79" s="1"/>
  <c r="AM79" s="1"/>
  <c r="G138" i="69"/>
  <c r="Q22" i="24"/>
  <c r="K14" i="74" s="1"/>
  <c r="AC14" s="1"/>
  <c r="AO14" s="1"/>
  <c r="L14"/>
  <c r="AF44" i="88"/>
  <c r="AG43"/>
  <c r="AI43" s="1"/>
  <c r="H44"/>
  <c r="I43"/>
  <c r="I30"/>
  <c r="AF28"/>
  <c r="AG27"/>
  <c r="R94" i="89" s="1"/>
  <c r="T28" i="88"/>
  <c r="W28" s="1"/>
  <c r="U27"/>
  <c r="O9" i="85" s="1"/>
  <c r="F53" i="91" s="1"/>
  <c r="I28" i="88"/>
  <c r="K28" s="1"/>
  <c r="H59" i="74" s="1"/>
  <c r="AA59" s="1"/>
  <c r="AM59" s="1"/>
  <c r="N44" i="88"/>
  <c r="O43"/>
  <c r="N28"/>
  <c r="Q28" s="1"/>
  <c r="O27"/>
  <c r="AG44" i="77"/>
  <c r="AI44" s="1"/>
  <c r="L31" i="81" s="1"/>
  <c r="H83" i="90" s="1"/>
  <c r="AG43" i="77"/>
  <c r="AI43" s="1"/>
  <c r="L30" i="81" s="1"/>
  <c r="H82" i="90" s="1"/>
  <c r="U43" i="77"/>
  <c r="W43" s="1"/>
  <c r="P9" i="81" s="1"/>
  <c r="F82" i="90" s="1"/>
  <c r="I44" i="77"/>
  <c r="K44" s="1"/>
  <c r="I43"/>
  <c r="K43" s="1"/>
  <c r="H9" i="81" s="1"/>
  <c r="D82" i="90" s="1"/>
  <c r="T28" i="77"/>
  <c r="U28" s="1"/>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M60" i="74"/>
  <c r="AD60" s="1"/>
  <c r="AP60" s="1"/>
  <c r="M58"/>
  <c r="AD58" s="1"/>
  <c r="AP58" s="1"/>
  <c r="I30" i="85"/>
  <c r="H43" i="91" s="1"/>
  <c r="S61" i="74"/>
  <c r="AH61" s="1"/>
  <c r="AT61" s="1"/>
  <c r="F37" i="86"/>
  <c r="G70" i="91" s="1"/>
  <c r="J14" i="74"/>
  <c r="AB14" s="1"/>
  <c r="AN14" s="1"/>
  <c r="K12" i="85"/>
  <c r="E56" i="91" s="1"/>
  <c r="L37" i="89"/>
  <c r="L30"/>
  <c r="Q51" i="74"/>
  <c r="AG51" s="1"/>
  <c r="AS51" s="1"/>
  <c r="G82"/>
  <c r="Z82" s="1"/>
  <c r="AL82" s="1"/>
  <c r="H34" i="84"/>
  <c r="G28" i="91" s="1"/>
  <c r="R37" i="89"/>
  <c r="C178" i="91"/>
  <c r="R92" i="89"/>
  <c r="N58" i="74"/>
  <c r="AE58" s="1"/>
  <c r="AQ58" s="1"/>
  <c r="G9" i="87"/>
  <c r="L8" i="84"/>
  <c r="E24" i="91" s="1"/>
  <c r="O8" i="85"/>
  <c r="F52" i="91" s="1"/>
  <c r="T57" i="74"/>
  <c r="AI57" s="1"/>
  <c r="AU57" s="1"/>
  <c r="X58" i="89"/>
  <c r="K29" i="85"/>
  <c r="H56" i="91" s="1"/>
  <c r="J13" i="83"/>
  <c r="C134" i="91" s="1"/>
  <c r="P15" i="86"/>
  <c r="F88" i="91" s="1"/>
  <c r="E11" i="82"/>
  <c r="G26" i="85"/>
  <c r="G53" i="91" s="1"/>
  <c r="T61" i="74"/>
  <c r="AI61" s="1"/>
  <c r="AU61" s="1"/>
  <c r="K27" i="80"/>
  <c r="H54" i="90" s="1"/>
  <c r="M81" i="74"/>
  <c r="AD81" s="1"/>
  <c r="AP81" s="1"/>
  <c r="P9" i="86"/>
  <c r="F82" i="91" s="1"/>
  <c r="V66" i="74"/>
  <c r="AJ66" s="1"/>
  <c r="AV66" s="1"/>
  <c r="V59"/>
  <c r="AJ59" s="1"/>
  <c r="AV59" s="1"/>
  <c r="L10" i="81"/>
  <c r="E83" i="90" s="1"/>
  <c r="L15" i="84"/>
  <c r="E31" i="91" s="1"/>
  <c r="L34" i="84"/>
  <c r="H28" i="91" s="1"/>
  <c r="AG9" i="77"/>
  <c r="AI9" s="1"/>
  <c r="L31" i="79" s="1"/>
  <c r="H26" i="90" s="1"/>
  <c r="N13" i="79"/>
  <c r="F11" i="90" s="1"/>
  <c r="G24" i="85"/>
  <c r="G51" i="91" s="1"/>
  <c r="R79" i="89"/>
  <c r="V11" i="74"/>
  <c r="AJ11" s="1"/>
  <c r="AV11" s="1"/>
  <c r="F31" i="81"/>
  <c r="G65" i="90" s="1"/>
  <c r="O7" i="85"/>
  <c r="F51" i="91" s="1"/>
  <c r="L97" i="89"/>
  <c r="P15" i="84"/>
  <c r="F31" i="91" s="1"/>
  <c r="G29" i="85"/>
  <c r="G56" i="91" s="1"/>
  <c r="N56" i="74"/>
  <c r="AE56" s="1"/>
  <c r="AQ56" s="1"/>
  <c r="A4" i="102"/>
  <c r="A5" s="1"/>
  <c r="J11" i="74"/>
  <c r="AB11" s="1"/>
  <c r="AN11" s="1"/>
  <c r="S66"/>
  <c r="AH66" s="1"/>
  <c r="AT66" s="1"/>
  <c r="S11"/>
  <c r="AH11" s="1"/>
  <c r="AT11" s="1"/>
  <c r="M11" i="102"/>
  <c r="Q11" s="1"/>
  <c r="P11" i="74"/>
  <c r="AF11" s="1"/>
  <c r="AR11" s="1"/>
  <c r="P66"/>
  <c r="AF66" s="1"/>
  <c r="AR66" s="1"/>
  <c r="M11"/>
  <c r="AD11" s="1"/>
  <c r="AP11" s="1"/>
  <c r="G66"/>
  <c r="Z66" s="1"/>
  <c r="AL66" s="1"/>
  <c r="J66"/>
  <c r="AB66" s="1"/>
  <c r="AN66" s="1"/>
  <c r="M66"/>
  <c r="AD66" s="1"/>
  <c r="AP66" s="1"/>
  <c r="R91" i="89"/>
  <c r="O12" i="85"/>
  <c r="F56" i="91" s="1"/>
  <c r="R58" i="89"/>
  <c r="T56" i="74"/>
  <c r="AI56" s="1"/>
  <c r="AU56" s="1"/>
  <c r="W65"/>
  <c r="AK65" s="1"/>
  <c r="AW65" s="1"/>
  <c r="X113" i="89"/>
  <c r="F31" i="79"/>
  <c r="G8" i="90" s="1"/>
  <c r="C152"/>
  <c r="H9" i="78"/>
  <c r="C103" i="90" s="1"/>
  <c r="E10" i="82"/>
  <c r="C149" i="90"/>
  <c r="G59" i="74"/>
  <c r="Z59" s="1"/>
  <c r="AL59" s="1"/>
  <c r="G91"/>
  <c r="Z91" s="1"/>
  <c r="AL91" s="1"/>
  <c r="J52"/>
  <c r="AB52" s="1"/>
  <c r="AN52" s="1"/>
  <c r="G52"/>
  <c r="Z52" s="1"/>
  <c r="AL52" s="1"/>
  <c r="G94"/>
  <c r="Z94" s="1"/>
  <c r="AL94" s="1"/>
  <c r="W58"/>
  <c r="AK58" s="1"/>
  <c r="AW58" s="1"/>
  <c r="L100" i="89"/>
  <c r="C177" i="91"/>
  <c r="T58" i="74"/>
  <c r="AI58" s="1"/>
  <c r="AU58" s="1"/>
  <c r="G49"/>
  <c r="Z49" s="1"/>
  <c r="AL49" s="1"/>
  <c r="W48"/>
  <c r="AK48" s="1"/>
  <c r="AW48" s="1"/>
  <c r="W54"/>
  <c r="AK54" s="1"/>
  <c r="AW54" s="1"/>
  <c r="J92"/>
  <c r="AB92" s="1"/>
  <c r="AN92" s="1"/>
  <c r="J49"/>
  <c r="AB49" s="1"/>
  <c r="AN49" s="1"/>
  <c r="G92"/>
  <c r="Z92" s="1"/>
  <c r="AL92" s="1"/>
  <c r="G90"/>
  <c r="Z90" s="1"/>
  <c r="AL90" s="1"/>
  <c r="J90"/>
  <c r="AB90" s="1"/>
  <c r="AN90" s="1"/>
  <c r="W46"/>
  <c r="AK46" s="1"/>
  <c r="AW46" s="1"/>
  <c r="W57"/>
  <c r="AK57" s="1"/>
  <c r="AW57" s="1"/>
  <c r="G89"/>
  <c r="Z89" s="1"/>
  <c r="AL89" s="1"/>
  <c r="M59"/>
  <c r="AD59" s="1"/>
  <c r="AP59" s="1"/>
  <c r="W47"/>
  <c r="AK47" s="1"/>
  <c r="AW47" s="1"/>
  <c r="G93"/>
  <c r="Z93" s="1"/>
  <c r="AL93" s="1"/>
  <c r="G83"/>
  <c r="Z83" s="1"/>
  <c r="AL83" s="1"/>
  <c r="W56"/>
  <c r="AK56" s="1"/>
  <c r="AW56" s="1"/>
  <c r="L118" i="89"/>
  <c r="L13"/>
  <c r="K9" i="85"/>
  <c r="E53" i="91" s="1"/>
  <c r="N66" i="74"/>
  <c r="AE66" s="1"/>
  <c r="AQ66" s="1"/>
  <c r="G8" i="87"/>
  <c r="P9" i="84"/>
  <c r="F25" i="91" s="1"/>
  <c r="H12" i="84"/>
  <c r="D28" i="91" s="1"/>
  <c r="R73" i="89"/>
  <c r="L58"/>
  <c r="H15" i="84"/>
  <c r="D31" i="91" s="1"/>
  <c r="K51" i="74"/>
  <c r="AC51" s="1"/>
  <c r="AO51" s="1"/>
  <c r="G69"/>
  <c r="Z69" s="1"/>
  <c r="AL69" s="1"/>
  <c r="P69"/>
  <c r="AF69" s="1"/>
  <c r="AR69" s="1"/>
  <c r="W68"/>
  <c r="AK68" s="1"/>
  <c r="AW68" s="1"/>
  <c r="J69"/>
  <c r="AB69" s="1"/>
  <c r="AN69" s="1"/>
  <c r="X51" i="89"/>
  <c r="P8" i="86"/>
  <c r="F81" i="91" s="1"/>
  <c r="Q64" i="74"/>
  <c r="AG64" s="1"/>
  <c r="AS64" s="1"/>
  <c r="T64"/>
  <c r="AI64" s="1"/>
  <c r="AU64" s="1"/>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K26" i="85"/>
  <c r="H53" i="91" s="1"/>
  <c r="L7" i="86"/>
  <c r="E80" i="91" s="1"/>
  <c r="F32" i="84"/>
  <c r="G8" i="91" s="1"/>
  <c r="L12" i="84"/>
  <c r="E28" i="91" s="1"/>
  <c r="W51" i="74"/>
  <c r="AK51" s="1"/>
  <c r="AW51" s="1"/>
  <c r="H68"/>
  <c r="AA68" s="1"/>
  <c r="AM68" s="1"/>
  <c r="J75"/>
  <c r="AB75" s="1"/>
  <c r="AN75" s="1"/>
  <c r="H8" i="84"/>
  <c r="D24" i="91" s="1"/>
  <c r="R52" i="89"/>
  <c r="L121"/>
  <c r="L30" i="84"/>
  <c r="H24" i="91" s="1"/>
  <c r="H31" i="84"/>
  <c r="G25" i="91" s="1"/>
  <c r="L34" i="86"/>
  <c r="H85" i="91" s="1"/>
  <c r="G8" i="85"/>
  <c r="D52" i="91" s="1"/>
  <c r="G7" i="87"/>
  <c r="I13" i="82"/>
  <c r="H34" i="86"/>
  <c r="G85" i="91" s="1"/>
  <c r="N32" i="84"/>
  <c r="I8" i="91" s="1"/>
  <c r="I96" i="77"/>
  <c r="K96" s="1"/>
  <c r="C182" i="90" s="1"/>
  <c r="O26" i="85"/>
  <c r="I53" i="91" s="1"/>
  <c r="O25" i="85"/>
  <c r="I52" i="91" s="1"/>
  <c r="L37" i="84"/>
  <c r="H31" i="91" s="1"/>
  <c r="P7" i="84"/>
  <c r="F23" i="91" s="1"/>
  <c r="X37" i="89"/>
  <c r="R8"/>
  <c r="H73" i="74"/>
  <c r="AA73" s="1"/>
  <c r="AM73" s="1"/>
  <c r="L55" i="89"/>
  <c r="L115"/>
  <c r="L9" i="84"/>
  <c r="E25" i="91" s="1"/>
  <c r="I13" i="87"/>
  <c r="C176" i="91"/>
  <c r="L52" i="89"/>
  <c r="L31"/>
  <c r="C153" i="90"/>
  <c r="I11" i="82"/>
  <c r="R115" i="89"/>
  <c r="R31"/>
  <c r="L15" i="86"/>
  <c r="E88" i="91" s="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16" i="87"/>
  <c r="K95" i="74"/>
  <c r="AC95" s="1"/>
  <c r="AO95" s="1"/>
  <c r="K8" i="87"/>
  <c r="K87" i="74"/>
  <c r="AC87" s="1"/>
  <c r="AO87" s="1"/>
  <c r="G84"/>
  <c r="Z84" s="1"/>
  <c r="AL84" s="1"/>
  <c r="J11" i="83"/>
  <c r="C132" i="91" s="1"/>
  <c r="H77" i="74"/>
  <c r="AA77" s="1"/>
  <c r="AM77" s="1"/>
  <c r="W63"/>
  <c r="AK63" s="1"/>
  <c r="AW63" s="1"/>
  <c r="P29" i="86"/>
  <c r="I80" i="91" s="1"/>
  <c r="K12" i="87"/>
  <c r="K91" i="74"/>
  <c r="AC91" s="1"/>
  <c r="AO91" s="1"/>
  <c r="N10" i="83"/>
  <c r="D131" i="91" s="1"/>
  <c r="K76" i="74"/>
  <c r="AC76" s="1"/>
  <c r="AO76" s="1"/>
  <c r="K10" i="87"/>
  <c r="K89" i="74"/>
  <c r="AC89" s="1"/>
  <c r="AO89" s="1"/>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K9" i="87"/>
  <c r="K88" i="74"/>
  <c r="AC88" s="1"/>
  <c r="AO88" s="1"/>
  <c r="K7" i="87"/>
  <c r="K86" i="74"/>
  <c r="AC86" s="1"/>
  <c r="AO86" s="1"/>
  <c r="Q63"/>
  <c r="AG63" s="1"/>
  <c r="AS63" s="1"/>
  <c r="R29" i="89"/>
  <c r="K57" i="74"/>
  <c r="AC57" s="1"/>
  <c r="AO57" s="1"/>
  <c r="K8" i="85"/>
  <c r="E52" i="91" s="1"/>
  <c r="D155"/>
  <c r="J94" i="74"/>
  <c r="AB94" s="1"/>
  <c r="AN94" s="1"/>
  <c r="I15" i="87"/>
  <c r="N12" i="83"/>
  <c r="D133" i="91" s="1"/>
  <c r="K78" i="74"/>
  <c r="AC78" s="1"/>
  <c r="AO78" s="1"/>
  <c r="J10" i="83"/>
  <c r="C131" i="91" s="1"/>
  <c r="H76" i="74"/>
  <c r="AA76" s="1"/>
  <c r="AM76" s="1"/>
  <c r="M69"/>
  <c r="AD69" s="1"/>
  <c r="AP69" s="1"/>
  <c r="N13" i="86"/>
  <c r="F68" i="91" s="1"/>
  <c r="R28" i="89"/>
  <c r="K56" i="74"/>
  <c r="AC56" s="1"/>
  <c r="AO56" s="1"/>
  <c r="K7" i="85"/>
  <c r="E51" i="91" s="1"/>
  <c r="G85" i="74"/>
  <c r="Z85" s="1"/>
  <c r="AL85" s="1"/>
  <c r="K93"/>
  <c r="AC93" s="1"/>
  <c r="AO93" s="1"/>
  <c r="K14" i="87"/>
  <c r="H78" i="74"/>
  <c r="AA78" s="1"/>
  <c r="AM78" s="1"/>
  <c r="J12" i="83"/>
  <c r="C133" i="91" s="1"/>
  <c r="P34" i="81"/>
  <c r="I86" i="90" s="1"/>
  <c r="I74" i="89"/>
  <c r="N10" i="86"/>
  <c r="F65" i="91" s="1"/>
  <c r="AA9" i="88"/>
  <c r="Q49" i="74" s="1"/>
  <c r="AG49" s="1"/>
  <c r="AS49" s="1"/>
  <c r="P31" i="84"/>
  <c r="I25" i="91" s="1"/>
  <c r="L9" i="89"/>
  <c r="O94" i="77"/>
  <c r="Q94" s="1"/>
  <c r="K12" i="82" s="1"/>
  <c r="G25" i="85"/>
  <c r="G52" i="91" s="1"/>
  <c r="Q66" i="74"/>
  <c r="AG66" s="1"/>
  <c r="AS66" s="1"/>
  <c r="L73" i="89"/>
  <c r="P30" i="86"/>
  <c r="I81" i="91" s="1"/>
  <c r="W64" i="74"/>
  <c r="AK64" s="1"/>
  <c r="AW64" s="1"/>
  <c r="K64"/>
  <c r="AC64" s="1"/>
  <c r="AO64" s="1"/>
  <c r="N8" i="83"/>
  <c r="D129" i="91" s="1"/>
  <c r="K74" i="74"/>
  <c r="AC74" s="1"/>
  <c r="AO74" s="1"/>
  <c r="N7" i="83"/>
  <c r="D128" i="91" s="1"/>
  <c r="K73" i="74"/>
  <c r="AC73" s="1"/>
  <c r="AO73" s="1"/>
  <c r="H65"/>
  <c r="AA65" s="1"/>
  <c r="AM65" s="1"/>
  <c r="R10" i="89"/>
  <c r="H58" i="74"/>
  <c r="AA58" s="1"/>
  <c r="AM58" s="1"/>
  <c r="G9" i="85"/>
  <c r="D53" i="91" s="1"/>
  <c r="R7" i="89"/>
  <c r="H56" i="74"/>
  <c r="AA56" s="1"/>
  <c r="AM56" s="1"/>
  <c r="G7" i="85"/>
  <c r="D51" i="91" s="1"/>
  <c r="H9" i="84"/>
  <c r="D25" i="91" s="1"/>
  <c r="L8" i="89"/>
  <c r="H46" i="74"/>
  <c r="AA46" s="1"/>
  <c r="AM46" s="1"/>
  <c r="H7" i="84"/>
  <c r="D23" i="91" s="1"/>
  <c r="J32" i="84"/>
  <c r="H8" i="91"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T49" i="74" s="1"/>
  <c r="AI49" s="1"/>
  <c r="AU49" s="1"/>
  <c r="P12" i="84"/>
  <c r="F28" i="91" s="1"/>
  <c r="AM9" i="88"/>
  <c r="L10" i="89"/>
  <c r="N35" i="86"/>
  <c r="I68" i="91" s="1"/>
  <c r="D182" i="90"/>
  <c r="D183" i="91"/>
  <c r="K14" i="82"/>
  <c r="C114" i="91"/>
  <c r="D114"/>
  <c r="C151"/>
  <c r="E11" i="87"/>
  <c r="D151" i="91"/>
  <c r="I11" i="87"/>
  <c r="P10" i="86"/>
  <c r="F83" i="91" s="1"/>
  <c r="O53" i="89"/>
  <c r="M10" i="85"/>
  <c r="F40" i="91" s="1"/>
  <c r="H66" i="74"/>
  <c r="AA66" s="1"/>
  <c r="AM66" s="1"/>
  <c r="L114" i="89"/>
  <c r="P30" i="84"/>
  <c r="I24" i="91" s="1"/>
  <c r="C152"/>
  <c r="E12" i="87"/>
  <c r="I94" i="88"/>
  <c r="O116" i="89"/>
  <c r="M27" i="85"/>
  <c r="I40" i="91" s="1"/>
  <c r="I10" i="85"/>
  <c r="E40" i="91" s="1"/>
  <c r="I98" i="89"/>
  <c r="J35" i="84"/>
  <c r="H11" i="91" s="1"/>
  <c r="AG12" i="88"/>
  <c r="T52" i="74" s="1"/>
  <c r="AI52" s="1"/>
  <c r="AU52" s="1"/>
  <c r="C155" i="91"/>
  <c r="E15" i="87"/>
  <c r="N32" i="86"/>
  <c r="I65" i="91" s="1"/>
  <c r="U116" i="89"/>
  <c r="L29"/>
  <c r="L7" i="84"/>
  <c r="E23" i="91" s="1"/>
  <c r="D178"/>
  <c r="D177" i="90"/>
  <c r="K9" i="82"/>
  <c r="N13" i="81"/>
  <c r="F68" i="90" s="1"/>
  <c r="P13" i="81"/>
  <c r="F86" i="90" s="1"/>
  <c r="F34" i="79"/>
  <c r="G11" i="90" s="1"/>
  <c r="AA12" i="77"/>
  <c r="AC12" s="1"/>
  <c r="H34" i="79" s="1"/>
  <c r="G29" i="90" s="1"/>
  <c r="H21" i="78"/>
  <c r="H10" i="81"/>
  <c r="D83" i="90" s="1"/>
  <c r="C180"/>
  <c r="G12" i="82"/>
  <c r="D184" i="90"/>
  <c r="D185" i="91"/>
  <c r="K16" i="82"/>
  <c r="C178" i="90"/>
  <c r="G10" i="82"/>
  <c r="H18" i="78"/>
  <c r="I68" i="77"/>
  <c r="K68" s="1"/>
  <c r="I67"/>
  <c r="K67" s="1"/>
  <c r="H17" i="78"/>
  <c r="H69" i="74"/>
  <c r="AA69" s="1"/>
  <c r="AM69" s="1"/>
  <c r="F13" i="86"/>
  <c r="D68" i="91" s="1"/>
  <c r="I119" i="89"/>
  <c r="N35" i="84"/>
  <c r="I11" i="91" s="1"/>
  <c r="AM12" i="88"/>
  <c r="I35" i="89"/>
  <c r="J13" i="84"/>
  <c r="E11" i="91" s="1"/>
  <c r="O12" i="88"/>
  <c r="K52" i="74" s="1"/>
  <c r="AC52" s="1"/>
  <c r="AO52" s="1"/>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8" i="82"/>
  <c r="U32" i="89"/>
  <c r="K66" i="74"/>
  <c r="AC66" s="1"/>
  <c r="AO66" s="1"/>
  <c r="J10" i="86"/>
  <c r="E65" i="91" s="1"/>
  <c r="O27" i="80"/>
  <c r="I54" i="90" s="1"/>
  <c r="M27" i="80"/>
  <c r="I40" i="90" s="1"/>
  <c r="I10" i="80"/>
  <c r="E40" i="90" s="1"/>
  <c r="K10" i="80"/>
  <c r="E54" i="90" s="1"/>
  <c r="C112" i="91"/>
  <c r="D112"/>
  <c r="H20" i="78"/>
  <c r="I70" i="77"/>
  <c r="K70" s="1"/>
  <c r="C150" i="91"/>
  <c r="I92" i="88"/>
  <c r="E10" i="87"/>
  <c r="C185" i="91"/>
  <c r="G16" i="87"/>
  <c r="O11" i="89"/>
  <c r="E10" i="85"/>
  <c r="D40" i="91" s="1"/>
  <c r="I77" i="89"/>
  <c r="AA12" i="88"/>
  <c r="Q52" i="74" s="1"/>
  <c r="AG52" s="1"/>
  <c r="AS52" s="1"/>
  <c r="F35" i="84"/>
  <c r="G11" i="91" s="1"/>
  <c r="U95" i="89"/>
  <c r="T66" i="74"/>
  <c r="AI66" s="1"/>
  <c r="AU66" s="1"/>
  <c r="J32" i="86"/>
  <c r="H65" i="91" s="1"/>
  <c r="I11" i="89"/>
  <c r="F10" i="84"/>
  <c r="D8" i="91" s="1"/>
  <c r="I9" i="88"/>
  <c r="M49" i="74" s="1"/>
  <c r="AD49" s="1"/>
  <c r="AP49" s="1"/>
  <c r="C153" i="91"/>
  <c r="E13" i="87"/>
  <c r="F35" i="86"/>
  <c r="G68" i="91" s="1"/>
  <c r="Q69" i="74"/>
  <c r="AG69" s="1"/>
  <c r="AS69" s="1"/>
  <c r="I56" i="89"/>
  <c r="N13" i="84"/>
  <c r="F11" i="91" s="1"/>
  <c r="U12" i="88"/>
  <c r="N52" i="74" s="1"/>
  <c r="AE52" s="1"/>
  <c r="AQ52" s="1"/>
  <c r="C154" i="91"/>
  <c r="I96" i="88"/>
  <c r="E14" i="87"/>
  <c r="X115" i="89"/>
  <c r="P31" i="86"/>
  <c r="I82" i="91" s="1"/>
  <c r="C175" i="90"/>
  <c r="G7" i="82"/>
  <c r="E10" i="80"/>
  <c r="D40" i="90" s="1"/>
  <c r="K28" i="77"/>
  <c r="G10" i="80" s="1"/>
  <c r="D54" i="90" s="1"/>
  <c r="C113" i="91"/>
  <c r="D113"/>
  <c r="J31" i="81"/>
  <c r="H65" i="90" s="1"/>
  <c r="L72" i="89"/>
  <c r="H30" i="84"/>
  <c r="G24" i="91" s="1"/>
  <c r="D178" i="90"/>
  <c r="D179" i="91"/>
  <c r="K10" i="82"/>
  <c r="C176" i="90"/>
  <c r="G8" i="82"/>
  <c r="G27" i="80"/>
  <c r="G54" i="90" s="1"/>
  <c r="E27" i="80"/>
  <c r="G40" i="90" s="1"/>
  <c r="J34" i="79"/>
  <c r="H11" i="90" s="1"/>
  <c r="AG12" i="77"/>
  <c r="AI12" s="1"/>
  <c r="L34" i="79" s="1"/>
  <c r="H29" i="90" s="1"/>
  <c r="I69" i="88"/>
  <c r="K69" s="1"/>
  <c r="C111" i="91"/>
  <c r="D111"/>
  <c r="I27" i="85"/>
  <c r="H40" i="91" s="1"/>
  <c r="O95" i="89"/>
  <c r="X100"/>
  <c r="L37" i="86"/>
  <c r="H88" i="91" s="1"/>
  <c r="H31" i="86"/>
  <c r="G82" i="91" s="1"/>
  <c r="X73" i="89"/>
  <c r="I32"/>
  <c r="J10" i="84"/>
  <c r="E8" i="91" s="1"/>
  <c r="O9" i="88"/>
  <c r="K49" i="74" s="1"/>
  <c r="AC49" s="1"/>
  <c r="AO49" s="1"/>
  <c r="O74" i="89"/>
  <c r="E27" i="85"/>
  <c r="G40" i="91" s="1"/>
  <c r="Q59" i="74"/>
  <c r="AG59" s="1"/>
  <c r="AS59" s="1"/>
  <c r="I14" i="89"/>
  <c r="F13" i="84"/>
  <c r="D11" i="91" s="1"/>
  <c r="I12" i="88"/>
  <c r="H52" i="74" s="1"/>
  <c r="AA52" s="1"/>
  <c r="AM52" s="1"/>
  <c r="C184" i="90"/>
  <c r="G16" i="82"/>
  <c r="K7"/>
  <c r="D176" i="91"/>
  <c r="D175" i="90"/>
  <c r="L34" i="81"/>
  <c r="H86" i="90" s="1"/>
  <c r="J34" i="81"/>
  <c r="H68" i="90" s="1"/>
  <c r="F13" i="81"/>
  <c r="D68" i="90" s="1"/>
  <c r="H13" i="81"/>
  <c r="D86" i="90" s="1"/>
  <c r="N34" i="79"/>
  <c r="I11" i="90" s="1"/>
  <c r="AM12" i="77"/>
  <c r="AO12" s="1"/>
  <c r="P34" i="79" s="1"/>
  <c r="I29" i="90" s="1"/>
  <c r="D154"/>
  <c r="I15" i="82"/>
  <c r="L113" i="89"/>
  <c r="P29" i="84"/>
  <c r="I23" i="91" s="1"/>
  <c r="I69" i="77"/>
  <c r="K69" s="1"/>
  <c r="H19" i="78"/>
  <c r="I68" i="88"/>
  <c r="K68" s="1"/>
  <c r="H83" i="74" s="1"/>
  <c r="AA83" s="1"/>
  <c r="AM83" s="1"/>
  <c r="I70" i="88"/>
  <c r="K70" s="1"/>
  <c r="I67"/>
  <c r="K67" s="1"/>
  <c r="H82" i="74" s="1"/>
  <c r="AA82" s="1"/>
  <c r="AM82" s="1"/>
  <c r="H22" i="78"/>
  <c r="AQ49" i="24"/>
  <c r="AR49" s="1"/>
  <c r="AJ49"/>
  <c r="AK49" s="1"/>
  <c r="AC49"/>
  <c r="AD49" s="1"/>
  <c r="V49"/>
  <c r="W49" s="1"/>
  <c r="O49"/>
  <c r="P49" s="1"/>
  <c r="AQ47"/>
  <c r="AR47" s="1"/>
  <c r="AJ47"/>
  <c r="AK47" s="1"/>
  <c r="AC47"/>
  <c r="AD47" s="1"/>
  <c r="V47"/>
  <c r="W47" s="1"/>
  <c r="O47"/>
  <c r="P47" s="1"/>
  <c r="L31" i="86" l="1"/>
  <c r="H82" i="91" s="1"/>
  <c r="X94" i="89"/>
  <c r="L30" i="86"/>
  <c r="H81" i="91" s="1"/>
  <c r="X92" i="89"/>
  <c r="AC46" i="88"/>
  <c r="AC42"/>
  <c r="Q43"/>
  <c r="Q42"/>
  <c r="M89" i="74"/>
  <c r="AD89" s="1"/>
  <c r="AP89" s="1"/>
  <c r="M91"/>
  <c r="AD91" s="1"/>
  <c r="AP91" s="1"/>
  <c r="K58"/>
  <c r="AC58" s="1"/>
  <c r="AO58" s="1"/>
  <c r="P58"/>
  <c r="AF58" s="1"/>
  <c r="AR58" s="1"/>
  <c r="AI28" i="88"/>
  <c r="D59" i="74"/>
  <c r="K43" i="88"/>
  <c r="K46"/>
  <c r="P61" i="74"/>
  <c r="AF61" s="1"/>
  <c r="AR61" s="1"/>
  <c r="P56"/>
  <c r="AF56" s="1"/>
  <c r="AR56" s="1"/>
  <c r="P57"/>
  <c r="AF57" s="1"/>
  <c r="AR57" s="1"/>
  <c r="P49"/>
  <c r="AF49" s="1"/>
  <c r="AR49" s="1"/>
  <c r="M52"/>
  <c r="AD52" s="1"/>
  <c r="AP52" s="1"/>
  <c r="M82"/>
  <c r="AD82" s="1"/>
  <c r="AP82" s="1"/>
  <c r="M93"/>
  <c r="AD93" s="1"/>
  <c r="AP93" s="1"/>
  <c r="K30" i="88"/>
  <c r="M61" i="74"/>
  <c r="AD61" s="1"/>
  <c r="AP61" s="1"/>
  <c r="S56"/>
  <c r="AH56" s="1"/>
  <c r="AT56" s="1"/>
  <c r="S57"/>
  <c r="AH57" s="1"/>
  <c r="AT57" s="1"/>
  <c r="S49"/>
  <c r="AH49" s="1"/>
  <c r="AT49" s="1"/>
  <c r="S52"/>
  <c r="AH52" s="1"/>
  <c r="AT52" s="1"/>
  <c r="P52"/>
  <c r="AF52" s="1"/>
  <c r="AR52" s="1"/>
  <c r="V52"/>
  <c r="AJ52" s="1"/>
  <c r="AV52" s="1"/>
  <c r="V49"/>
  <c r="AJ49" s="1"/>
  <c r="AV49" s="1"/>
  <c r="S58"/>
  <c r="AH58" s="1"/>
  <c r="AT58" s="1"/>
  <c r="N61"/>
  <c r="AE61" s="1"/>
  <c r="AQ61" s="1"/>
  <c r="X93" i="89"/>
  <c r="N57" i="74"/>
  <c r="AE57" s="1"/>
  <c r="AQ57" s="1"/>
  <c r="R50" i="89"/>
  <c r="X16"/>
  <c r="H15" i="86"/>
  <c r="D88" i="91" s="1"/>
  <c r="X10" i="89"/>
  <c r="H9" i="86"/>
  <c r="D82" i="91" s="1"/>
  <c r="I44" i="88"/>
  <c r="K44"/>
  <c r="K42"/>
  <c r="X8" i="89" s="1"/>
  <c r="L30" i="7"/>
  <c r="C20" i="102"/>
  <c r="N30" i="7"/>
  <c r="K32"/>
  <c r="M32"/>
  <c r="O32"/>
  <c r="K30"/>
  <c r="M30"/>
  <c r="O30"/>
  <c r="L32"/>
  <c r="C21" i="102"/>
  <c r="N32" i="7"/>
  <c r="AN47" i="24"/>
  <c r="H65" i="69"/>
  <c r="Q12" i="114"/>
  <c r="I67" i="69" s="1"/>
  <c r="I10" i="114"/>
  <c r="G65" i="69" s="1"/>
  <c r="Q10" i="114"/>
  <c r="I65" i="69" s="1"/>
  <c r="Z49" i="24"/>
  <c r="Z50" s="1"/>
  <c r="AN49"/>
  <c r="H67" i="69"/>
  <c r="I12" i="114"/>
  <c r="G67" i="69" s="1"/>
  <c r="H89" i="74"/>
  <c r="AA89" s="1"/>
  <c r="AM89" s="1"/>
  <c r="K92" i="88"/>
  <c r="H91" i="74"/>
  <c r="AA91" s="1"/>
  <c r="AM91" s="1"/>
  <c r="K94" i="88"/>
  <c r="H93" i="74"/>
  <c r="AA93" s="1"/>
  <c r="AM93" s="1"/>
  <c r="K96" i="88"/>
  <c r="G12" i="85"/>
  <c r="D56" i="91" s="1"/>
  <c r="H61" i="74"/>
  <c r="AA61" s="1"/>
  <c r="AM61" s="1"/>
  <c r="K9" i="88"/>
  <c r="H49" i="74" s="1"/>
  <c r="AA49" s="1"/>
  <c r="AM49" s="1"/>
  <c r="U44" i="77"/>
  <c r="W44" s="1"/>
  <c r="P10" i="81" s="1"/>
  <c r="F83" i="90" s="1"/>
  <c r="N10" i="81"/>
  <c r="F65" i="90" s="1"/>
  <c r="O28" i="88"/>
  <c r="O44"/>
  <c r="Q44" s="1"/>
  <c r="X32" i="89" s="1"/>
  <c r="U28" i="88"/>
  <c r="N59" i="74" s="1"/>
  <c r="AE59" s="1"/>
  <c r="AQ59" s="1"/>
  <c r="AG28" i="88"/>
  <c r="T59" i="74" s="1"/>
  <c r="AI59" s="1"/>
  <c r="AU59" s="1"/>
  <c r="AG44" i="88"/>
  <c r="M10" i="80"/>
  <c r="F40" i="90" s="1"/>
  <c r="F10" i="81"/>
  <c r="D65" i="90" s="1"/>
  <c r="O32" i="89"/>
  <c r="F10" i="86"/>
  <c r="D65" i="91" s="1"/>
  <c r="U11" i="89"/>
  <c r="R16"/>
  <c r="J59" i="74"/>
  <c r="AB59" s="1"/>
  <c r="AN59" s="1"/>
  <c r="S59"/>
  <c r="AH59" s="1"/>
  <c r="AT59" s="1"/>
  <c r="M83"/>
  <c r="AD83" s="1"/>
  <c r="AP83" s="1"/>
  <c r="M84"/>
  <c r="AD84" s="1"/>
  <c r="AP84" s="1"/>
  <c r="M85"/>
  <c r="AD85" s="1"/>
  <c r="AP85" s="1"/>
  <c r="A19" i="102"/>
  <c r="A35"/>
  <c r="A6"/>
  <c r="A22"/>
  <c r="A38"/>
  <c r="A13"/>
  <c r="A29"/>
  <c r="A45"/>
  <c r="A16"/>
  <c r="A12"/>
  <c r="A8"/>
  <c r="A11"/>
  <c r="A27"/>
  <c r="A43"/>
  <c r="A14"/>
  <c r="A30"/>
  <c r="A21"/>
  <c r="A37"/>
  <c r="A36"/>
  <c r="A44"/>
  <c r="A15"/>
  <c r="A31"/>
  <c r="A18"/>
  <c r="A34"/>
  <c r="A9"/>
  <c r="A25"/>
  <c r="A41"/>
  <c r="A40"/>
  <c r="A7"/>
  <c r="A23"/>
  <c r="A39"/>
  <c r="A10"/>
  <c r="A26"/>
  <c r="A42"/>
  <c r="A17"/>
  <c r="A33"/>
  <c r="A20"/>
  <c r="A32"/>
  <c r="A28"/>
  <c r="A24"/>
  <c r="M20" i="74"/>
  <c r="AD20" s="1"/>
  <c r="AP20" s="1"/>
  <c r="J21"/>
  <c r="AB21" s="1"/>
  <c r="AN21" s="1"/>
  <c r="W66"/>
  <c r="AK66" s="1"/>
  <c r="AW66" s="1"/>
  <c r="J20"/>
  <c r="AB20" s="1"/>
  <c r="AN20" s="1"/>
  <c r="S20"/>
  <c r="AH20" s="1"/>
  <c r="AT20" s="1"/>
  <c r="S21"/>
  <c r="AH21" s="1"/>
  <c r="AT21" s="1"/>
  <c r="M21"/>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C2" i="90"/>
  <c r="C2" i="91"/>
  <c r="E3" i="84"/>
  <c r="L56" i="89"/>
  <c r="P13" i="84"/>
  <c r="F29" i="91" s="1"/>
  <c r="J20" i="78"/>
  <c r="L98" i="89"/>
  <c r="L35" i="84"/>
  <c r="H29" i="91" s="1"/>
  <c r="K82" i="74"/>
  <c r="AC82" s="1"/>
  <c r="AO82" s="1"/>
  <c r="J17" i="83"/>
  <c r="J19" i="78"/>
  <c r="L14" i="89"/>
  <c r="H13" i="84"/>
  <c r="D29" i="91" s="1"/>
  <c r="J19" i="83"/>
  <c r="N19" s="1"/>
  <c r="H35" i="86"/>
  <c r="G86" i="91" s="1"/>
  <c r="C110" i="90"/>
  <c r="D110"/>
  <c r="C111"/>
  <c r="D111"/>
  <c r="K10" i="85"/>
  <c r="E54" i="91" s="1"/>
  <c r="H10" i="86"/>
  <c r="D83" i="91" s="1"/>
  <c r="X11" i="89"/>
  <c r="P35" i="86"/>
  <c r="I86" i="91" s="1"/>
  <c r="C113" i="90"/>
  <c r="D113"/>
  <c r="J20" i="83"/>
  <c r="N20" s="1"/>
  <c r="R74" i="89"/>
  <c r="G27" i="85"/>
  <c r="G54" i="91" s="1"/>
  <c r="C183"/>
  <c r="G14" i="87"/>
  <c r="L13" i="86"/>
  <c r="E86" i="91" s="1"/>
  <c r="L35" i="89"/>
  <c r="L13" i="84"/>
  <c r="E29" i="91" s="1"/>
  <c r="J18" i="78"/>
  <c r="C112" i="90"/>
  <c r="D112"/>
  <c r="R116" i="89"/>
  <c r="O27" i="85"/>
  <c r="I54" i="91" s="1"/>
  <c r="R53" i="89"/>
  <c r="K83" i="74"/>
  <c r="AC83" s="1"/>
  <c r="AO83" s="1"/>
  <c r="J18" i="83"/>
  <c r="L11" i="89"/>
  <c r="H10" i="84"/>
  <c r="D26" i="91" s="1"/>
  <c r="R11" i="89"/>
  <c r="G10" i="85"/>
  <c r="D54" i="91" s="1"/>
  <c r="P10" i="84"/>
  <c r="F26" i="91" s="1"/>
  <c r="L53" i="89"/>
  <c r="L32"/>
  <c r="L10" i="84"/>
  <c r="E26" i="91" s="1"/>
  <c r="R95" i="89"/>
  <c r="L77"/>
  <c r="H35" i="84"/>
  <c r="G29" i="91" s="1"/>
  <c r="C179"/>
  <c r="G10" i="87"/>
  <c r="L119" i="89"/>
  <c r="P35" i="84"/>
  <c r="I29" i="91" s="1"/>
  <c r="H13" i="86"/>
  <c r="D86" i="91" s="1"/>
  <c r="J17" i="78"/>
  <c r="X116" i="89"/>
  <c r="P32" i="86"/>
  <c r="I83" i="91" s="1"/>
  <c r="C181"/>
  <c r="G12" i="87"/>
  <c r="AE47" i="24"/>
  <c r="AG47" s="1"/>
  <c r="X49"/>
  <c r="Q47"/>
  <c r="S47" s="1"/>
  <c r="S48" s="1"/>
  <c r="AS47"/>
  <c r="X20" i="74" s="1"/>
  <c r="AL49" i="24"/>
  <c r="V21" i="74" s="1"/>
  <c r="AJ21" s="1"/>
  <c r="AV21" s="1"/>
  <c r="AL47" i="24"/>
  <c r="V20" i="74" s="1"/>
  <c r="AJ20" s="1"/>
  <c r="AV20" s="1"/>
  <c r="AE49" i="24"/>
  <c r="AG49" s="1"/>
  <c r="X47"/>
  <c r="Z47" s="1"/>
  <c r="Z48" s="1"/>
  <c r="Q49"/>
  <c r="S49" s="1"/>
  <c r="S50" s="1"/>
  <c r="AS49"/>
  <c r="X21" i="74" s="1"/>
  <c r="AQ51" i="24"/>
  <c r="AR51" s="1"/>
  <c r="AJ51"/>
  <c r="AK51" s="1"/>
  <c r="AC51"/>
  <c r="AD51" s="1"/>
  <c r="V51"/>
  <c r="W51" s="1"/>
  <c r="I24" i="112" s="1"/>
  <c r="O51" i="24"/>
  <c r="P51" s="1"/>
  <c r="H24" i="112" s="1"/>
  <c r="AQ45" i="24"/>
  <c r="AR45" s="1"/>
  <c r="AJ45"/>
  <c r="AK45" s="1"/>
  <c r="AC45"/>
  <c r="AD45" s="1"/>
  <c r="V45"/>
  <c r="W45" s="1"/>
  <c r="O45"/>
  <c r="P45" s="1"/>
  <c r="AQ43"/>
  <c r="AR43" s="1"/>
  <c r="AJ43"/>
  <c r="AK43" s="1"/>
  <c r="AC43"/>
  <c r="AD43" s="1"/>
  <c r="V43"/>
  <c r="W43" s="1"/>
  <c r="O43"/>
  <c r="P43" s="1"/>
  <c r="AQ53"/>
  <c r="AR53" s="1"/>
  <c r="AJ53"/>
  <c r="AK53" s="1"/>
  <c r="AC53"/>
  <c r="AD53" s="1"/>
  <c r="V53"/>
  <c r="W53" s="1"/>
  <c r="O53"/>
  <c r="AU49" l="1"/>
  <c r="AU47"/>
  <c r="L32" i="86"/>
  <c r="H83" i="91" s="1"/>
  <c r="AI44" i="88"/>
  <c r="X95" i="89" s="1"/>
  <c r="H37" i="86"/>
  <c r="G88" i="91" s="1"/>
  <c r="X79" i="89"/>
  <c r="X71"/>
  <c r="X72"/>
  <c r="H30" i="86"/>
  <c r="G81" i="91" s="1"/>
  <c r="L9" i="86"/>
  <c r="E82" i="91" s="1"/>
  <c r="X31" i="89"/>
  <c r="L8" i="86"/>
  <c r="E81" i="91" s="1"/>
  <c r="X30" i="89"/>
  <c r="X29"/>
  <c r="L10" i="86"/>
  <c r="E83" i="91" s="1"/>
  <c r="K59" i="74"/>
  <c r="AC59" s="1"/>
  <c r="AO59" s="1"/>
  <c r="P59"/>
  <c r="AF59" s="1"/>
  <c r="AR59" s="1"/>
  <c r="H8" i="86"/>
  <c r="D81" i="91" s="1"/>
  <c r="X9" i="89"/>
  <c r="L36" i="7"/>
  <c r="I30" i="112"/>
  <c r="P20" i="74"/>
  <c r="AF20" s="1"/>
  <c r="AR20" s="1"/>
  <c r="P21"/>
  <c r="AF21" s="1"/>
  <c r="AR21" s="1"/>
  <c r="M36" i="7"/>
  <c r="O36"/>
  <c r="L26"/>
  <c r="C18" i="102"/>
  <c r="N26" i="7"/>
  <c r="K28"/>
  <c r="M28"/>
  <c r="O28"/>
  <c r="L34"/>
  <c r="C22" i="102"/>
  <c r="M22" s="1"/>
  <c r="Q22" s="1"/>
  <c r="N34" i="7"/>
  <c r="C24" i="102"/>
  <c r="N36" i="7"/>
  <c r="K26"/>
  <c r="M26"/>
  <c r="O26"/>
  <c r="L28"/>
  <c r="C19" i="102"/>
  <c r="N28" i="7"/>
  <c r="K34"/>
  <c r="M34"/>
  <c r="O34"/>
  <c r="Z53" i="24"/>
  <c r="H99" i="69"/>
  <c r="AN50" i="24"/>
  <c r="S12" i="114"/>
  <c r="I99" i="69" s="1"/>
  <c r="AU50" i="24"/>
  <c r="K12" i="114"/>
  <c r="G99" i="69" s="1"/>
  <c r="AG50" i="24"/>
  <c r="S10" i="114"/>
  <c r="S11" s="1"/>
  <c r="I98" i="69" s="1"/>
  <c r="AU48" i="24"/>
  <c r="H98" i="69"/>
  <c r="AN48" i="24"/>
  <c r="K10" i="114"/>
  <c r="G97" i="69" s="1"/>
  <c r="AG48" i="24"/>
  <c r="M21" i="102"/>
  <c r="Q21" s="1"/>
  <c r="M20"/>
  <c r="Q20" s="1"/>
  <c r="I14" i="114"/>
  <c r="G69" i="69" s="1"/>
  <c r="AN53" i="24"/>
  <c r="H103" i="69" s="1"/>
  <c r="H71"/>
  <c r="I6" i="114"/>
  <c r="G61" i="69" s="1"/>
  <c r="Q6" i="114"/>
  <c r="I61" i="69" s="1"/>
  <c r="AN45" i="24"/>
  <c r="H63" i="69"/>
  <c r="Q14" i="114"/>
  <c r="I69" i="69" s="1"/>
  <c r="AG53" i="24"/>
  <c r="K16" i="114" s="1"/>
  <c r="G103" i="69" s="1"/>
  <c r="I16" i="114"/>
  <c r="G71" i="69" s="1"/>
  <c r="Q16" i="114"/>
  <c r="I71" i="69" s="1"/>
  <c r="AN43" i="24"/>
  <c r="H61" i="69"/>
  <c r="I8" i="114"/>
  <c r="G63" i="69" s="1"/>
  <c r="Q8" i="114"/>
  <c r="I63" i="69" s="1"/>
  <c r="AN51" i="24"/>
  <c r="H101" i="69" s="1"/>
  <c r="H69"/>
  <c r="AE53" i="24"/>
  <c r="R24" i="74" s="1"/>
  <c r="AS53" i="24"/>
  <c r="X24" i="74" s="1"/>
  <c r="X53" i="24"/>
  <c r="O24" i="74" s="1"/>
  <c r="AL53" i="24"/>
  <c r="U24" i="74" s="1"/>
  <c r="N20"/>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K27" i="85"/>
  <c r="H54" i="91" s="1"/>
  <c r="O10" i="85"/>
  <c r="F54" i="91" s="1"/>
  <c r="R32" i="89"/>
  <c r="P53" i="24"/>
  <c r="S22" i="74"/>
  <c r="AH22" s="1"/>
  <c r="AT22" s="1"/>
  <c r="W20"/>
  <c r="AK20" s="1"/>
  <c r="AW20" s="1"/>
  <c r="J18"/>
  <c r="AB18" s="1"/>
  <c r="AN18" s="1"/>
  <c r="S19"/>
  <c r="AH19" s="1"/>
  <c r="AT19" s="1"/>
  <c r="M18"/>
  <c r="AD18" s="1"/>
  <c r="AP18" s="1"/>
  <c r="J19"/>
  <c r="AB19" s="1"/>
  <c r="AN19" s="1"/>
  <c r="S18"/>
  <c r="AH18" s="1"/>
  <c r="AT18" s="1"/>
  <c r="M22"/>
  <c r="AD22" s="1"/>
  <c r="AP22" s="1"/>
  <c r="W21"/>
  <c r="AK21" s="1"/>
  <c r="AW21" s="1"/>
  <c r="M19"/>
  <c r="AD19" s="1"/>
  <c r="AP19" s="1"/>
  <c r="J22"/>
  <c r="AB22" s="1"/>
  <c r="AN22" s="1"/>
  <c r="E24" i="79"/>
  <c r="C137" i="90"/>
  <c r="D137"/>
  <c r="C138" i="91"/>
  <c r="D138"/>
  <c r="C137"/>
  <c r="D137"/>
  <c r="C136" i="90"/>
  <c r="D136"/>
  <c r="AS43" i="24"/>
  <c r="X18" i="74" s="1"/>
  <c r="AL45" i="24"/>
  <c r="V19" i="74" s="1"/>
  <c r="AJ19" s="1"/>
  <c r="AV19" s="1"/>
  <c r="AE51" i="24"/>
  <c r="AG51" s="1"/>
  <c r="K14" i="114" s="1"/>
  <c r="G101" i="69" s="1"/>
  <c r="AE43" i="24"/>
  <c r="AG43" s="1"/>
  <c r="X45"/>
  <c r="Z45" s="1"/>
  <c r="Q51"/>
  <c r="S51" s="1"/>
  <c r="AS51"/>
  <c r="X22" i="74" s="1"/>
  <c r="X43" i="24"/>
  <c r="Z43" s="1"/>
  <c r="Q45"/>
  <c r="S45" s="1"/>
  <c r="S46" s="1"/>
  <c r="AS45"/>
  <c r="X19" i="74" s="1"/>
  <c r="AL51" i="24"/>
  <c r="V22" i="74" s="1"/>
  <c r="AJ22" s="1"/>
  <c r="AV22" s="1"/>
  <c r="Q43" i="24"/>
  <c r="S43" s="1"/>
  <c r="S44" s="1"/>
  <c r="AL43"/>
  <c r="V18" i="74" s="1"/>
  <c r="AJ18" s="1"/>
  <c r="AV18" s="1"/>
  <c r="AE45" i="24"/>
  <c r="AG45" s="1"/>
  <c r="X51"/>
  <c r="Z51" s="1"/>
  <c r="P22" i="74" s="1"/>
  <c r="AF22" s="1"/>
  <c r="AR22" s="1"/>
  <c r="AQ23" i="24"/>
  <c r="AR23" s="1"/>
  <c r="AS23" s="1"/>
  <c r="AJ23"/>
  <c r="AK23" s="1"/>
  <c r="AL23" s="1"/>
  <c r="AC23"/>
  <c r="AD23" s="1"/>
  <c r="AE23" s="1"/>
  <c r="V23"/>
  <c r="W23" s="1"/>
  <c r="X23" s="1"/>
  <c r="O23"/>
  <c r="P23" s="1"/>
  <c r="AQ21"/>
  <c r="AR21" s="1"/>
  <c r="AJ21"/>
  <c r="AK21" s="1"/>
  <c r="AC21"/>
  <c r="AD21" s="1"/>
  <c r="V21"/>
  <c r="W21" s="1"/>
  <c r="O21"/>
  <c r="P21" s="1"/>
  <c r="AQ20"/>
  <c r="AR20" s="1"/>
  <c r="AJ20"/>
  <c r="AK20" s="1"/>
  <c r="AC20"/>
  <c r="AD20" s="1"/>
  <c r="V20"/>
  <c r="W20" s="1"/>
  <c r="O20"/>
  <c r="P20" s="1"/>
  <c r="AQ17"/>
  <c r="AR17" s="1"/>
  <c r="AJ17"/>
  <c r="AK17" s="1"/>
  <c r="AC17"/>
  <c r="AD17" s="1"/>
  <c r="V17"/>
  <c r="W17" s="1"/>
  <c r="I4" i="112" s="1"/>
  <c r="O17" i="24"/>
  <c r="P17" s="1"/>
  <c r="H4" i="112" s="1"/>
  <c r="AQ16" i="24"/>
  <c r="AR16" s="1"/>
  <c r="AJ16"/>
  <c r="AK16" s="1"/>
  <c r="AC16"/>
  <c r="AD16" s="1"/>
  <c r="V16"/>
  <c r="W16" s="1"/>
  <c r="I5" i="112" s="1"/>
  <c r="O16" i="24"/>
  <c r="P16" s="1"/>
  <c r="H5" i="112" s="1"/>
  <c r="V6" i="74"/>
  <c r="AJ6" s="1"/>
  <c r="AV6" s="1"/>
  <c r="S6"/>
  <c r="AH6" s="1"/>
  <c r="AT6" s="1"/>
  <c r="P6"/>
  <c r="AF6" s="1"/>
  <c r="AR6" s="1"/>
  <c r="M6"/>
  <c r="AD6" s="1"/>
  <c r="AP6" s="1"/>
  <c r="J6"/>
  <c r="AB6" s="1"/>
  <c r="AN6" s="1"/>
  <c r="AQ6" i="24"/>
  <c r="AR6" s="1"/>
  <c r="AJ6"/>
  <c r="AK6" s="1"/>
  <c r="AC6"/>
  <c r="AD6" s="1"/>
  <c r="V6"/>
  <c r="W6" s="1"/>
  <c r="O6"/>
  <c r="P6" s="1"/>
  <c r="K3" i="7" s="1"/>
  <c r="AQ24" i="24"/>
  <c r="AR24" s="1"/>
  <c r="AJ24"/>
  <c r="AK24" s="1"/>
  <c r="AC24"/>
  <c r="AD24" s="1"/>
  <c r="V24"/>
  <c r="W24" s="1"/>
  <c r="O24"/>
  <c r="P24" s="1"/>
  <c r="H23" i="10"/>
  <c r="I23" s="1"/>
  <c r="J23" s="1"/>
  <c r="H24"/>
  <c r="I24" s="1"/>
  <c r="D48" i="65"/>
  <c r="D49" s="1"/>
  <c r="L48"/>
  <c r="L49" s="1"/>
  <c r="K48"/>
  <c r="K49" s="1"/>
  <c r="J48"/>
  <c r="J49" s="1"/>
  <c r="I48"/>
  <c r="I49" s="1"/>
  <c r="H48"/>
  <c r="H49" s="1"/>
  <c r="G48"/>
  <c r="G49" s="1"/>
  <c r="F48"/>
  <c r="F49" s="1"/>
  <c r="E48"/>
  <c r="E49" s="1"/>
  <c r="C48"/>
  <c r="C49" s="1"/>
  <c r="B48"/>
  <c r="B49" s="1"/>
  <c r="AU53" i="24" l="1"/>
  <c r="S16" i="114" s="1"/>
  <c r="I103" i="69" s="1"/>
  <c r="AU51" i="24"/>
  <c r="S14" i="114" s="1"/>
  <c r="I101" i="69" s="1"/>
  <c r="AU45" i="24"/>
  <c r="AU43"/>
  <c r="S6" i="114" s="1"/>
  <c r="S7" s="1"/>
  <c r="I94" i="69" s="1"/>
  <c r="Q23" i="24"/>
  <c r="S23"/>
  <c r="M21" i="7"/>
  <c r="AE24" i="24"/>
  <c r="I24" i="113"/>
  <c r="AG24" i="24"/>
  <c r="K24" i="113" s="1"/>
  <c r="Q24" i="24"/>
  <c r="S24"/>
  <c r="K21" i="7"/>
  <c r="O21"/>
  <c r="Q24" i="113"/>
  <c r="AU24" i="24"/>
  <c r="S24" i="113" s="1"/>
  <c r="AS24" i="24"/>
  <c r="I16" i="112"/>
  <c r="L21" i="7"/>
  <c r="X24" i="24"/>
  <c r="Z24" s="1"/>
  <c r="N21" i="7"/>
  <c r="AL24" i="24"/>
  <c r="AN24" s="1"/>
  <c r="O24" i="113" s="1"/>
  <c r="M24"/>
  <c r="K13" i="114"/>
  <c r="G100" i="69" s="1"/>
  <c r="K36" i="7"/>
  <c r="H30" i="112"/>
  <c r="L3" i="7"/>
  <c r="C4" i="102"/>
  <c r="M4" s="1"/>
  <c r="Q4" s="1"/>
  <c r="N3" i="7"/>
  <c r="K14"/>
  <c r="O14"/>
  <c r="C12" i="102"/>
  <c r="N17" i="7"/>
  <c r="M18"/>
  <c r="L20"/>
  <c r="C15" i="102"/>
  <c r="N20" i="7"/>
  <c r="L13"/>
  <c r="C8" i="102"/>
  <c r="N13" i="7"/>
  <c r="M14"/>
  <c r="L17"/>
  <c r="K18"/>
  <c r="O18"/>
  <c r="M3"/>
  <c r="O3"/>
  <c r="K13"/>
  <c r="M13"/>
  <c r="O13"/>
  <c r="L14"/>
  <c r="C9" i="102"/>
  <c r="N14" i="7"/>
  <c r="K17"/>
  <c r="M17"/>
  <c r="O17"/>
  <c r="L18"/>
  <c r="C13" i="102"/>
  <c r="N18" i="7"/>
  <c r="K20"/>
  <c r="M20"/>
  <c r="O20"/>
  <c r="K11" i="114"/>
  <c r="G98" i="69" s="1"/>
  <c r="S13" i="114"/>
  <c r="I100" i="69" s="1"/>
  <c r="H100"/>
  <c r="I97"/>
  <c r="H97"/>
  <c r="S8" i="114"/>
  <c r="S9" s="1"/>
  <c r="I96" i="69" s="1"/>
  <c r="AU46" i="24"/>
  <c r="K8" i="114"/>
  <c r="G95" i="69" s="1"/>
  <c r="AG46" i="24"/>
  <c r="H96" i="69"/>
  <c r="AN46" i="24"/>
  <c r="P19" i="74"/>
  <c r="AF19" s="1"/>
  <c r="AR19" s="1"/>
  <c r="Z46" i="24"/>
  <c r="H94" i="69"/>
  <c r="AN44" i="24"/>
  <c r="P18" i="74"/>
  <c r="AF18" s="1"/>
  <c r="AR18" s="1"/>
  <c r="Z44" i="24"/>
  <c r="AU44"/>
  <c r="K6" i="114"/>
  <c r="K7" s="1"/>
  <c r="G94" i="69" s="1"/>
  <c r="AG44" i="24"/>
  <c r="M18" i="102"/>
  <c r="Q18" s="1"/>
  <c r="M19"/>
  <c r="Q19" s="1"/>
  <c r="Z16" i="24"/>
  <c r="P8" i="74" s="1"/>
  <c r="AF8" s="1"/>
  <c r="AR8" s="1"/>
  <c r="AN16" i="24"/>
  <c r="O16" i="113" s="1"/>
  <c r="H49" i="69" s="1"/>
  <c r="M16" i="113"/>
  <c r="H15" i="69" s="1"/>
  <c r="S17" i="24"/>
  <c r="AG17"/>
  <c r="K17" i="113" s="1"/>
  <c r="G50" i="69" s="1"/>
  <c r="I17" i="113"/>
  <c r="G16" i="69" s="1"/>
  <c r="AU17" i="24"/>
  <c r="S17" i="113" s="1"/>
  <c r="I50" i="69" s="1"/>
  <c r="Q17" i="113"/>
  <c r="I16" i="69" s="1"/>
  <c r="Z20" i="24"/>
  <c r="P12" i="74" s="1"/>
  <c r="AF12" s="1"/>
  <c r="AR12" s="1"/>
  <c r="AN20" i="24"/>
  <c r="O20" i="113" s="1"/>
  <c r="H53" i="69" s="1"/>
  <c r="M20" i="113"/>
  <c r="H19" i="69" s="1"/>
  <c r="S21" i="24"/>
  <c r="AG21"/>
  <c r="K21" i="113" s="1"/>
  <c r="G54" i="69" s="1"/>
  <c r="I21" i="113"/>
  <c r="G20" i="69" s="1"/>
  <c r="AU21" i="24"/>
  <c r="S21" i="113" s="1"/>
  <c r="I54" i="69" s="1"/>
  <c r="Q21" i="113"/>
  <c r="I20" i="69" s="1"/>
  <c r="M23" i="113"/>
  <c r="H22" i="69" s="1"/>
  <c r="M6" i="113"/>
  <c r="H5" i="69" s="1"/>
  <c r="I6" i="113"/>
  <c r="G5" i="69" s="1"/>
  <c r="Q6" i="113"/>
  <c r="I5" i="69" s="1"/>
  <c r="S16" i="24"/>
  <c r="AG16"/>
  <c r="K16" i="113" s="1"/>
  <c r="G49" i="69" s="1"/>
  <c r="I16" i="113"/>
  <c r="G15" i="69" s="1"/>
  <c r="AU16" i="24"/>
  <c r="S16" i="113" s="1"/>
  <c r="I49" i="69" s="1"/>
  <c r="Q16" i="113"/>
  <c r="I15" i="69" s="1"/>
  <c r="Z17" i="24"/>
  <c r="AN17"/>
  <c r="O17" i="113" s="1"/>
  <c r="H50" i="69" s="1"/>
  <c r="M17" i="113"/>
  <c r="H16" i="69" s="1"/>
  <c r="S20" i="24"/>
  <c r="AG20"/>
  <c r="K20" i="113" s="1"/>
  <c r="G53" i="69" s="1"/>
  <c r="I20" i="113"/>
  <c r="G19" i="69" s="1"/>
  <c r="AU20" i="24"/>
  <c r="S20" i="113" s="1"/>
  <c r="I53" i="69" s="1"/>
  <c r="Q20" i="113"/>
  <c r="I19" i="69" s="1"/>
  <c r="Z21" i="24"/>
  <c r="AN21"/>
  <c r="O21" i="113" s="1"/>
  <c r="H54" i="69" s="1"/>
  <c r="M21" i="113"/>
  <c r="H20" i="69" s="1"/>
  <c r="I23" i="113"/>
  <c r="G22" i="69" s="1"/>
  <c r="Q23" i="113"/>
  <c r="I22" i="69" s="1"/>
  <c r="Q53" i="24"/>
  <c r="K24" i="74" s="1"/>
  <c r="AC24" s="1"/>
  <c r="AO24" s="1"/>
  <c r="Q19"/>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L24"/>
  <c r="J24"/>
  <c r="AB24" s="1"/>
  <c r="AN24" s="1"/>
  <c r="W24"/>
  <c r="AK24" s="1"/>
  <c r="AW24" s="1"/>
  <c r="Q24"/>
  <c r="AG24" s="1"/>
  <c r="AS24" s="1"/>
  <c r="W22"/>
  <c r="AK22" s="1"/>
  <c r="AW22" s="1"/>
  <c r="M9"/>
  <c r="AD9" s="1"/>
  <c r="AP9" s="1"/>
  <c r="J12"/>
  <c r="AB12" s="1"/>
  <c r="AN12" s="1"/>
  <c r="S13"/>
  <c r="AH13" s="1"/>
  <c r="AT13" s="1"/>
  <c r="T24"/>
  <c r="AI24" s="1"/>
  <c r="AU24" s="1"/>
  <c r="M24" i="102"/>
  <c r="Q24" s="1"/>
  <c r="M8" i="74"/>
  <c r="AD8" s="1"/>
  <c r="AP8" s="1"/>
  <c r="J9"/>
  <c r="AB9" s="1"/>
  <c r="AN9" s="1"/>
  <c r="S12"/>
  <c r="AH12" s="1"/>
  <c r="AT12" s="1"/>
  <c r="P13"/>
  <c r="AF13" s="1"/>
  <c r="AR13" s="1"/>
  <c r="M15"/>
  <c r="AD15" s="1"/>
  <c r="AP15" s="1"/>
  <c r="J8"/>
  <c r="AB8" s="1"/>
  <c r="AN8" s="1"/>
  <c r="S9"/>
  <c r="AH9" s="1"/>
  <c r="AT9" s="1"/>
  <c r="M13"/>
  <c r="AD13" s="1"/>
  <c r="AP13" s="1"/>
  <c r="J15"/>
  <c r="AB15" s="1"/>
  <c r="AN15" s="1"/>
  <c r="W18"/>
  <c r="AK18" s="1"/>
  <c r="AW18" s="1"/>
  <c r="S8"/>
  <c r="AH8" s="1"/>
  <c r="AT8" s="1"/>
  <c r="P9"/>
  <c r="AF9" s="1"/>
  <c r="AR9" s="1"/>
  <c r="M12"/>
  <c r="AD12" s="1"/>
  <c r="AP12" s="1"/>
  <c r="J13"/>
  <c r="AB13" s="1"/>
  <c r="AN13" s="1"/>
  <c r="S15"/>
  <c r="AH15" s="1"/>
  <c r="AT15" s="1"/>
  <c r="W19"/>
  <c r="AK19" s="1"/>
  <c r="AW19" s="1"/>
  <c r="N24"/>
  <c r="AE24" s="1"/>
  <c r="AQ24" s="1"/>
  <c r="S24"/>
  <c r="AH24" s="1"/>
  <c r="AT24" s="1"/>
  <c r="V24"/>
  <c r="AJ24" s="1"/>
  <c r="AV24" s="1"/>
  <c r="P24"/>
  <c r="AF24" s="1"/>
  <c r="AR24" s="1"/>
  <c r="M24"/>
  <c r="AD24" s="1"/>
  <c r="AP24" s="1"/>
  <c r="K6"/>
  <c r="AC6" s="1"/>
  <c r="AO6" s="1"/>
  <c r="AS12" i="24"/>
  <c r="X6" i="74" s="1"/>
  <c r="AE16" i="24"/>
  <c r="X17"/>
  <c r="O9" i="74" s="1"/>
  <c r="Q20" i="24"/>
  <c r="AS20"/>
  <c r="X12" i="74" s="1"/>
  <c r="AL21" i="24"/>
  <c r="V13" i="74" s="1"/>
  <c r="AJ13" s="1"/>
  <c r="AV13" s="1"/>
  <c r="AG23" i="24"/>
  <c r="K23" i="113" s="1"/>
  <c r="G56" i="69" s="1"/>
  <c r="T6" i="74"/>
  <c r="AI6" s="1"/>
  <c r="AU6" s="1"/>
  <c r="X16" i="24"/>
  <c r="O8" i="74" s="1"/>
  <c r="Q17" i="24"/>
  <c r="L9" i="74" s="1"/>
  <c r="AS17" i="24"/>
  <c r="X9" i="74" s="1"/>
  <c r="AL20" i="24"/>
  <c r="V12" i="74" s="1"/>
  <c r="AJ12" s="1"/>
  <c r="AV12" s="1"/>
  <c r="AE21" i="24"/>
  <c r="Z23"/>
  <c r="P15" i="74" s="1"/>
  <c r="AF15" s="1"/>
  <c r="AR15" s="1"/>
  <c r="Q6"/>
  <c r="AG6" s="1"/>
  <c r="AS6" s="1"/>
  <c r="Q16" i="24"/>
  <c r="L8" i="74" s="1"/>
  <c r="AS16" i="24"/>
  <c r="X8" i="74" s="1"/>
  <c r="AL17" i="24"/>
  <c r="V9" i="74" s="1"/>
  <c r="AJ9" s="1"/>
  <c r="AV9" s="1"/>
  <c r="AE20" i="24"/>
  <c r="X21"/>
  <c r="X15" i="74"/>
  <c r="N6"/>
  <c r="AE6" s="1"/>
  <c r="AQ6" s="1"/>
  <c r="AL16" i="24"/>
  <c r="V8" i="74" s="1"/>
  <c r="AJ8" s="1"/>
  <c r="AV8" s="1"/>
  <c r="AE17" i="24"/>
  <c r="X20"/>
  <c r="Q21"/>
  <c r="AS21"/>
  <c r="X13" i="74" s="1"/>
  <c r="V15"/>
  <c r="AJ15" s="1"/>
  <c r="AV15" s="1"/>
  <c r="M4"/>
  <c r="AD4" s="1"/>
  <c r="AP4" s="1"/>
  <c r="V5"/>
  <c r="AJ5" s="1"/>
  <c r="AV5" s="1"/>
  <c r="M7"/>
  <c r="AD7" s="1"/>
  <c r="AP7" s="1"/>
  <c r="S4"/>
  <c r="AH4" s="1"/>
  <c r="AT4" s="1"/>
  <c r="P5"/>
  <c r="AF5" s="1"/>
  <c r="AR5" s="1"/>
  <c r="J7"/>
  <c r="AB7" s="1"/>
  <c r="AN7" s="1"/>
  <c r="V7"/>
  <c r="AJ7" s="1"/>
  <c r="AV7" s="1"/>
  <c r="J5"/>
  <c r="AB5" s="1"/>
  <c r="AN5" s="1"/>
  <c r="P7"/>
  <c r="AF7" s="1"/>
  <c r="AR7" s="1"/>
  <c r="J4"/>
  <c r="AB4" s="1"/>
  <c r="AN4" s="1"/>
  <c r="S5"/>
  <c r="AH5" s="1"/>
  <c r="AT5" s="1"/>
  <c r="M5"/>
  <c r="AD5" s="1"/>
  <c r="AP5" s="1"/>
  <c r="S7"/>
  <c r="AH7" s="1"/>
  <c r="AT7" s="1"/>
  <c r="I50" i="65"/>
  <c r="S53" i="24" l="1"/>
  <c r="J24" i="10"/>
  <c r="I24" i="46"/>
  <c r="AU23" i="24"/>
  <c r="S23" i="113" s="1"/>
  <c r="I56" i="69" s="1"/>
  <c r="AN23" i="24"/>
  <c r="O23" i="113" s="1"/>
  <c r="H56" i="69" s="1"/>
  <c r="K9" i="114"/>
  <c r="G96" i="69" s="1"/>
  <c r="I93"/>
  <c r="I95"/>
  <c r="H95"/>
  <c r="G93"/>
  <c r="H93"/>
  <c r="M13" i="102"/>
  <c r="Q13" s="1"/>
  <c r="M15"/>
  <c r="Q15" s="1"/>
  <c r="M9"/>
  <c r="Q9" s="1"/>
  <c r="M12"/>
  <c r="Q12" s="1"/>
  <c r="M8"/>
  <c r="Q8" s="1"/>
  <c r="N12" i="74"/>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S6" i="24"/>
  <c r="K5" i="74"/>
  <c r="AC5" s="1"/>
  <c r="AO5" s="1"/>
  <c r="N5"/>
  <c r="AE5" s="1"/>
  <c r="AQ5" s="1"/>
  <c r="Q7"/>
  <c r="AG7" s="1"/>
  <c r="AS7" s="1"/>
  <c r="Q5"/>
  <c r="AG5" s="1"/>
  <c r="AS5" s="1"/>
  <c r="AS9" i="24"/>
  <c r="T5" i="74"/>
  <c r="AI5" s="1"/>
  <c r="AU5" s="1"/>
  <c r="AS14" i="24"/>
  <c r="X7" i="74" s="1"/>
  <c r="N7"/>
  <c r="AE7" s="1"/>
  <c r="AQ7" s="1"/>
  <c r="X6" i="24"/>
  <c r="Z6" s="1"/>
  <c r="Z7" s="1"/>
  <c r="Z8" s="1"/>
  <c r="Q6"/>
  <c r="S6" s="1"/>
  <c r="S7" s="1"/>
  <c r="S8" s="1"/>
  <c r="AE6"/>
  <c r="AL6"/>
  <c r="C40" i="65"/>
  <c r="C39"/>
  <c r="X5" i="74" l="1"/>
  <c r="AU9" i="24"/>
  <c r="V4" i="74"/>
  <c r="AJ4" s="1"/>
  <c r="AV4" s="1"/>
  <c r="AN6" i="24"/>
  <c r="X4" i="74"/>
  <c r="AU6" i="24"/>
  <c r="AG6"/>
  <c r="AG7" s="1"/>
  <c r="AG8" s="1"/>
  <c r="P4" i="74"/>
  <c r="AF4" s="1"/>
  <c r="AR4" s="1"/>
  <c r="T4"/>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K65" i="7"/>
  <c r="O95" i="24"/>
  <c r="P95" s="1"/>
  <c r="H62" i="112" s="1"/>
  <c r="V95" i="24"/>
  <c r="W95" s="1"/>
  <c r="I62" i="112" s="1"/>
  <c r="AC95" i="24"/>
  <c r="AD95" s="1"/>
  <c r="AJ95"/>
  <c r="AQ95"/>
  <c r="AR95" s="1"/>
  <c r="H95"/>
  <c r="I95" s="1"/>
  <c r="G62" i="112" s="1"/>
  <c r="AQ95" i="10"/>
  <c r="Y64" i="120" s="1"/>
  <c r="AJ95" i="10"/>
  <c r="Q64" i="120" s="1"/>
  <c r="AC95" i="10"/>
  <c r="I64" i="120" s="1"/>
  <c r="V95" i="10"/>
  <c r="O95"/>
  <c r="H95"/>
  <c r="I70" i="60"/>
  <c r="I59" i="121" s="1"/>
  <c r="I73" i="24"/>
  <c r="I72"/>
  <c r="P73"/>
  <c r="P72"/>
  <c r="W73"/>
  <c r="W72"/>
  <c r="AD73"/>
  <c r="D115" i="69"/>
  <c r="E115"/>
  <c r="F115"/>
  <c r="D117"/>
  <c r="E117"/>
  <c r="F117"/>
  <c r="D119"/>
  <c r="E119"/>
  <c r="F119"/>
  <c r="D121"/>
  <c r="E121"/>
  <c r="F121"/>
  <c r="D104"/>
  <c r="E104"/>
  <c r="D62"/>
  <c r="E62"/>
  <c r="F62"/>
  <c r="D66"/>
  <c r="E66"/>
  <c r="F66"/>
  <c r="D68"/>
  <c r="E68"/>
  <c r="F68"/>
  <c r="F7"/>
  <c r="F10"/>
  <c r="F12"/>
  <c r="F14"/>
  <c r="E7"/>
  <c r="E10"/>
  <c r="E12"/>
  <c r="E14"/>
  <c r="D7"/>
  <c r="D10"/>
  <c r="D12"/>
  <c r="D14"/>
  <c r="K64" i="7" l="1"/>
  <c r="AU10" i="24"/>
  <c r="AU11" s="1"/>
  <c r="S9" i="113"/>
  <c r="K6"/>
  <c r="AU7" i="24"/>
  <c r="AU8" s="1"/>
  <c r="S6" i="113"/>
  <c r="AN7" i="24"/>
  <c r="AN8" s="1"/>
  <c r="O6" i="113"/>
  <c r="N64" i="7"/>
  <c r="I73" i="112"/>
  <c r="L64" i="7"/>
  <c r="O64"/>
  <c r="Q23" i="115"/>
  <c r="M64" i="7"/>
  <c r="I23" i="115"/>
  <c r="H73" i="112"/>
  <c r="L65" i="7"/>
  <c r="I74" i="112"/>
  <c r="G73"/>
  <c r="J64" i="7"/>
  <c r="N65"/>
  <c r="I24" i="115"/>
  <c r="M65" i="7"/>
  <c r="N30" i="74"/>
  <c r="AE30" s="1"/>
  <c r="AQ30" s="1"/>
  <c r="R31"/>
  <c r="Y37" i="58"/>
  <c r="N31" i="74"/>
  <c r="AE31" s="1"/>
  <c r="AQ31" s="1"/>
  <c r="I37" i="114"/>
  <c r="G90" i="69" s="1"/>
  <c r="Q31" i="74"/>
  <c r="AG31" s="1"/>
  <c r="AS31" s="1"/>
  <c r="I70" i="120"/>
  <c r="I36" i="54"/>
  <c r="P30" i="74"/>
  <c r="AF30" s="1"/>
  <c r="AR30" s="1"/>
  <c r="J30"/>
  <c r="AB30" s="1"/>
  <c r="AN30" s="1"/>
  <c r="M31"/>
  <c r="AD31" s="1"/>
  <c r="AP31" s="1"/>
  <c r="G31"/>
  <c r="Z31" s="1"/>
  <c r="AL31" s="1"/>
  <c r="M30"/>
  <c r="AD30" s="1"/>
  <c r="AP30" s="1"/>
  <c r="G30"/>
  <c r="Z30" s="1"/>
  <c r="AL30" s="1"/>
  <c r="P31"/>
  <c r="AF31" s="1"/>
  <c r="AR31" s="1"/>
  <c r="J31"/>
  <c r="AB31" s="1"/>
  <c r="AN31" s="1"/>
  <c r="Q24" i="56"/>
  <c r="M24"/>
  <c r="AS95" i="24"/>
  <c r="AU95" s="1"/>
  <c r="S23" i="115" s="1"/>
  <c r="Q95" i="24"/>
  <c r="S95" s="1"/>
  <c r="J95"/>
  <c r="I23" i="56"/>
  <c r="I37" i="65"/>
  <c r="AE95" i="24"/>
  <c r="AG95" s="1"/>
  <c r="K23" i="115" s="1"/>
  <c r="X95" i="24"/>
  <c r="Z95" s="1"/>
  <c r="Q23" i="56"/>
  <c r="AL95" i="24"/>
  <c r="AN95" s="1"/>
  <c r="M23" i="56"/>
  <c r="I22" i="60" l="1"/>
  <c r="J95" i="10"/>
  <c r="L95" s="1"/>
  <c r="K22" i="60" s="1"/>
  <c r="AL95" i="10"/>
  <c r="AN95" s="1"/>
  <c r="S63" i="60" s="1"/>
  <c r="Q63"/>
  <c r="X95" i="10"/>
  <c r="Z95" s="1"/>
  <c r="AA22" i="60" s="1"/>
  <c r="Y22"/>
  <c r="AS95" i="10"/>
  <c r="AU95" s="1"/>
  <c r="AA63" i="60" s="1"/>
  <c r="Y63"/>
  <c r="AE95" i="10"/>
  <c r="AG95" s="1"/>
  <c r="K63" i="60" s="1"/>
  <c r="I63"/>
  <c r="Q95" i="10"/>
  <c r="S95" s="1"/>
  <c r="S22" i="60" s="1"/>
  <c r="Q22"/>
  <c r="I42" i="69"/>
  <c r="S10" i="113"/>
  <c r="G39" i="69"/>
  <c r="K7" i="113"/>
  <c r="H39" i="69"/>
  <c r="O7" i="113"/>
  <c r="I39" i="69"/>
  <c r="S7" i="113"/>
  <c r="L95" i="24"/>
  <c r="K23" i="56" s="1"/>
  <c r="S23"/>
  <c r="O23"/>
  <c r="AQ99" i="10"/>
  <c r="AR125" s="1"/>
  <c r="AQ100"/>
  <c r="AR126" s="1"/>
  <c r="AQ99" i="24"/>
  <c r="AQ100"/>
  <c r="I43" i="69" l="1"/>
  <c r="S11" i="113"/>
  <c r="I44" i="69" s="1"/>
  <c r="G40"/>
  <c r="K8" i="113"/>
  <c r="G41" i="69" s="1"/>
  <c r="S8" i="113"/>
  <c r="I41" i="69" s="1"/>
  <c r="I40"/>
  <c r="H40"/>
  <c r="O8" i="113"/>
  <c r="H41" i="69" s="1"/>
  <c r="AR100" i="24"/>
  <c r="Y47" i="121"/>
  <c r="Y48"/>
  <c r="AR99" i="24"/>
  <c r="S3" i="61"/>
  <c r="R7" i="65"/>
  <c r="Q7"/>
  <c r="Q8" s="1"/>
  <c r="Q9" s="1"/>
  <c r="P7"/>
  <c r="P8" s="1"/>
  <c r="P9" s="1"/>
  <c r="N7"/>
  <c r="N8" s="1"/>
  <c r="N9" s="1"/>
  <c r="M7"/>
  <c r="M8" s="1"/>
  <c r="M9" s="1"/>
  <c r="L7"/>
  <c r="L8" s="1"/>
  <c r="L9" s="1"/>
  <c r="K7"/>
  <c r="J7"/>
  <c r="I7"/>
  <c r="H7"/>
  <c r="G7"/>
  <c r="F7"/>
  <c r="E7"/>
  <c r="D7"/>
  <c r="C7"/>
  <c r="B7"/>
  <c r="D168" i="62"/>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Q7" i="118" l="1"/>
  <c r="AF24" i="119" s="1"/>
  <c r="AR126" i="24"/>
  <c r="Q6" i="118"/>
  <c r="AF23" i="119" s="1"/>
  <c r="AR125" i="24"/>
  <c r="AS100" i="10"/>
  <c r="AU100" s="1"/>
  <c r="AA48" i="121" s="1"/>
  <c r="AS126" i="10"/>
  <c r="AS99"/>
  <c r="AU99" s="1"/>
  <c r="AA47" i="121" s="1"/>
  <c r="AS125" i="10"/>
  <c r="AS99" i="24"/>
  <c r="AU99" s="1"/>
  <c r="AU125" s="1"/>
  <c r="F8" i="65"/>
  <c r="F9" s="1"/>
  <c r="D8"/>
  <c r="D9" s="1"/>
  <c r="H8"/>
  <c r="H9" s="1"/>
  <c r="B8"/>
  <c r="B9" s="1"/>
  <c r="J8"/>
  <c r="J9" s="1"/>
  <c r="AS125" i="24" l="1"/>
  <c r="O71" i="7"/>
  <c r="AS126" i="24"/>
  <c r="O72" i="7"/>
  <c r="AU125" i="10"/>
  <c r="AU126"/>
  <c r="S6" i="118"/>
  <c r="AG23" i="119" s="1"/>
  <c r="AS100" i="24"/>
  <c r="AU100" s="1"/>
  <c r="AU126" s="1"/>
  <c r="R38" i="7"/>
  <c r="R39" s="1"/>
  <c r="S19" i="61"/>
  <c r="S25"/>
  <c r="O19"/>
  <c r="O25"/>
  <c r="K19"/>
  <c r="K25"/>
  <c r="Q35"/>
  <c r="M35"/>
  <c r="I35"/>
  <c r="Q34"/>
  <c r="M34"/>
  <c r="I34"/>
  <c r="Q33"/>
  <c r="M33"/>
  <c r="I33"/>
  <c r="Q32"/>
  <c r="M32"/>
  <c r="I32"/>
  <c r="Q31"/>
  <c r="M31"/>
  <c r="I31"/>
  <c r="Q30"/>
  <c r="M30"/>
  <c r="I30"/>
  <c r="Q29"/>
  <c r="M29"/>
  <c r="I29"/>
  <c r="Q28"/>
  <c r="M28"/>
  <c r="I28"/>
  <c r="I30" i="62"/>
  <c r="Y69" i="46"/>
  <c r="I24" i="62" s="1"/>
  <c r="Y70" i="46"/>
  <c r="I25" i="62" s="1"/>
  <c r="Y71" i="46"/>
  <c r="I26" i="62" s="1"/>
  <c r="Y72" i="46"/>
  <c r="I27" i="62" s="1"/>
  <c r="Y73" i="46"/>
  <c r="I28" i="62" s="1"/>
  <c r="Y74" i="46"/>
  <c r="I29" i="62" s="1"/>
  <c r="Y75" i="46"/>
  <c r="Y68"/>
  <c r="I23" i="62" s="1"/>
  <c r="H30"/>
  <c r="Q69" i="46"/>
  <c r="H24" i="62" s="1"/>
  <c r="Q70" i="46"/>
  <c r="H25" i="62" s="1"/>
  <c r="Q71" i="46"/>
  <c r="H26" i="62" s="1"/>
  <c r="Q72" i="46"/>
  <c r="H27" i="62" s="1"/>
  <c r="Q73" i="46"/>
  <c r="H28" i="62" s="1"/>
  <c r="Q74" i="46"/>
  <c r="H29" i="62" s="1"/>
  <c r="Q75" i="46"/>
  <c r="Q68"/>
  <c r="H23" i="62" s="1"/>
  <c r="G30"/>
  <c r="I69" i="46"/>
  <c r="G24" i="62" s="1"/>
  <c r="I70" i="46"/>
  <c r="G25" i="62" s="1"/>
  <c r="I71" i="46"/>
  <c r="G26" i="62" s="1"/>
  <c r="I72" i="46"/>
  <c r="G27" i="62" s="1"/>
  <c r="G28"/>
  <c r="I74" i="46"/>
  <c r="G29" i="62" s="1"/>
  <c r="I75" i="46"/>
  <c r="I68"/>
  <c r="G23" i="62" s="1"/>
  <c r="F30"/>
  <c r="Y29" i="46"/>
  <c r="F24" i="62" s="1"/>
  <c r="Y30" i="46"/>
  <c r="F25" i="62" s="1"/>
  <c r="Y31" i="46"/>
  <c r="F26" i="62" s="1"/>
  <c r="Y32" i="46"/>
  <c r="F27" i="62" s="1"/>
  <c r="Y33" i="46"/>
  <c r="F28" i="62" s="1"/>
  <c r="Y34" i="46"/>
  <c r="F29" i="62" s="1"/>
  <c r="Y35" i="46"/>
  <c r="Y28"/>
  <c r="F23" i="62" s="1"/>
  <c r="E30"/>
  <c r="Q29" i="46"/>
  <c r="E24" i="62" s="1"/>
  <c r="Q30" i="46"/>
  <c r="E25" i="62" s="1"/>
  <c r="Q31" i="46"/>
  <c r="E26" i="62" s="1"/>
  <c r="Q32" i="46"/>
  <c r="E27" i="62" s="1"/>
  <c r="Q33" i="46"/>
  <c r="E28" i="62" s="1"/>
  <c r="Q34" i="46"/>
  <c r="E29" i="62" s="1"/>
  <c r="Q35" i="46"/>
  <c r="Q28"/>
  <c r="E23" i="62" s="1"/>
  <c r="AA59" i="46"/>
  <c r="Y59"/>
  <c r="I16" i="62" s="1"/>
  <c r="S59" i="46"/>
  <c r="Q59"/>
  <c r="H16" i="62" s="1"/>
  <c r="K59" i="46"/>
  <c r="I59"/>
  <c r="G16" i="62" s="1"/>
  <c r="AA19" i="46"/>
  <c r="Y19"/>
  <c r="F16" i="62" s="1"/>
  <c r="S19" i="46"/>
  <c r="Q19"/>
  <c r="E16" i="62" s="1"/>
  <c r="S7" i="118" l="1"/>
  <c r="AG24" i="119" s="1"/>
  <c r="E32" i="69"/>
  <c r="D25"/>
  <c r="F25"/>
  <c r="E26"/>
  <c r="D27"/>
  <c r="F27"/>
  <c r="E28"/>
  <c r="D29"/>
  <c r="F29"/>
  <c r="E30"/>
  <c r="D31"/>
  <c r="F31"/>
  <c r="D32"/>
  <c r="F32"/>
  <c r="E25"/>
  <c r="D26"/>
  <c r="F26"/>
  <c r="E27"/>
  <c r="D28"/>
  <c r="F28"/>
  <c r="E29"/>
  <c r="D30"/>
  <c r="F30"/>
  <c r="E31"/>
  <c r="F52"/>
  <c r="D52"/>
  <c r="E52"/>
  <c r="F48" i="62"/>
  <c r="G48"/>
  <c r="I48"/>
  <c r="E48"/>
  <c r="H48"/>
  <c r="S23" i="54"/>
  <c r="AR73" i="24"/>
  <c r="AR72"/>
  <c r="AK73"/>
  <c r="AJ23" i="10"/>
  <c r="AK23" s="1"/>
  <c r="AL23" s="1"/>
  <c r="AN23" s="1"/>
  <c r="N43" i="7" l="1"/>
  <c r="Q23" i="114"/>
  <c r="O43" i="7"/>
  <c r="X30" i="74"/>
  <c r="U31"/>
  <c r="C31" i="102"/>
  <c r="M31" s="1"/>
  <c r="Q31" s="1"/>
  <c r="X31" i="74"/>
  <c r="Q36" i="114"/>
  <c r="I89" i="69" s="1"/>
  <c r="W30" i="74"/>
  <c r="AK30" s="1"/>
  <c r="AW30" s="1"/>
  <c r="M37" i="114"/>
  <c r="H90" i="69" s="1"/>
  <c r="T31" i="74"/>
  <c r="AI31" s="1"/>
  <c r="AU31" s="1"/>
  <c r="Q37" i="114"/>
  <c r="I90" i="69" s="1"/>
  <c r="W31" i="74"/>
  <c r="AK31" s="1"/>
  <c r="AW31" s="1"/>
  <c r="V31"/>
  <c r="AJ31" s="1"/>
  <c r="AV31" s="1"/>
  <c r="V39"/>
  <c r="AJ39" s="1"/>
  <c r="AV39" s="1"/>
  <c r="V30"/>
  <c r="AJ30" s="1"/>
  <c r="AV30" s="1"/>
  <c r="S31"/>
  <c r="AH31" s="1"/>
  <c r="AT31" s="1"/>
  <c r="S39"/>
  <c r="AH39" s="1"/>
  <c r="AT39" s="1"/>
  <c r="M39" i="102"/>
  <c r="Q39" s="1"/>
  <c r="S30" i="74"/>
  <c r="AH30" s="1"/>
  <c r="AT30" s="1"/>
  <c r="M30" i="102"/>
  <c r="Q30" s="1"/>
  <c r="AA55" i="58"/>
  <c r="S55"/>
  <c r="K55"/>
  <c r="G104" i="62" l="1"/>
  <c r="D214"/>
  <c r="I214"/>
  <c r="H104"/>
  <c r="F214"/>
  <c r="H214"/>
  <c r="I104"/>
  <c r="G214"/>
  <c r="E214"/>
  <c r="AA17" i="58"/>
  <c r="S17"/>
  <c r="K17"/>
  <c r="D104" i="62" l="1"/>
  <c r="F104"/>
  <c r="E104"/>
  <c r="H194"/>
  <c r="Q57" i="121"/>
  <c r="Q58"/>
  <c r="Q59"/>
  <c r="Q62"/>
  <c r="Q56"/>
  <c r="H187" i="62" l="1"/>
  <c r="Q67" i="120"/>
  <c r="H191" i="62"/>
  <c r="Q71" i="120"/>
  <c r="H189" i="62"/>
  <c r="Q69" i="120"/>
  <c r="H193" i="62"/>
  <c r="Q73" i="120"/>
  <c r="H190" i="62"/>
  <c r="Q70" i="120"/>
  <c r="H188" i="62"/>
  <c r="Q68" i="120"/>
  <c r="E157" i="69"/>
  <c r="F157"/>
  <c r="D157"/>
  <c r="Y67" i="60"/>
  <c r="Y56" i="121" s="1"/>
  <c r="Y73" i="60"/>
  <c r="Y62" i="121" s="1"/>
  <c r="Y69" i="60"/>
  <c r="Y58" i="121" s="1"/>
  <c r="Y71" i="60"/>
  <c r="Y68"/>
  <c r="Y57" i="121" s="1"/>
  <c r="Y70" i="60"/>
  <c r="Y59" i="121" s="1"/>
  <c r="S3" i="56"/>
  <c r="Q3" i="117" s="1"/>
  <c r="Y75" i="58"/>
  <c r="I88" i="62" s="1"/>
  <c r="Y74" i="58"/>
  <c r="I87" i="62" s="1"/>
  <c r="H88"/>
  <c r="H87"/>
  <c r="I84"/>
  <c r="Y65" i="58"/>
  <c r="I78" i="62" s="1"/>
  <c r="Y66" i="58"/>
  <c r="I79" i="62" s="1"/>
  <c r="Y67" i="58"/>
  <c r="I80" i="62" s="1"/>
  <c r="Y68" i="58"/>
  <c r="I81" i="62" s="1"/>
  <c r="Y69" i="58"/>
  <c r="I82" i="62" s="1"/>
  <c r="Y70" i="58"/>
  <c r="I83" i="62" s="1"/>
  <c r="H84"/>
  <c r="H78"/>
  <c r="H79"/>
  <c r="H80"/>
  <c r="H81"/>
  <c r="H82"/>
  <c r="H83"/>
  <c r="I77"/>
  <c r="H77"/>
  <c r="S17" i="54"/>
  <c r="S3"/>
  <c r="AQ94" i="24"/>
  <c r="AJ94"/>
  <c r="AQ93"/>
  <c r="AR93" s="1"/>
  <c r="AJ93"/>
  <c r="AK93" s="1"/>
  <c r="AQ92"/>
  <c r="AR92" s="1"/>
  <c r="AJ92"/>
  <c r="AK92" s="1"/>
  <c r="AQ90"/>
  <c r="AR90" s="1"/>
  <c r="AJ90"/>
  <c r="AK90" s="1"/>
  <c r="AQ88"/>
  <c r="AR88" s="1"/>
  <c r="AJ88"/>
  <c r="AK88" s="1"/>
  <c r="AQ87"/>
  <c r="AR87" s="1"/>
  <c r="AJ87"/>
  <c r="AK87" s="1"/>
  <c r="AQ86"/>
  <c r="AR86" s="1"/>
  <c r="AJ86"/>
  <c r="AK86" s="1"/>
  <c r="AQ84"/>
  <c r="AR84" s="1"/>
  <c r="AJ84"/>
  <c r="AK84" s="1"/>
  <c r="AQ82"/>
  <c r="AR82" s="1"/>
  <c r="AJ82"/>
  <c r="AK82" s="1"/>
  <c r="AQ80"/>
  <c r="AR80" s="1"/>
  <c r="AJ80"/>
  <c r="AQ78"/>
  <c r="AR78" s="1"/>
  <c r="AJ78"/>
  <c r="AQ59"/>
  <c r="AJ59"/>
  <c r="AK59" s="1"/>
  <c r="AQ58"/>
  <c r="AR58" s="1"/>
  <c r="AS58" s="1"/>
  <c r="AJ58"/>
  <c r="AK58" s="1"/>
  <c r="AL58" s="1"/>
  <c r="AQ57"/>
  <c r="AR57" s="1"/>
  <c r="AJ57"/>
  <c r="AK57" s="1"/>
  <c r="AQ56"/>
  <c r="AR56" s="1"/>
  <c r="AJ56"/>
  <c r="AK56" s="1"/>
  <c r="AQ55"/>
  <c r="AJ55"/>
  <c r="AQ52"/>
  <c r="AR52" s="1"/>
  <c r="AJ52"/>
  <c r="AK52" s="1"/>
  <c r="AQ92" i="10"/>
  <c r="AR92" s="1"/>
  <c r="AQ93"/>
  <c r="AQ94"/>
  <c r="AQ90"/>
  <c r="AS90" s="1"/>
  <c r="AU90" s="1"/>
  <c r="AQ80"/>
  <c r="AR80" s="1"/>
  <c r="Y41" i="121" s="1"/>
  <c r="AQ82" i="10"/>
  <c r="Y43" i="121" s="1"/>
  <c r="AQ84" i="10"/>
  <c r="Y45" i="121" s="1"/>
  <c r="AQ86" i="10"/>
  <c r="AQ87"/>
  <c r="AQ88"/>
  <c r="Y57" i="60" s="1"/>
  <c r="I179" i="62" s="1"/>
  <c r="AQ78" i="10"/>
  <c r="Y39" i="121" s="1"/>
  <c r="AJ92" i="10"/>
  <c r="Q51" i="121" s="1"/>
  <c r="U51" s="1"/>
  <c r="W51" s="1"/>
  <c r="AJ93" i="10"/>
  <c r="Q52" i="121" s="1"/>
  <c r="U52" s="1"/>
  <c r="W52" s="1"/>
  <c r="AJ94" i="10"/>
  <c r="AJ90"/>
  <c r="Q50" i="121" s="1"/>
  <c r="U50" s="1"/>
  <c r="W50" s="1"/>
  <c r="AJ80" i="10"/>
  <c r="Q41" i="121" s="1"/>
  <c r="AJ82" i="10"/>
  <c r="Q43" i="121" s="1"/>
  <c r="AJ84" i="10"/>
  <c r="Q45" i="121" s="1"/>
  <c r="AJ86" i="10"/>
  <c r="AJ87"/>
  <c r="AJ88"/>
  <c r="Q57" i="60" s="1"/>
  <c r="H179" i="62" s="1"/>
  <c r="AJ78" i="10"/>
  <c r="Q39" i="121" s="1"/>
  <c r="AQ21" i="10"/>
  <c r="AR21" s="1"/>
  <c r="AS21" s="1"/>
  <c r="AU21" s="1"/>
  <c r="AQ22"/>
  <c r="AR22" s="1"/>
  <c r="AS22" s="1"/>
  <c r="AU22" s="1"/>
  <c r="AQ23"/>
  <c r="AR23" s="1"/>
  <c r="AS23" s="1"/>
  <c r="AU23" s="1"/>
  <c r="AQ24"/>
  <c r="AR24" s="1"/>
  <c r="AQ20"/>
  <c r="AR20" s="1"/>
  <c r="AS20" s="1"/>
  <c r="AU20" s="1"/>
  <c r="AJ21"/>
  <c r="AK21" s="1"/>
  <c r="AL21" s="1"/>
  <c r="AN21" s="1"/>
  <c r="AJ22"/>
  <c r="AK22" s="1"/>
  <c r="AL22" s="1"/>
  <c r="AN22" s="1"/>
  <c r="AJ24"/>
  <c r="AK24" s="1"/>
  <c r="AJ20"/>
  <c r="AK20" s="1"/>
  <c r="AL20" s="1"/>
  <c r="AN20" s="1"/>
  <c r="AQ56"/>
  <c r="AR56" s="1"/>
  <c r="AS56" s="1"/>
  <c r="AU56" s="1"/>
  <c r="AQ57"/>
  <c r="AR57" s="1"/>
  <c r="AS57" s="1"/>
  <c r="AU57" s="1"/>
  <c r="AQ59"/>
  <c r="AQ55"/>
  <c r="AR55" s="1"/>
  <c r="AS55" s="1"/>
  <c r="AU55" s="1"/>
  <c r="AJ56"/>
  <c r="AK56" s="1"/>
  <c r="AL56" s="1"/>
  <c r="AN56" s="1"/>
  <c r="AJ57"/>
  <c r="AK57" s="1"/>
  <c r="AL57" s="1"/>
  <c r="AN57" s="1"/>
  <c r="AJ59"/>
  <c r="AJ55"/>
  <c r="AL55" s="1"/>
  <c r="AN55" s="1"/>
  <c r="AQ45"/>
  <c r="AS45" s="1"/>
  <c r="AU45" s="1"/>
  <c r="AU46" s="1"/>
  <c r="AQ47"/>
  <c r="AS47" s="1"/>
  <c r="AU47" s="1"/>
  <c r="AU48" s="1"/>
  <c r="AQ49"/>
  <c r="AS49" s="1"/>
  <c r="AU49" s="1"/>
  <c r="AU50" s="1"/>
  <c r="AQ51"/>
  <c r="AS51" s="1"/>
  <c r="AU51" s="1"/>
  <c r="AQ52"/>
  <c r="AS52" s="1"/>
  <c r="AU52" s="1"/>
  <c r="AQ53"/>
  <c r="AQ43"/>
  <c r="AS43" s="1"/>
  <c r="AU43" s="1"/>
  <c r="AU44" s="1"/>
  <c r="AJ45"/>
  <c r="AL45" s="1"/>
  <c r="AN45" s="1"/>
  <c r="AN46" s="1"/>
  <c r="AJ47"/>
  <c r="AL47" s="1"/>
  <c r="AN47" s="1"/>
  <c r="AN48" s="1"/>
  <c r="AJ49"/>
  <c r="AL49" s="1"/>
  <c r="AN49" s="1"/>
  <c r="AN50" s="1"/>
  <c r="AJ51"/>
  <c r="AL51" s="1"/>
  <c r="AN51" s="1"/>
  <c r="AJ52"/>
  <c r="AL52" s="1"/>
  <c r="AN52" s="1"/>
  <c r="AJ53"/>
  <c r="AJ43"/>
  <c r="AL43" s="1"/>
  <c r="AN43" s="1"/>
  <c r="AN44" s="1"/>
  <c r="AQ9"/>
  <c r="AR9" s="1"/>
  <c r="AS9" s="1"/>
  <c r="AU9" s="1"/>
  <c r="AU10" s="1"/>
  <c r="AU11" s="1"/>
  <c r="AQ12"/>
  <c r="AQ14"/>
  <c r="AQ16"/>
  <c r="AR16" s="1"/>
  <c r="AS16" s="1"/>
  <c r="AU16" s="1"/>
  <c r="AQ17"/>
  <c r="AR17" s="1"/>
  <c r="AS17" s="1"/>
  <c r="AU17" s="1"/>
  <c r="AQ18"/>
  <c r="AR18" s="1"/>
  <c r="AS18" s="1"/>
  <c r="AU18" s="1"/>
  <c r="AQ6"/>
  <c r="AR6" s="1"/>
  <c r="AS6" s="1"/>
  <c r="AU6" s="1"/>
  <c r="AU7" s="1"/>
  <c r="AU8" s="1"/>
  <c r="AJ9"/>
  <c r="AK9" s="1"/>
  <c r="AL9" s="1"/>
  <c r="AN9" s="1"/>
  <c r="AN10" s="1"/>
  <c r="AN11" s="1"/>
  <c r="AJ12"/>
  <c r="AJ14"/>
  <c r="AJ16"/>
  <c r="AK16" s="1"/>
  <c r="AL16" s="1"/>
  <c r="AN16" s="1"/>
  <c r="AJ17"/>
  <c r="AK17" s="1"/>
  <c r="AL17" s="1"/>
  <c r="AN17" s="1"/>
  <c r="AJ18"/>
  <c r="AK18" s="1"/>
  <c r="AL18" s="1"/>
  <c r="AN18" s="1"/>
  <c r="AJ6"/>
  <c r="AK6" s="1"/>
  <c r="AL6" s="1"/>
  <c r="AN6" s="1"/>
  <c r="AN7" s="1"/>
  <c r="AN8" s="1"/>
  <c r="AS53" l="1"/>
  <c r="AU53" s="1"/>
  <c r="AA22" i="120" s="1"/>
  <c r="Y22"/>
  <c r="AS94" i="10"/>
  <c r="AU94" s="1"/>
  <c r="AA63" i="120" s="1"/>
  <c r="Y63"/>
  <c r="AL53" i="10"/>
  <c r="AN53" s="1"/>
  <c r="S22" i="120" s="1"/>
  <c r="Q22"/>
  <c r="AL94" i="10"/>
  <c r="AN94" s="1"/>
  <c r="S63" i="120" s="1"/>
  <c r="Q63"/>
  <c r="AR94" i="24"/>
  <c r="AS94" s="1"/>
  <c r="AK94"/>
  <c r="AL94" s="1"/>
  <c r="AA63" i="46"/>
  <c r="Y59" i="120"/>
  <c r="AC59" s="1"/>
  <c r="AE59" s="1"/>
  <c r="Y50" i="121"/>
  <c r="AC50" s="1"/>
  <c r="AE50" s="1"/>
  <c r="Y61" i="120"/>
  <c r="AC61" s="1"/>
  <c r="AE61" s="1"/>
  <c r="Y52" i="121"/>
  <c r="AC52" s="1"/>
  <c r="AE52" s="1"/>
  <c r="Y60" i="120"/>
  <c r="AC60" s="1"/>
  <c r="AE60" s="1"/>
  <c r="Y51" i="121"/>
  <c r="AC51" s="1"/>
  <c r="AE51" s="1"/>
  <c r="C23" i="102"/>
  <c r="N35" i="7"/>
  <c r="C27" i="102"/>
  <c r="N39" i="7"/>
  <c r="C28" i="102"/>
  <c r="N40" i="7"/>
  <c r="C29" i="102"/>
  <c r="N41" i="7"/>
  <c r="N42"/>
  <c r="C34" i="102"/>
  <c r="N51" i="7"/>
  <c r="C35" i="102"/>
  <c r="N53" i="7"/>
  <c r="C36" i="102"/>
  <c r="N55" i="7"/>
  <c r="C37" i="102"/>
  <c r="N56" i="7"/>
  <c r="C38" i="102"/>
  <c r="N57" i="7"/>
  <c r="C40" i="102"/>
  <c r="N59" i="7"/>
  <c r="C41" i="102"/>
  <c r="N61" i="7"/>
  <c r="C42" i="102"/>
  <c r="N62" i="7"/>
  <c r="C43" i="102"/>
  <c r="O35" i="7"/>
  <c r="O39"/>
  <c r="O40"/>
  <c r="O41"/>
  <c r="Q22" i="114"/>
  <c r="O42" i="7"/>
  <c r="O47"/>
  <c r="O49"/>
  <c r="O51"/>
  <c r="O53"/>
  <c r="O55"/>
  <c r="O56"/>
  <c r="O57"/>
  <c r="O59"/>
  <c r="O61"/>
  <c r="O62"/>
  <c r="AL88" i="10"/>
  <c r="AN88" s="1"/>
  <c r="S57" i="60" s="1"/>
  <c r="Q55"/>
  <c r="H177" i="62" s="1"/>
  <c r="Q55" i="120"/>
  <c r="AL82" i="10"/>
  <c r="AN82" s="1"/>
  <c r="Q51" i="120"/>
  <c r="Q59" i="60"/>
  <c r="H181" i="62" s="1"/>
  <c r="Q59" i="120"/>
  <c r="U59" s="1"/>
  <c r="W59" s="1"/>
  <c r="Q61" i="60"/>
  <c r="H183" i="62" s="1"/>
  <c r="Q61" i="120"/>
  <c r="U61" s="1"/>
  <c r="W61" s="1"/>
  <c r="AS78" i="10"/>
  <c r="AU78" s="1"/>
  <c r="AA39" i="121" s="1"/>
  <c r="AA40" s="1"/>
  <c r="Y47" i="120"/>
  <c r="AS84" i="10"/>
  <c r="AU84" s="1"/>
  <c r="Y53" i="120"/>
  <c r="AS80" i="10"/>
  <c r="AU80" s="1"/>
  <c r="AA41" i="121" s="1"/>
  <c r="AA42" s="1"/>
  <c r="Y49" i="120"/>
  <c r="Y62"/>
  <c r="AC62" s="1"/>
  <c r="AL78" i="10"/>
  <c r="AN78" s="1"/>
  <c r="Q47" i="120"/>
  <c r="AL84" i="10"/>
  <c r="AN84" s="1"/>
  <c r="Q53" i="120"/>
  <c r="AL80" i="10"/>
  <c r="AN80" s="1"/>
  <c r="Q49" i="120"/>
  <c r="Q62"/>
  <c r="U62" s="1"/>
  <c r="W62" s="1"/>
  <c r="Q60" i="60"/>
  <c r="H182" i="62" s="1"/>
  <c r="Q60" i="120"/>
  <c r="U60" s="1"/>
  <c r="W60" s="1"/>
  <c r="AS88" i="10"/>
  <c r="AU88" s="1"/>
  <c r="AA57" i="60" s="1"/>
  <c r="Y55"/>
  <c r="I177" i="62" s="1"/>
  <c r="Y55" i="120"/>
  <c r="AS82" i="10"/>
  <c r="AU82" s="1"/>
  <c r="Y51" i="120"/>
  <c r="Q15" i="114"/>
  <c r="I70" i="69" s="1"/>
  <c r="AU56" i="24"/>
  <c r="S19" i="114" s="1"/>
  <c r="I106" i="69" s="1"/>
  <c r="Q19" i="114"/>
  <c r="I74" i="69" s="1"/>
  <c r="AU57" i="24"/>
  <c r="S20" i="114" s="1"/>
  <c r="I107" i="69" s="1"/>
  <c r="Q20" i="114"/>
  <c r="I75" i="69" s="1"/>
  <c r="Q21" i="114"/>
  <c r="I76" i="69" s="1"/>
  <c r="Q6" i="115"/>
  <c r="AF6" i="119" s="1"/>
  <c r="Q8" i="115"/>
  <c r="AF8" i="119" s="1"/>
  <c r="Q10" i="115"/>
  <c r="AF10" i="119" s="1"/>
  <c r="Q12" i="115"/>
  <c r="AF12" i="119" s="1"/>
  <c r="Q14" i="115"/>
  <c r="Q15"/>
  <c r="Q16"/>
  <c r="Q18"/>
  <c r="AF18" i="119" s="1"/>
  <c r="Q20" i="115"/>
  <c r="AF19" i="119" s="1"/>
  <c r="Q21" i="115"/>
  <c r="AF20" i="119" s="1"/>
  <c r="AU94" i="24"/>
  <c r="S22" i="115" s="1"/>
  <c r="AG21" i="119" s="1"/>
  <c r="Y68" i="120"/>
  <c r="Y69"/>
  <c r="Y67"/>
  <c r="AN52" i="24"/>
  <c r="H102" i="69" s="1"/>
  <c r="H70"/>
  <c r="AN56" i="24"/>
  <c r="H106" i="69" s="1"/>
  <c r="H74"/>
  <c r="AN57" i="24"/>
  <c r="H107" i="69" s="1"/>
  <c r="H75"/>
  <c r="H76"/>
  <c r="AN82" i="24"/>
  <c r="AN84"/>
  <c r="AN86"/>
  <c r="AN87"/>
  <c r="AN88"/>
  <c r="Y70" i="120"/>
  <c r="I191" i="62"/>
  <c r="Y71" i="120"/>
  <c r="Y73"/>
  <c r="AL82" i="24"/>
  <c r="U34" i="74" s="1"/>
  <c r="AL84" i="24"/>
  <c r="U35" i="74" s="1"/>
  <c r="AL86" i="24"/>
  <c r="U36" i="74" s="1"/>
  <c r="AL88" i="24"/>
  <c r="U38" i="74" s="1"/>
  <c r="AL90" i="24"/>
  <c r="U40" i="74" s="1"/>
  <c r="AL92" i="24"/>
  <c r="U41" i="74" s="1"/>
  <c r="AL93" i="24"/>
  <c r="U42" i="74" s="1"/>
  <c r="U43"/>
  <c r="AS82" i="24"/>
  <c r="X34" i="74" s="1"/>
  <c r="AS84" i="24"/>
  <c r="X35" i="74" s="1"/>
  <c r="AS86" i="24"/>
  <c r="X36" i="74" s="1"/>
  <c r="AS88" i="24"/>
  <c r="X38" i="74" s="1"/>
  <c r="AS90" i="24"/>
  <c r="X40" i="74" s="1"/>
  <c r="AS92" i="24"/>
  <c r="X41" i="74" s="1"/>
  <c r="AS93" i="24"/>
  <c r="X42" i="74" s="1"/>
  <c r="X43"/>
  <c r="AR87" i="10"/>
  <c r="V42" i="74"/>
  <c r="AJ42" s="1"/>
  <c r="AV42" s="1"/>
  <c r="Q49" i="60"/>
  <c r="H170" i="62" s="1"/>
  <c r="AL59" i="24"/>
  <c r="AN59" s="1"/>
  <c r="AS59"/>
  <c r="S22" i="114" s="1"/>
  <c r="AK14" i="10"/>
  <c r="AL14" s="1"/>
  <c r="AN14" s="1"/>
  <c r="AR12"/>
  <c r="AS12" s="1"/>
  <c r="AU12" s="1"/>
  <c r="AK12"/>
  <c r="AL12" s="1"/>
  <c r="AN12" s="1"/>
  <c r="AR14"/>
  <c r="AS14" s="1"/>
  <c r="AU14" s="1"/>
  <c r="AL57" i="24"/>
  <c r="V28" i="74" s="1"/>
  <c r="AJ28" s="1"/>
  <c r="AV28" s="1"/>
  <c r="AL52" i="24"/>
  <c r="V23" i="74" s="1"/>
  <c r="AJ23" s="1"/>
  <c r="AV23" s="1"/>
  <c r="AL56" i="24"/>
  <c r="V27" i="74" s="1"/>
  <c r="AJ27" s="1"/>
  <c r="AV27" s="1"/>
  <c r="V29"/>
  <c r="AJ29" s="1"/>
  <c r="AV29" s="1"/>
  <c r="T38"/>
  <c r="AI38" s="1"/>
  <c r="AU38" s="1"/>
  <c r="T43"/>
  <c r="AI43" s="1"/>
  <c r="AU43" s="1"/>
  <c r="AS57" i="24"/>
  <c r="X28" i="74" s="1"/>
  <c r="AS52" i="24"/>
  <c r="X23" i="74" s="1"/>
  <c r="AS56" i="24"/>
  <c r="X27" i="74" s="1"/>
  <c r="X29"/>
  <c r="F104" i="69"/>
  <c r="AA54" i="58"/>
  <c r="AK80" i="24"/>
  <c r="AK78"/>
  <c r="AR55"/>
  <c r="AK55"/>
  <c r="I187" i="62"/>
  <c r="I189"/>
  <c r="I188"/>
  <c r="I194"/>
  <c r="AS78" i="24"/>
  <c r="X32" i="74" s="1"/>
  <c r="AS80" i="24"/>
  <c r="X33" i="74" s="1"/>
  <c r="Y62" i="60"/>
  <c r="I184" i="62" s="1"/>
  <c r="I190"/>
  <c r="I193"/>
  <c r="Y61" i="60"/>
  <c r="I183" i="62" s="1"/>
  <c r="Y59" i="60"/>
  <c r="I181" i="62" s="1"/>
  <c r="Y60" i="60"/>
  <c r="I182" i="62" s="1"/>
  <c r="S57" i="46"/>
  <c r="Q57"/>
  <c r="H14" i="62" s="1"/>
  <c r="AA56" i="46"/>
  <c r="I45" i="62" s="1"/>
  <c r="Y56" i="46"/>
  <c r="I13" i="62" s="1"/>
  <c r="S46" i="46"/>
  <c r="S47" s="1"/>
  <c r="S48" s="1"/>
  <c r="Q46"/>
  <c r="H5" i="62" s="1"/>
  <c r="AA58" i="46"/>
  <c r="Y58"/>
  <c r="I15" i="62" s="1"/>
  <c r="S60" i="46"/>
  <c r="Q60"/>
  <c r="H17" i="62" s="1"/>
  <c r="S61" i="46"/>
  <c r="Q61"/>
  <c r="H18" i="62" s="1"/>
  <c r="AA62" i="46"/>
  <c r="Y62"/>
  <c r="I19" i="62" s="1"/>
  <c r="S56" i="46"/>
  <c r="H45" i="62" s="1"/>
  <c r="Q56" i="46"/>
  <c r="H13" i="62" s="1"/>
  <c r="AA46" i="46"/>
  <c r="AA47" s="1"/>
  <c r="AA48" s="1"/>
  <c r="Y46"/>
  <c r="I5" i="62" s="1"/>
  <c r="S62" i="46"/>
  <c r="Q62"/>
  <c r="H19" i="62" s="1"/>
  <c r="Y63" i="46"/>
  <c r="I20" i="62" s="1"/>
  <c r="S49" i="46"/>
  <c r="S50" s="1"/>
  <c r="S51" s="1"/>
  <c r="Q49"/>
  <c r="H7" i="62" s="1"/>
  <c r="S63" i="46"/>
  <c r="Q63"/>
  <c r="H20" i="62" s="1"/>
  <c r="S58" i="46"/>
  <c r="Q58"/>
  <c r="H15" i="62" s="1"/>
  <c r="AA57" i="46"/>
  <c r="Y57"/>
  <c r="I14" i="62" s="1"/>
  <c r="AA49" i="46"/>
  <c r="AA50" s="1"/>
  <c r="AA51" s="1"/>
  <c r="Y49"/>
  <c r="I7" i="62" s="1"/>
  <c r="AA60" i="46"/>
  <c r="Y60"/>
  <c r="I17" i="62" s="1"/>
  <c r="AA61" i="46"/>
  <c r="Y61"/>
  <c r="I18" i="62" s="1"/>
  <c r="AL87" i="24"/>
  <c r="V37" i="74" s="1"/>
  <c r="AJ37" s="1"/>
  <c r="AV37" s="1"/>
  <c r="T41"/>
  <c r="AI41" s="1"/>
  <c r="AU41" s="1"/>
  <c r="T36"/>
  <c r="AI36" s="1"/>
  <c r="AU36" s="1"/>
  <c r="AS87" i="24"/>
  <c r="X37" i="74" s="1"/>
  <c r="T40"/>
  <c r="AI40" s="1"/>
  <c r="AU40" s="1"/>
  <c r="T42"/>
  <c r="AI42" s="1"/>
  <c r="AU42" s="1"/>
  <c r="Q51" i="60"/>
  <c r="H173" i="62" s="1"/>
  <c r="Y51" i="60"/>
  <c r="Y49"/>
  <c r="Q47"/>
  <c r="H167" i="62" s="1"/>
  <c r="Q53" i="60"/>
  <c r="H175" i="62" s="1"/>
  <c r="Y47" i="60"/>
  <c r="Y53"/>
  <c r="AL93" i="10"/>
  <c r="AN93" s="1"/>
  <c r="S52" i="121" s="1"/>
  <c r="AL86" i="10"/>
  <c r="AN86" s="1"/>
  <c r="S50" i="121"/>
  <c r="AL92" i="10"/>
  <c r="AN92" s="1"/>
  <c r="S51" i="121" s="1"/>
  <c r="AS86" i="10"/>
  <c r="AU86" s="1"/>
  <c r="AS92"/>
  <c r="AU92" s="1"/>
  <c r="AS93"/>
  <c r="AU93" s="1"/>
  <c r="S59" i="58"/>
  <c r="Q59"/>
  <c r="H74" i="62" s="1"/>
  <c r="AA53" i="58"/>
  <c r="Y53"/>
  <c r="I68" i="62" s="1"/>
  <c r="S56" i="58"/>
  <c r="Q56"/>
  <c r="H71" i="62" s="1"/>
  <c r="S50" i="58"/>
  <c r="S51" s="1"/>
  <c r="Q50"/>
  <c r="H65" i="62" s="1"/>
  <c r="AA44" i="58"/>
  <c r="AA45" s="1"/>
  <c r="Y44"/>
  <c r="I57" i="62" s="1"/>
  <c r="S53" i="58"/>
  <c r="Q53"/>
  <c r="H68" i="62" s="1"/>
  <c r="S46" i="58"/>
  <c r="S47" s="1"/>
  <c r="Q46"/>
  <c r="H60" i="62" s="1"/>
  <c r="AA52" i="58"/>
  <c r="Y52"/>
  <c r="I67" i="62" s="1"/>
  <c r="S44" i="58"/>
  <c r="S45" s="1"/>
  <c r="Q44"/>
  <c r="H57" i="62" s="1"/>
  <c r="S48" i="58"/>
  <c r="S49" s="1"/>
  <c r="Q48"/>
  <c r="H63" i="62" s="1"/>
  <c r="AA46" i="58"/>
  <c r="AA47" s="1"/>
  <c r="Y46"/>
  <c r="I60" i="62" s="1"/>
  <c r="AA56" i="58"/>
  <c r="Y56"/>
  <c r="I71" i="62" s="1"/>
  <c r="AA57" i="58"/>
  <c r="Y57"/>
  <c r="I72" i="62" s="1"/>
  <c r="AA58" i="58"/>
  <c r="Y58"/>
  <c r="I73" i="62" s="1"/>
  <c r="AA48" i="58"/>
  <c r="AA49" s="1"/>
  <c r="Y48"/>
  <c r="I63" i="62" s="1"/>
  <c r="S57" i="58"/>
  <c r="Q57"/>
  <c r="H72" i="62" s="1"/>
  <c r="S52" i="58"/>
  <c r="Q52"/>
  <c r="H67" i="62" s="1"/>
  <c r="AA50" i="58"/>
  <c r="AA51" s="1"/>
  <c r="Y50"/>
  <c r="I65" i="62" s="1"/>
  <c r="S58" i="58"/>
  <c r="Q58"/>
  <c r="H73" i="62" s="1"/>
  <c r="AA59" i="58"/>
  <c r="Y59"/>
  <c r="I74" i="62" s="1"/>
  <c r="AU88" i="24" l="1"/>
  <c r="S16" i="115" s="1"/>
  <c r="AU87" i="24"/>
  <c r="S15" i="115" s="1"/>
  <c r="AU86" i="24"/>
  <c r="S14" i="115" s="1"/>
  <c r="AU84" i="24"/>
  <c r="AU82"/>
  <c r="S10" i="115" s="1"/>
  <c r="AG10" i="119" s="1"/>
  <c r="AU80" i="24"/>
  <c r="AU78"/>
  <c r="AU52"/>
  <c r="S15" i="114" s="1"/>
  <c r="I102" i="69" s="1"/>
  <c r="V41" i="74"/>
  <c r="AJ41" s="1"/>
  <c r="AV41" s="1"/>
  <c r="S54" i="58"/>
  <c r="H103" i="62" s="1"/>
  <c r="AN93" i="24"/>
  <c r="AN90"/>
  <c r="H158" i="69" s="1"/>
  <c r="AU93" i="24"/>
  <c r="S21" i="115" s="1"/>
  <c r="AG20" i="119" s="1"/>
  <c r="AU90" i="24"/>
  <c r="S18" i="115" s="1"/>
  <c r="AG18" i="119" s="1"/>
  <c r="AN92" i="24"/>
  <c r="AU92"/>
  <c r="S20" i="115" s="1"/>
  <c r="AG19" i="119" s="1"/>
  <c r="Y60" i="58"/>
  <c r="Q60"/>
  <c r="AS24" i="10"/>
  <c r="AU24" s="1"/>
  <c r="AA64" i="46" s="1"/>
  <c r="Y64"/>
  <c r="AL24" i="10"/>
  <c r="AN24" s="1"/>
  <c r="S64" i="46" s="1"/>
  <c r="Q64"/>
  <c r="AN94" i="24"/>
  <c r="H161" i="69" s="1"/>
  <c r="Q22" i="115"/>
  <c r="AF21" i="119" s="1"/>
  <c r="O63" i="7"/>
  <c r="N63"/>
  <c r="AU58" i="24"/>
  <c r="S21" i="114" s="1"/>
  <c r="I108" i="69" s="1"/>
  <c r="AN58" i="24"/>
  <c r="H108" i="69" s="1"/>
  <c r="Q53" i="121"/>
  <c r="U53" s="1"/>
  <c r="W53" s="1"/>
  <c r="Y53"/>
  <c r="AC53" s="1"/>
  <c r="AE53" s="1"/>
  <c r="AA60" i="120"/>
  <c r="AA51" i="121"/>
  <c r="AA51" i="120"/>
  <c r="AA52" s="1"/>
  <c r="AA43" i="121"/>
  <c r="AA44" s="1"/>
  <c r="S62" i="120"/>
  <c r="S53" i="121"/>
  <c r="S49" i="60"/>
  <c r="S50" s="1"/>
  <c r="H205" i="62" s="1"/>
  <c r="S41" i="121"/>
  <c r="S42" s="1"/>
  <c r="S53" i="120"/>
  <c r="S54" s="1"/>
  <c r="S45" i="121"/>
  <c r="S46" s="1"/>
  <c r="S47" i="60"/>
  <c r="S48" s="1"/>
  <c r="H202" i="62" s="1"/>
  <c r="S39" i="121"/>
  <c r="S40" s="1"/>
  <c r="AA62" i="120"/>
  <c r="AA53" i="121"/>
  <c r="AA53" i="120"/>
  <c r="AA54" s="1"/>
  <c r="AA45" i="121"/>
  <c r="AA46" s="1"/>
  <c r="S51" i="120"/>
  <c r="S52" s="1"/>
  <c r="S43" i="121"/>
  <c r="S44" s="1"/>
  <c r="AA61" i="120"/>
  <c r="AA52" i="121"/>
  <c r="AA59" i="120"/>
  <c r="AA50" i="121"/>
  <c r="S53" i="60"/>
  <c r="S54" s="1"/>
  <c r="H210" i="62" s="1"/>
  <c r="V35" i="74"/>
  <c r="AJ35" s="1"/>
  <c r="AV35" s="1"/>
  <c r="C26" i="102"/>
  <c r="N38" i="7"/>
  <c r="C32" i="102"/>
  <c r="N47" i="7"/>
  <c r="C33" i="102"/>
  <c r="N49" i="7"/>
  <c r="O38"/>
  <c r="S62" i="60"/>
  <c r="H218" i="62" s="1"/>
  <c r="V34" i="74"/>
  <c r="AJ34" s="1"/>
  <c r="AV34" s="1"/>
  <c r="V36"/>
  <c r="AJ36" s="1"/>
  <c r="AV36" s="1"/>
  <c r="V40"/>
  <c r="AJ40" s="1"/>
  <c r="AV40" s="1"/>
  <c r="V38"/>
  <c r="AJ38" s="1"/>
  <c r="AV38" s="1"/>
  <c r="S49" i="120"/>
  <c r="S50" s="1"/>
  <c r="AN81" i="10"/>
  <c r="AA49" i="120"/>
  <c r="AA50" s="1"/>
  <c r="AU81" i="10"/>
  <c r="S47" i="120"/>
  <c r="S48" s="1"/>
  <c r="AN79" i="10"/>
  <c r="AA47" i="120"/>
  <c r="AA48" s="1"/>
  <c r="AU79" i="10"/>
  <c r="AB12" i="119"/>
  <c r="AN85" i="24"/>
  <c r="S12" i="115"/>
  <c r="AG12" i="119" s="1"/>
  <c r="AU85" i="24"/>
  <c r="AB10" i="119"/>
  <c r="AN83" i="24"/>
  <c r="AU83"/>
  <c r="S8" i="115"/>
  <c r="AG8" i="119" s="1"/>
  <c r="AU81" i="24"/>
  <c r="S6" i="115"/>
  <c r="AG6" i="119" s="1"/>
  <c r="AU79" i="24"/>
  <c r="AA52" i="46"/>
  <c r="AA53" s="1"/>
  <c r="I42" i="62" s="1"/>
  <c r="AU13" i="10"/>
  <c r="S52" i="46"/>
  <c r="S53" s="1"/>
  <c r="H42" i="62" s="1"/>
  <c r="AN13" i="10"/>
  <c r="AA54" i="46"/>
  <c r="AA55" s="1"/>
  <c r="AU15" i="10"/>
  <c r="S54" i="46"/>
  <c r="S55" s="1"/>
  <c r="AN15" i="10"/>
  <c r="AB21" i="119"/>
  <c r="H128" i="69"/>
  <c r="AA20" i="119"/>
  <c r="H159" i="69"/>
  <c r="AB19" i="119"/>
  <c r="H126" i="69"/>
  <c r="AA18" i="119"/>
  <c r="H156" i="69"/>
  <c r="AB16" i="119"/>
  <c r="H155" i="69"/>
  <c r="AB15" i="119"/>
  <c r="H154" i="69"/>
  <c r="AB14" i="119"/>
  <c r="I156" i="69"/>
  <c r="AG16" i="119"/>
  <c r="I155" i="69"/>
  <c r="AG15" i="119"/>
  <c r="I154" i="69"/>
  <c r="AG14" i="119"/>
  <c r="H129" i="69"/>
  <c r="AA21" i="119"/>
  <c r="H160" i="69"/>
  <c r="AB20" i="119"/>
  <c r="H127" i="69"/>
  <c r="AA19" i="119"/>
  <c r="AB18"/>
  <c r="H124" i="69"/>
  <c r="AA16" i="119"/>
  <c r="H123" i="69"/>
  <c r="AA15" i="119"/>
  <c r="H122" i="69"/>
  <c r="AA14" i="119"/>
  <c r="H120" i="69"/>
  <c r="AA12" i="119"/>
  <c r="H118" i="69"/>
  <c r="AA10" i="119"/>
  <c r="I124" i="69"/>
  <c r="AF16" i="119"/>
  <c r="I123" i="69"/>
  <c r="AF15" i="119"/>
  <c r="I122" i="69"/>
  <c r="AF14" i="119"/>
  <c r="S51" i="60"/>
  <c r="S52" s="1"/>
  <c r="H208" i="62" s="1"/>
  <c r="AS87" i="10"/>
  <c r="AU87" s="1"/>
  <c r="Y56" i="120"/>
  <c r="AL87" i="10"/>
  <c r="AN87" s="1"/>
  <c r="Q56" i="120"/>
  <c r="S55" i="60"/>
  <c r="H211" i="62" s="1"/>
  <c r="S55" i="120"/>
  <c r="AN55" i="24"/>
  <c r="H105" i="69" s="1"/>
  <c r="H73"/>
  <c r="AN78" i="24"/>
  <c r="AN80"/>
  <c r="I161" i="69"/>
  <c r="I128"/>
  <c r="I126"/>
  <c r="I114"/>
  <c r="S60" i="60"/>
  <c r="H216" i="62" s="1"/>
  <c r="S60" i="120"/>
  <c r="AA55" i="60"/>
  <c r="I211" i="62" s="1"/>
  <c r="AA55" i="120"/>
  <c r="S59" i="60"/>
  <c r="H215" i="62" s="1"/>
  <c r="S59" i="120"/>
  <c r="S61" i="60"/>
  <c r="H217" i="62" s="1"/>
  <c r="S61" i="120"/>
  <c r="Q18" i="114"/>
  <c r="I73" i="69" s="1"/>
  <c r="I160"/>
  <c r="I127"/>
  <c r="I158"/>
  <c r="I120"/>
  <c r="I118"/>
  <c r="I116"/>
  <c r="T29" i="74"/>
  <c r="AI29" s="1"/>
  <c r="AU29" s="1"/>
  <c r="U29"/>
  <c r="T23"/>
  <c r="AI23" s="1"/>
  <c r="AU23" s="1"/>
  <c r="U23"/>
  <c r="T37"/>
  <c r="AI37" s="1"/>
  <c r="AU37" s="1"/>
  <c r="U37"/>
  <c r="T27"/>
  <c r="AI27" s="1"/>
  <c r="AU27" s="1"/>
  <c r="U27"/>
  <c r="T28"/>
  <c r="AI28" s="1"/>
  <c r="AU28" s="1"/>
  <c r="U28"/>
  <c r="Y54" i="46"/>
  <c r="I11" i="62" s="1"/>
  <c r="Y56" i="60"/>
  <c r="I178" i="62" s="1"/>
  <c r="Q54" i="46"/>
  <c r="H11" i="62" s="1"/>
  <c r="Q56" i="60"/>
  <c r="H178" i="62" s="1"/>
  <c r="Y52" i="46"/>
  <c r="I9" i="62" s="1"/>
  <c r="T34" i="74"/>
  <c r="AI34" s="1"/>
  <c r="AU34" s="1"/>
  <c r="V43"/>
  <c r="AJ43" s="1"/>
  <c r="AV43" s="1"/>
  <c r="W40"/>
  <c r="AK40" s="1"/>
  <c r="AW40" s="1"/>
  <c r="W29"/>
  <c r="AK29" s="1"/>
  <c r="AW29" s="1"/>
  <c r="W38"/>
  <c r="AK38" s="1"/>
  <c r="AW38" s="1"/>
  <c r="W28"/>
  <c r="AK28" s="1"/>
  <c r="AW28" s="1"/>
  <c r="W36"/>
  <c r="AK36" s="1"/>
  <c r="AW36" s="1"/>
  <c r="W41"/>
  <c r="AK41" s="1"/>
  <c r="AW41" s="1"/>
  <c r="W42"/>
  <c r="AK42" s="1"/>
  <c r="AW42" s="1"/>
  <c r="W23"/>
  <c r="AK23" s="1"/>
  <c r="AW23" s="1"/>
  <c r="W37"/>
  <c r="AK37" s="1"/>
  <c r="AW37" s="1"/>
  <c r="W27"/>
  <c r="AK27" s="1"/>
  <c r="AW27" s="1"/>
  <c r="Q52" i="46"/>
  <c r="H9" i="62" s="1"/>
  <c r="W33" i="74"/>
  <c r="AK33" s="1"/>
  <c r="AW33" s="1"/>
  <c r="W32"/>
  <c r="AK32" s="1"/>
  <c r="AW32" s="1"/>
  <c r="T35"/>
  <c r="AI35" s="1"/>
  <c r="AU35" s="1"/>
  <c r="AS55" i="24"/>
  <c r="X26" i="74" s="1"/>
  <c r="AL55" i="24"/>
  <c r="V26" i="74" s="1"/>
  <c r="AJ26" s="1"/>
  <c r="AV26" s="1"/>
  <c r="AL80" i="24"/>
  <c r="U33" i="74" s="1"/>
  <c r="AL78" i="24"/>
  <c r="U32" i="74" s="1"/>
  <c r="Y54" i="58"/>
  <c r="I69" i="62" s="1"/>
  <c r="Q54" i="58"/>
  <c r="H69" i="62" s="1"/>
  <c r="H97"/>
  <c r="H98"/>
  <c r="H99"/>
  <c r="H100"/>
  <c r="H94"/>
  <c r="I91"/>
  <c r="I99"/>
  <c r="I100"/>
  <c r="I97"/>
  <c r="I98"/>
  <c r="I94"/>
  <c r="H91"/>
  <c r="Q62" i="60"/>
  <c r="H184" i="62" s="1"/>
  <c r="I39"/>
  <c r="I40"/>
  <c r="H39"/>
  <c r="H40"/>
  <c r="I37"/>
  <c r="I38"/>
  <c r="H37"/>
  <c r="H38"/>
  <c r="AA49" i="60"/>
  <c r="AA50" s="1"/>
  <c r="AA53"/>
  <c r="AA54" s="1"/>
  <c r="AA51"/>
  <c r="AA52" s="1"/>
  <c r="AA59"/>
  <c r="AA61"/>
  <c r="AA60"/>
  <c r="AA62"/>
  <c r="AA47"/>
  <c r="AA48" s="1"/>
  <c r="I167" i="62"/>
  <c r="I170"/>
  <c r="I175"/>
  <c r="I173"/>
  <c r="H213"/>
  <c r="I50"/>
  <c r="H101"/>
  <c r="I103"/>
  <c r="I213"/>
  <c r="I46"/>
  <c r="I101"/>
  <c r="H102"/>
  <c r="H105"/>
  <c r="I102"/>
  <c r="H108"/>
  <c r="H46"/>
  <c r="H107"/>
  <c r="I106"/>
  <c r="H47"/>
  <c r="H51"/>
  <c r="I51"/>
  <c r="I47"/>
  <c r="I108"/>
  <c r="H106"/>
  <c r="I107"/>
  <c r="I105"/>
  <c r="H52"/>
  <c r="I52"/>
  <c r="H50"/>
  <c r="H49"/>
  <c r="I49"/>
  <c r="AU55" i="24" l="1"/>
  <c r="S18" i="114" s="1"/>
  <c r="I105" i="69" s="1"/>
  <c r="I129"/>
  <c r="S13" i="115"/>
  <c r="AG13" i="119" s="1"/>
  <c r="I159" i="69"/>
  <c r="H43" i="62"/>
  <c r="S7" i="115"/>
  <c r="AG7" i="119" s="1"/>
  <c r="H201" i="62"/>
  <c r="H204"/>
  <c r="H209"/>
  <c r="S56" i="60"/>
  <c r="H212" i="62" s="1"/>
  <c r="AA56" i="60"/>
  <c r="I212" i="62" s="1"/>
  <c r="I150" i="69"/>
  <c r="I41" i="62"/>
  <c r="H151" i="69"/>
  <c r="I148"/>
  <c r="S9" i="115"/>
  <c r="AG9" i="119" s="1"/>
  <c r="I152" i="69"/>
  <c r="H153"/>
  <c r="I43" i="62"/>
  <c r="H41"/>
  <c r="H152" i="69"/>
  <c r="H150"/>
  <c r="S11" i="115"/>
  <c r="AG11" i="119" s="1"/>
  <c r="AN81" i="24"/>
  <c r="AN79"/>
  <c r="I146" i="69"/>
  <c r="H116"/>
  <c r="AA8" i="119"/>
  <c r="H114" i="69"/>
  <c r="AA6" i="119"/>
  <c r="S56" i="120"/>
  <c r="H207" i="62"/>
  <c r="AA56" i="120"/>
  <c r="AB6" i="119"/>
  <c r="V32" i="74"/>
  <c r="AJ32" s="1"/>
  <c r="AV32" s="1"/>
  <c r="AB8" i="119"/>
  <c r="V33" i="74"/>
  <c r="AJ33" s="1"/>
  <c r="AV33" s="1"/>
  <c r="I147" i="69"/>
  <c r="I153"/>
  <c r="T26" i="74"/>
  <c r="AI26" s="1"/>
  <c r="AU26" s="1"/>
  <c r="U26"/>
  <c r="I204" i="62"/>
  <c r="I205"/>
  <c r="W26" i="74"/>
  <c r="AK26" s="1"/>
  <c r="AW26" s="1"/>
  <c r="W43"/>
  <c r="AK43" s="1"/>
  <c r="AW43" s="1"/>
  <c r="T32"/>
  <c r="AI32" s="1"/>
  <c r="AU32" s="1"/>
  <c r="T33"/>
  <c r="AI33" s="1"/>
  <c r="AU33" s="1"/>
  <c r="W34"/>
  <c r="AK34" s="1"/>
  <c r="AW34" s="1"/>
  <c r="W35"/>
  <c r="AK35" s="1"/>
  <c r="AW35" s="1"/>
  <c r="I202" i="62"/>
  <c r="I215"/>
  <c r="I216"/>
  <c r="I209"/>
  <c r="I218"/>
  <c r="I201"/>
  <c r="I207"/>
  <c r="I208"/>
  <c r="I217"/>
  <c r="I210"/>
  <c r="H93"/>
  <c r="H92"/>
  <c r="H44"/>
  <c r="I93"/>
  <c r="I92"/>
  <c r="I96"/>
  <c r="I95"/>
  <c r="H96"/>
  <c r="H95"/>
  <c r="I44"/>
  <c r="H206"/>
  <c r="H203"/>
  <c r="I149" i="69" l="1"/>
  <c r="I151"/>
  <c r="AB11" i="119"/>
  <c r="H148" i="69"/>
  <c r="H146"/>
  <c r="AB13" i="119"/>
  <c r="H149" i="69"/>
  <c r="H147"/>
  <c r="I206" i="62"/>
  <c r="I203"/>
  <c r="D30"/>
  <c r="I29" i="46"/>
  <c r="D24" i="62" s="1"/>
  <c r="I30" i="46"/>
  <c r="D25" i="62" s="1"/>
  <c r="I31" i="46"/>
  <c r="D26" i="62" s="1"/>
  <c r="I32" i="46"/>
  <c r="D27" i="62" s="1"/>
  <c r="I33" i="46"/>
  <c r="D28" i="62" s="1"/>
  <c r="I34" i="46"/>
  <c r="D29" i="62" s="1"/>
  <c r="I35" i="46"/>
  <c r="I28"/>
  <c r="D23" i="62" s="1"/>
  <c r="K19" i="46"/>
  <c r="AB9" i="119" l="1"/>
  <c r="AB7"/>
  <c r="D48" i="62"/>
  <c r="O78" i="10" l="1"/>
  <c r="P78" s="1"/>
  <c r="H43" i="24"/>
  <c r="I43" s="1"/>
  <c r="J26" i="7" s="1"/>
  <c r="H45" i="24"/>
  <c r="I45" s="1"/>
  <c r="J28" i="7" s="1"/>
  <c r="H47" i="24"/>
  <c r="I47" s="1"/>
  <c r="J30" i="7" s="1"/>
  <c r="H49" i="24"/>
  <c r="I49" s="1"/>
  <c r="J32" i="7" s="1"/>
  <c r="Q6" i="121" l="1"/>
  <c r="Q78" i="10"/>
  <c r="S78" s="1"/>
  <c r="Q6" i="120"/>
  <c r="G18" i="74"/>
  <c r="Z18" s="1"/>
  <c r="AL18" s="1"/>
  <c r="G20"/>
  <c r="Z20" s="1"/>
  <c r="AL20" s="1"/>
  <c r="G19"/>
  <c r="Z19" s="1"/>
  <c r="AL19" s="1"/>
  <c r="G21"/>
  <c r="Z21" s="1"/>
  <c r="AL21" s="1"/>
  <c r="J43" i="24"/>
  <c r="L43" s="1"/>
  <c r="L44" s="1"/>
  <c r="J45"/>
  <c r="L45" s="1"/>
  <c r="L46" s="1"/>
  <c r="J47"/>
  <c r="L47" s="1"/>
  <c r="L48" s="1"/>
  <c r="J49"/>
  <c r="L49" s="1"/>
  <c r="L50" s="1"/>
  <c r="I12" i="54"/>
  <c r="I10"/>
  <c r="I6"/>
  <c r="AC100" i="24"/>
  <c r="AC99"/>
  <c r="V100"/>
  <c r="V99"/>
  <c r="O100"/>
  <c r="P100" s="1"/>
  <c r="O99"/>
  <c r="P99" s="1"/>
  <c r="H50" i="112" s="1"/>
  <c r="AC99" i="10"/>
  <c r="AD125" s="1"/>
  <c r="V100"/>
  <c r="W126" s="1"/>
  <c r="V99"/>
  <c r="W125" s="1"/>
  <c r="O100"/>
  <c r="O99"/>
  <c r="P99" l="1"/>
  <c r="P125"/>
  <c r="P100"/>
  <c r="Q15" i="121" s="1"/>
  <c r="P126" i="10"/>
  <c r="M7" i="117"/>
  <c r="H51" i="112"/>
  <c r="M6" i="117"/>
  <c r="Q99" i="24"/>
  <c r="S99" s="1"/>
  <c r="O6" i="117" s="1"/>
  <c r="P125" i="24"/>
  <c r="S6" i="121"/>
  <c r="S7" s="1"/>
  <c r="Q100" i="24"/>
  <c r="S100" s="1"/>
  <c r="O7" i="117" s="1"/>
  <c r="P126" i="24"/>
  <c r="K72" i="7" s="1"/>
  <c r="Q99" i="10"/>
  <c r="S99" s="1"/>
  <c r="S14" i="121" s="1"/>
  <c r="Q125" i="10"/>
  <c r="AD99" i="24"/>
  <c r="W100"/>
  <c r="I51" i="112" s="1"/>
  <c r="AD100" i="24"/>
  <c r="S6" i="120"/>
  <c r="S7" s="1"/>
  <c r="S79" i="10"/>
  <c r="H21" i="74"/>
  <c r="AA21" s="1"/>
  <c r="AM21" s="1"/>
  <c r="I21"/>
  <c r="H19"/>
  <c r="AA19" s="1"/>
  <c r="AM19" s="1"/>
  <c r="I19"/>
  <c r="H20"/>
  <c r="AA20" s="1"/>
  <c r="AM20" s="1"/>
  <c r="I20"/>
  <c r="H18"/>
  <c r="AA18" s="1"/>
  <c r="AM18" s="1"/>
  <c r="I18"/>
  <c r="AD100" i="10"/>
  <c r="I48" i="121" s="1"/>
  <c r="AD99" i="10"/>
  <c r="I47" i="121" s="1"/>
  <c r="W100" i="10"/>
  <c r="W99"/>
  <c r="AE100" i="24"/>
  <c r="AG100" s="1"/>
  <c r="AG126" s="1"/>
  <c r="W99"/>
  <c r="D67" i="69"/>
  <c r="D65"/>
  <c r="D61"/>
  <c r="I8" i="54"/>
  <c r="K6"/>
  <c r="K10"/>
  <c r="K11" s="1"/>
  <c r="K8"/>
  <c r="K12"/>
  <c r="K13" s="1"/>
  <c r="S6" i="60"/>
  <c r="S7" s="1"/>
  <c r="Q6"/>
  <c r="E167" i="62" s="1"/>
  <c r="Q100" i="10" l="1"/>
  <c r="S100" s="1"/>
  <c r="S15" i="121" s="1"/>
  <c r="Y14"/>
  <c r="Q14"/>
  <c r="W125" i="24"/>
  <c r="L71" i="7" s="1"/>
  <c r="I50" i="112"/>
  <c r="X125" i="24"/>
  <c r="Q125"/>
  <c r="K71" i="7"/>
  <c r="Y15" i="121"/>
  <c r="I7" i="118"/>
  <c r="V24" i="119" s="1"/>
  <c r="AD126" i="24"/>
  <c r="I6" i="118"/>
  <c r="V23" i="119" s="1"/>
  <c r="AD125" i="24"/>
  <c r="S125" i="10"/>
  <c r="Q7" i="117"/>
  <c r="Q24" i="119" s="1"/>
  <c r="W126" i="24"/>
  <c r="L72" i="7" s="1"/>
  <c r="X99" i="10"/>
  <c r="Z99" s="1"/>
  <c r="AA14" i="121" s="1"/>
  <c r="X125" i="10"/>
  <c r="AE99" i="24"/>
  <c r="AG99" s="1"/>
  <c r="K7" i="118"/>
  <c r="W24" i="119" s="1"/>
  <c r="Q6" i="117"/>
  <c r="Q23" i="119" s="1"/>
  <c r="AE99" i="10"/>
  <c r="AG99" s="1"/>
  <c r="AE100"/>
  <c r="AG100" s="1"/>
  <c r="E201" i="62"/>
  <c r="E202"/>
  <c r="X99" i="24"/>
  <c r="Z99" s="1"/>
  <c r="Z125" s="1"/>
  <c r="D63" i="69"/>
  <c r="D95"/>
  <c r="K9" i="54"/>
  <c r="D93" i="69"/>
  <c r="K7" i="54"/>
  <c r="D99" i="69"/>
  <c r="D97"/>
  <c r="X100" i="10"/>
  <c r="Z100" s="1"/>
  <c r="AA15" i="121" s="1"/>
  <c r="S126" i="10" l="1"/>
  <c r="AG125"/>
  <c r="K47" i="121"/>
  <c r="AG126" i="10"/>
  <c r="K48" i="121"/>
  <c r="AE125" i="24"/>
  <c r="M71" i="7"/>
  <c r="AE126" i="24"/>
  <c r="M72" i="7"/>
  <c r="K6" i="118"/>
  <c r="W23" i="119" s="1"/>
  <c r="AG125" i="24"/>
  <c r="Z125" i="10"/>
  <c r="Z126"/>
  <c r="AE126"/>
  <c r="AE125"/>
  <c r="S6" i="117"/>
  <c r="X100" i="24"/>
  <c r="Z100" s="1"/>
  <c r="Z126" s="1"/>
  <c r="D98" i="69"/>
  <c r="D100"/>
  <c r="D96"/>
  <c r="D94"/>
  <c r="E203" i="62"/>
  <c r="H100" i="24"/>
  <c r="I100" s="1"/>
  <c r="H99"/>
  <c r="S7" i="117" l="1"/>
  <c r="I126" i="24"/>
  <c r="J72" i="7" s="1"/>
  <c r="I99" i="24"/>
  <c r="I125" s="1"/>
  <c r="H99" i="10"/>
  <c r="H100"/>
  <c r="I100" s="1"/>
  <c r="Q25" i="61"/>
  <c r="Q19"/>
  <c r="M25"/>
  <c r="M19"/>
  <c r="H47" i="10"/>
  <c r="I47" s="1"/>
  <c r="H49"/>
  <c r="I49" s="1"/>
  <c r="H51"/>
  <c r="I51" s="1"/>
  <c r="H94" i="24"/>
  <c r="I94" s="1"/>
  <c r="J94" s="1"/>
  <c r="H93"/>
  <c r="H92"/>
  <c r="H90"/>
  <c r="H88"/>
  <c r="H87"/>
  <c r="I87" s="1"/>
  <c r="H86"/>
  <c r="H84"/>
  <c r="I84" s="1"/>
  <c r="J53" i="7" s="1"/>
  <c r="H82" i="24"/>
  <c r="I82" s="1"/>
  <c r="J51" i="7" s="1"/>
  <c r="H80" i="24"/>
  <c r="H78"/>
  <c r="AC92"/>
  <c r="AC93"/>
  <c r="AC94"/>
  <c r="V92"/>
  <c r="W92" s="1"/>
  <c r="L61" i="7" s="1"/>
  <c r="V93" i="24"/>
  <c r="W93" s="1"/>
  <c r="L62" i="7" s="1"/>
  <c r="V94" i="24"/>
  <c r="W94" s="1"/>
  <c r="X94" s="1"/>
  <c r="O92"/>
  <c r="P92" s="1"/>
  <c r="K61" i="7" s="1"/>
  <c r="O93" i="24"/>
  <c r="P93" s="1"/>
  <c r="K62" i="7" s="1"/>
  <c r="O94" i="24"/>
  <c r="P94" s="1"/>
  <c r="Q94" s="1"/>
  <c r="AC92" i="10"/>
  <c r="AD92" s="1"/>
  <c r="AC93"/>
  <c r="AC94"/>
  <c r="AD94" s="1"/>
  <c r="V92"/>
  <c r="V93"/>
  <c r="V94"/>
  <c r="X94" s="1"/>
  <c r="Z94" s="1"/>
  <c r="O92"/>
  <c r="O93"/>
  <c r="Q19" i="121" s="1"/>
  <c r="U19" s="1"/>
  <c r="W19" s="1"/>
  <c r="O94" i="10"/>
  <c r="Q94" s="1"/>
  <c r="S94" s="1"/>
  <c r="H92"/>
  <c r="H93"/>
  <c r="H94"/>
  <c r="J94" s="1"/>
  <c r="AC90" i="24"/>
  <c r="AC80"/>
  <c r="AD80" s="1"/>
  <c r="AC82"/>
  <c r="AC84"/>
  <c r="AC86"/>
  <c r="AD86" s="1"/>
  <c r="AC87"/>
  <c r="AD87" s="1"/>
  <c r="AC88"/>
  <c r="AD88" s="1"/>
  <c r="AC78"/>
  <c r="AD78" s="1"/>
  <c r="V90"/>
  <c r="W90" s="1"/>
  <c r="L59" i="7" s="1"/>
  <c r="V80" i="24"/>
  <c r="W80" s="1"/>
  <c r="V82"/>
  <c r="V84"/>
  <c r="W84" s="1"/>
  <c r="L53" i="7" s="1"/>
  <c r="V86" i="24"/>
  <c r="W86" s="1"/>
  <c r="V87"/>
  <c r="W87" s="1"/>
  <c r="I42" i="112" s="1"/>
  <c r="V88" i="24"/>
  <c r="W88" s="1"/>
  <c r="V78"/>
  <c r="W78" s="1"/>
  <c r="O90"/>
  <c r="O80"/>
  <c r="O82"/>
  <c r="P82" s="1"/>
  <c r="K51" i="7" s="1"/>
  <c r="O84" i="24"/>
  <c r="P84" s="1"/>
  <c r="K53" i="7" s="1"/>
  <c r="O86" i="24"/>
  <c r="P86" s="1"/>
  <c r="O87"/>
  <c r="P87" s="1"/>
  <c r="O88"/>
  <c r="P88" s="1"/>
  <c r="O78"/>
  <c r="AC90" i="10"/>
  <c r="AE90" s="1"/>
  <c r="AG90" s="1"/>
  <c r="V90"/>
  <c r="X90" s="1"/>
  <c r="Z90" s="1"/>
  <c r="O90"/>
  <c r="H90"/>
  <c r="AC80"/>
  <c r="I41" i="121" s="1"/>
  <c r="AC82" i="10"/>
  <c r="I43" i="121" s="1"/>
  <c r="AC84" i="10"/>
  <c r="AD84" s="1"/>
  <c r="I45" i="121" s="1"/>
  <c r="AC86" i="10"/>
  <c r="AD86" s="1"/>
  <c r="AC87"/>
  <c r="AD87" s="1"/>
  <c r="AC88"/>
  <c r="I57" i="60" s="1"/>
  <c r="G179" i="62" s="1"/>
  <c r="AC78" i="10"/>
  <c r="I39" i="121" s="1"/>
  <c r="V80" i="10"/>
  <c r="W80" s="1"/>
  <c r="Y8" i="121" s="1"/>
  <c r="V82" i="10"/>
  <c r="W82" s="1"/>
  <c r="Y10" i="121" s="1"/>
  <c r="V84" i="10"/>
  <c r="W84" s="1"/>
  <c r="Y12" i="121" s="1"/>
  <c r="V86" i="10"/>
  <c r="W86" s="1"/>
  <c r="V87"/>
  <c r="W87" s="1"/>
  <c r="V88"/>
  <c r="W88" s="1"/>
  <c r="Y16" i="60" s="1"/>
  <c r="F179" i="62" s="1"/>
  <c r="V78" i="10"/>
  <c r="W78" s="1"/>
  <c r="Y6" i="121" s="1"/>
  <c r="O80" i="10"/>
  <c r="P80" s="1"/>
  <c r="O82"/>
  <c r="P82" s="1"/>
  <c r="O84"/>
  <c r="P84" s="1"/>
  <c r="O86"/>
  <c r="O87"/>
  <c r="P87" s="1"/>
  <c r="O88"/>
  <c r="P88" s="1"/>
  <c r="Q16" i="60" s="1"/>
  <c r="E179" i="62" s="1"/>
  <c r="H80" i="10"/>
  <c r="H82"/>
  <c r="H84"/>
  <c r="H86"/>
  <c r="H87"/>
  <c r="H88"/>
  <c r="I88" s="1"/>
  <c r="I16" i="60" s="1"/>
  <c r="D179" i="62" s="1"/>
  <c r="H78" i="10"/>
  <c r="I37" i="54"/>
  <c r="I66" i="58"/>
  <c r="I28"/>
  <c r="I29" i="54"/>
  <c r="I26" i="58"/>
  <c r="K43" i="7"/>
  <c r="H36" i="112"/>
  <c r="AC59" i="24"/>
  <c r="V59"/>
  <c r="I35" i="112" s="1"/>
  <c r="O59" i="24"/>
  <c r="H59"/>
  <c r="AC58"/>
  <c r="AD58" s="1"/>
  <c r="AE58" s="1"/>
  <c r="V58"/>
  <c r="W58" s="1"/>
  <c r="X58" s="1"/>
  <c r="O58"/>
  <c r="P58" s="1"/>
  <c r="Q58" s="1"/>
  <c r="H58"/>
  <c r="I58" s="1"/>
  <c r="J58" s="1"/>
  <c r="AC57"/>
  <c r="AD57" s="1"/>
  <c r="V57"/>
  <c r="W57" s="1"/>
  <c r="O57"/>
  <c r="P57" s="1"/>
  <c r="H57"/>
  <c r="I57" s="1"/>
  <c r="J40" i="7" s="1"/>
  <c r="AC56" i="24"/>
  <c r="AD56" s="1"/>
  <c r="V56"/>
  <c r="W56" s="1"/>
  <c r="O56"/>
  <c r="P56" s="1"/>
  <c r="H56"/>
  <c r="I56" s="1"/>
  <c r="J39" i="7" s="1"/>
  <c r="AC55" i="24"/>
  <c r="AD55" s="1"/>
  <c r="V55"/>
  <c r="W55" s="1"/>
  <c r="O55"/>
  <c r="P55" s="1"/>
  <c r="H55"/>
  <c r="H53"/>
  <c r="I53" s="1"/>
  <c r="AC52"/>
  <c r="AD52" s="1"/>
  <c r="V52"/>
  <c r="W52" s="1"/>
  <c r="I23" i="112" s="1"/>
  <c r="O52" i="24"/>
  <c r="P52" s="1"/>
  <c r="H23" i="112" s="1"/>
  <c r="H52" i="24"/>
  <c r="I52" s="1"/>
  <c r="J35" i="7" s="1"/>
  <c r="H51" i="24"/>
  <c r="H24"/>
  <c r="H23"/>
  <c r="I23" s="1"/>
  <c r="J23" s="1"/>
  <c r="H22"/>
  <c r="H21"/>
  <c r="I21" s="1"/>
  <c r="J18" i="7" s="1"/>
  <c r="H20" i="24"/>
  <c r="H18"/>
  <c r="I18" s="1"/>
  <c r="H17"/>
  <c r="I17" s="1"/>
  <c r="H16"/>
  <c r="H14"/>
  <c r="H12"/>
  <c r="H9"/>
  <c r="I9" s="1"/>
  <c r="J6" i="7" s="1"/>
  <c r="H6" i="24"/>
  <c r="AC59" i="10"/>
  <c r="V59"/>
  <c r="O59"/>
  <c r="H59"/>
  <c r="H58"/>
  <c r="AC57"/>
  <c r="AD57" s="1"/>
  <c r="AE57" s="1"/>
  <c r="AG57" s="1"/>
  <c r="V57"/>
  <c r="W57" s="1"/>
  <c r="X57" s="1"/>
  <c r="Z57" s="1"/>
  <c r="O57"/>
  <c r="P57" s="1"/>
  <c r="Q57" s="1"/>
  <c r="S57" s="1"/>
  <c r="H57"/>
  <c r="AC56"/>
  <c r="AD56" s="1"/>
  <c r="AE56" s="1"/>
  <c r="AG56" s="1"/>
  <c r="V56"/>
  <c r="W56" s="1"/>
  <c r="X56" s="1"/>
  <c r="Z56" s="1"/>
  <c r="O56"/>
  <c r="P56" s="1"/>
  <c r="Q56" s="1"/>
  <c r="S56" s="1"/>
  <c r="H56"/>
  <c r="AC55"/>
  <c r="AD55" s="1"/>
  <c r="AE55" s="1"/>
  <c r="AG55" s="1"/>
  <c r="V55"/>
  <c r="W55" s="1"/>
  <c r="X55" s="1"/>
  <c r="Z55" s="1"/>
  <c r="O55"/>
  <c r="P55" s="1"/>
  <c r="Q55" s="1"/>
  <c r="S55" s="1"/>
  <c r="H55"/>
  <c r="I55" s="1"/>
  <c r="AC53"/>
  <c r="AD53" s="1"/>
  <c r="V53"/>
  <c r="W53" s="1"/>
  <c r="X53" s="1"/>
  <c r="Z53" s="1"/>
  <c r="O53"/>
  <c r="P53" s="1"/>
  <c r="Q53" s="1"/>
  <c r="S53" s="1"/>
  <c r="H53"/>
  <c r="AC52"/>
  <c r="AD52" s="1"/>
  <c r="AE52" s="1"/>
  <c r="AG52" s="1"/>
  <c r="V52"/>
  <c r="W52" s="1"/>
  <c r="X52" s="1"/>
  <c r="Z52" s="1"/>
  <c r="O52"/>
  <c r="P52" s="1"/>
  <c r="Q52" s="1"/>
  <c r="S52" s="1"/>
  <c r="H52"/>
  <c r="I52" s="1"/>
  <c r="AC51"/>
  <c r="AD51" s="1"/>
  <c r="AE51" s="1"/>
  <c r="AG51" s="1"/>
  <c r="V51"/>
  <c r="W51" s="1"/>
  <c r="X51" s="1"/>
  <c r="Z51" s="1"/>
  <c r="O51"/>
  <c r="P51" s="1"/>
  <c r="Q51" s="1"/>
  <c r="S51" s="1"/>
  <c r="AC49"/>
  <c r="AD49" s="1"/>
  <c r="AE49" s="1"/>
  <c r="AG49" s="1"/>
  <c r="AG50" s="1"/>
  <c r="V49"/>
  <c r="W49" s="1"/>
  <c r="X49" s="1"/>
  <c r="Z49" s="1"/>
  <c r="O49"/>
  <c r="P49" s="1"/>
  <c r="Q49" s="1"/>
  <c r="S49" s="1"/>
  <c r="S50" s="1"/>
  <c r="AC47"/>
  <c r="AE47" s="1"/>
  <c r="AG47" s="1"/>
  <c r="AG48" s="1"/>
  <c r="V47"/>
  <c r="W47" s="1"/>
  <c r="X47" s="1"/>
  <c r="Z47" s="1"/>
  <c r="Z48" s="1"/>
  <c r="O47"/>
  <c r="Q47" s="1"/>
  <c r="S47" s="1"/>
  <c r="S48" s="1"/>
  <c r="AC45"/>
  <c r="AD45" s="1"/>
  <c r="AE45" s="1"/>
  <c r="AG45" s="1"/>
  <c r="AG46" s="1"/>
  <c r="V45"/>
  <c r="W45" s="1"/>
  <c r="X45" s="1"/>
  <c r="Z45" s="1"/>
  <c r="Z46" s="1"/>
  <c r="O45"/>
  <c r="Q45" s="1"/>
  <c r="S45" s="1"/>
  <c r="S46" s="1"/>
  <c r="H45"/>
  <c r="AC43"/>
  <c r="AE43" s="1"/>
  <c r="AG43" s="1"/>
  <c r="AG44" s="1"/>
  <c r="V43"/>
  <c r="X43" s="1"/>
  <c r="Z43" s="1"/>
  <c r="Z44" s="1"/>
  <c r="O43"/>
  <c r="Q43" s="1"/>
  <c r="S43" s="1"/>
  <c r="S44" s="1"/>
  <c r="H43"/>
  <c r="I43" s="1"/>
  <c r="AC24"/>
  <c r="AD24" s="1"/>
  <c r="V24"/>
  <c r="W24" s="1"/>
  <c r="O24"/>
  <c r="P24" s="1"/>
  <c r="AC23"/>
  <c r="AD23" s="1"/>
  <c r="AE23" s="1"/>
  <c r="AG23" s="1"/>
  <c r="V23"/>
  <c r="W23" s="1"/>
  <c r="X23" s="1"/>
  <c r="Z23" s="1"/>
  <c r="O23"/>
  <c r="P23" s="1"/>
  <c r="Q23" s="1"/>
  <c r="S23" s="1"/>
  <c r="AC22"/>
  <c r="AD22" s="1"/>
  <c r="AE22" s="1"/>
  <c r="AG22" s="1"/>
  <c r="V22"/>
  <c r="W22" s="1"/>
  <c r="X22" s="1"/>
  <c r="Z22" s="1"/>
  <c r="O22"/>
  <c r="P22" s="1"/>
  <c r="Q22" s="1"/>
  <c r="S22" s="1"/>
  <c r="H22"/>
  <c r="AC21"/>
  <c r="AD21" s="1"/>
  <c r="V21"/>
  <c r="W21" s="1"/>
  <c r="X21" s="1"/>
  <c r="Z21" s="1"/>
  <c r="O21"/>
  <c r="P21" s="1"/>
  <c r="Q21" s="1"/>
  <c r="S21" s="1"/>
  <c r="H21"/>
  <c r="I21" s="1"/>
  <c r="J21" s="1"/>
  <c r="AC20"/>
  <c r="AD20" s="1"/>
  <c r="AE20" s="1"/>
  <c r="AG20" s="1"/>
  <c r="V20"/>
  <c r="W20" s="1"/>
  <c r="X20" s="1"/>
  <c r="Z20" s="1"/>
  <c r="O20"/>
  <c r="P20" s="1"/>
  <c r="Q20" s="1"/>
  <c r="S20" s="1"/>
  <c r="H20"/>
  <c r="I20" s="1"/>
  <c r="J20" s="1"/>
  <c r="AC18"/>
  <c r="AD18" s="1"/>
  <c r="AE18" s="1"/>
  <c r="AG18" s="1"/>
  <c r="V18"/>
  <c r="W18" s="1"/>
  <c r="X18" s="1"/>
  <c r="Z18" s="1"/>
  <c r="O18"/>
  <c r="P18" s="1"/>
  <c r="Q18" s="1"/>
  <c r="S18" s="1"/>
  <c r="H18"/>
  <c r="AC17"/>
  <c r="AD17" s="1"/>
  <c r="AE17" s="1"/>
  <c r="AG17" s="1"/>
  <c r="V17"/>
  <c r="W17" s="1"/>
  <c r="X17" s="1"/>
  <c r="Z17" s="1"/>
  <c r="O17"/>
  <c r="P17" s="1"/>
  <c r="Q17" s="1"/>
  <c r="S17" s="1"/>
  <c r="H17"/>
  <c r="I17" s="1"/>
  <c r="AC16"/>
  <c r="AD16" s="1"/>
  <c r="V16"/>
  <c r="W16" s="1"/>
  <c r="X16" s="1"/>
  <c r="Z16" s="1"/>
  <c r="O16"/>
  <c r="P16" s="1"/>
  <c r="Q16" s="1"/>
  <c r="S16" s="1"/>
  <c r="H16"/>
  <c r="AC14"/>
  <c r="V14"/>
  <c r="O14"/>
  <c r="H14"/>
  <c r="AC12"/>
  <c r="V12"/>
  <c r="O12"/>
  <c r="P12" s="1"/>
  <c r="H12"/>
  <c r="I12" s="1"/>
  <c r="AC9"/>
  <c r="AD9" s="1"/>
  <c r="AE9" s="1"/>
  <c r="AG9" s="1"/>
  <c r="AG10" s="1"/>
  <c r="AG11" s="1"/>
  <c r="V9"/>
  <c r="W9" s="1"/>
  <c r="X9" s="1"/>
  <c r="Z9" s="1"/>
  <c r="Z10" s="1"/>
  <c r="Z11" s="1"/>
  <c r="O9"/>
  <c r="P9" s="1"/>
  <c r="Q9" s="1"/>
  <c r="S9" s="1"/>
  <c r="S10" s="1"/>
  <c r="S11" s="1"/>
  <c r="H9"/>
  <c r="I9" s="1"/>
  <c r="J9" s="1"/>
  <c r="AC6"/>
  <c r="V6"/>
  <c r="W6" s="1"/>
  <c r="X6" s="1"/>
  <c r="Z6" s="1"/>
  <c r="Z7" s="1"/>
  <c r="Z8" s="1"/>
  <c r="O6"/>
  <c r="P6" s="1"/>
  <c r="Q6" s="1"/>
  <c r="S6" s="1"/>
  <c r="S7" s="1"/>
  <c r="S8" s="1"/>
  <c r="H6"/>
  <c r="I6" s="1"/>
  <c r="J6" s="1"/>
  <c r="Q90" l="1"/>
  <c r="S90" s="1"/>
  <c r="AE53"/>
  <c r="AG53" s="1"/>
  <c r="K22" i="120" s="1"/>
  <c r="I22"/>
  <c r="AE94" i="10"/>
  <c r="AG94" s="1"/>
  <c r="K63" i="120" s="1"/>
  <c r="I63"/>
  <c r="I59" i="10"/>
  <c r="I22" i="58" s="1"/>
  <c r="H42" i="112"/>
  <c r="M15" i="56"/>
  <c r="J56" i="7"/>
  <c r="I15" i="56"/>
  <c r="J21" i="7"/>
  <c r="I6" i="24"/>
  <c r="J3" i="7" s="1"/>
  <c r="I59" i="24"/>
  <c r="H35" i="112" s="1"/>
  <c r="AD94" i="24"/>
  <c r="AE94" s="1"/>
  <c r="I58" i="10"/>
  <c r="S20" i="121"/>
  <c r="I90" i="24"/>
  <c r="L57" i="7"/>
  <c r="I57" i="112"/>
  <c r="L55" i="7"/>
  <c r="I43" i="112"/>
  <c r="L43" i="7"/>
  <c r="I36" i="112"/>
  <c r="I125" i="10"/>
  <c r="I99"/>
  <c r="L63" i="7"/>
  <c r="AA23" i="46"/>
  <c r="I20" i="24"/>
  <c r="J17" i="7" s="1"/>
  <c r="S23" i="46"/>
  <c r="K63"/>
  <c r="J41" i="7"/>
  <c r="I15" i="121"/>
  <c r="I126" i="10"/>
  <c r="J125" i="24"/>
  <c r="J71" i="7"/>
  <c r="J126" i="24"/>
  <c r="Q12" i="121"/>
  <c r="Q8"/>
  <c r="Y14" i="120"/>
  <c r="I60"/>
  <c r="I51" i="121"/>
  <c r="Q10"/>
  <c r="I55" i="120"/>
  <c r="I61"/>
  <c r="I52" i="121"/>
  <c r="Q20" i="120"/>
  <c r="U20" s="1"/>
  <c r="W20" s="1"/>
  <c r="Q18"/>
  <c r="U18" s="1"/>
  <c r="W18" s="1"/>
  <c r="AN126" i="24"/>
  <c r="S125"/>
  <c r="S126"/>
  <c r="J15" i="7"/>
  <c r="G11" i="112"/>
  <c r="K57" i="7"/>
  <c r="H57" i="112"/>
  <c r="K55" i="7"/>
  <c r="H43" i="112"/>
  <c r="J14" i="7"/>
  <c r="G4" i="112"/>
  <c r="I7" i="117"/>
  <c r="G24" i="119" s="1"/>
  <c r="I6" i="117"/>
  <c r="G23" i="119" s="1"/>
  <c r="K35" i="7"/>
  <c r="M35"/>
  <c r="L38"/>
  <c r="L39"/>
  <c r="L40"/>
  <c r="L41"/>
  <c r="J42"/>
  <c r="L42"/>
  <c r="M43"/>
  <c r="M57"/>
  <c r="M55"/>
  <c r="L35"/>
  <c r="K38"/>
  <c r="M38"/>
  <c r="K39"/>
  <c r="M39"/>
  <c r="K40"/>
  <c r="M40"/>
  <c r="K41"/>
  <c r="M41"/>
  <c r="K42"/>
  <c r="I22" i="114"/>
  <c r="M42" i="7"/>
  <c r="G36" i="112"/>
  <c r="J43" i="7"/>
  <c r="K56"/>
  <c r="L47"/>
  <c r="L56"/>
  <c r="L49"/>
  <c r="M47"/>
  <c r="M56"/>
  <c r="M49"/>
  <c r="M63"/>
  <c r="G51" i="112"/>
  <c r="AA12" i="58"/>
  <c r="AA13" s="1"/>
  <c r="Z50" i="10"/>
  <c r="S94" i="24"/>
  <c r="I53" i="10"/>
  <c r="J53" s="1"/>
  <c r="I87"/>
  <c r="I80"/>
  <c r="Q87"/>
  <c r="S87" s="1"/>
  <c r="Q15" i="120"/>
  <c r="Q84" i="10"/>
  <c r="S84" s="1"/>
  <c r="S12" i="121" s="1"/>
  <c r="S13" s="1"/>
  <c r="Q12" i="120"/>
  <c r="Q80" i="10"/>
  <c r="S80" s="1"/>
  <c r="Q8" i="120"/>
  <c r="X88" i="10"/>
  <c r="Z88" s="1"/>
  <c r="AA16" i="60" s="1"/>
  <c r="X82" i="10"/>
  <c r="Z82" s="1"/>
  <c r="AA10" i="121" s="1"/>
  <c r="AA11" s="1"/>
  <c r="Y10" i="120"/>
  <c r="AE78" i="10"/>
  <c r="AG78" s="1"/>
  <c r="K39" i="121" s="1"/>
  <c r="K40" s="1"/>
  <c r="I47" i="120"/>
  <c r="AE87" i="10"/>
  <c r="AG87" s="1"/>
  <c r="I56" i="120"/>
  <c r="AE84" i="10"/>
  <c r="AG84" s="1"/>
  <c r="I53" i="120"/>
  <c r="AE80" i="10"/>
  <c r="AG80" s="1"/>
  <c r="K41" i="121" s="1"/>
  <c r="K42" s="1"/>
  <c r="I49" i="120"/>
  <c r="I93" i="10"/>
  <c r="Q21" i="120"/>
  <c r="U21" s="1"/>
  <c r="W21" s="1"/>
  <c r="I62"/>
  <c r="I86" i="10"/>
  <c r="I82"/>
  <c r="Q88"/>
  <c r="S88" s="1"/>
  <c r="S16" i="60" s="1"/>
  <c r="Q82" i="10"/>
  <c r="S82" s="1"/>
  <c r="S10" i="121" s="1"/>
  <c r="S11" s="1"/>
  <c r="Q10" i="120"/>
  <c r="X78" i="10"/>
  <c r="Z78" s="1"/>
  <c r="Y6" i="120"/>
  <c r="X87" i="10"/>
  <c r="Z87" s="1"/>
  <c r="Y15" i="120"/>
  <c r="X84" i="10"/>
  <c r="Z84" s="1"/>
  <c r="AA12" i="121" s="1"/>
  <c r="AA13" s="1"/>
  <c r="Y12" i="120"/>
  <c r="X80" i="10"/>
  <c r="Z80" s="1"/>
  <c r="Y8" i="120"/>
  <c r="AE88" i="10"/>
  <c r="AG88" s="1"/>
  <c r="K57" i="60" s="1"/>
  <c r="AE82" i="10"/>
  <c r="AG82" s="1"/>
  <c r="I51" i="120"/>
  <c r="J90" i="10"/>
  <c r="I92"/>
  <c r="J92" s="1"/>
  <c r="L92" s="1"/>
  <c r="Y21" i="120"/>
  <c r="AC21" s="1"/>
  <c r="AE21" s="1"/>
  <c r="I12" i="24"/>
  <c r="J12" s="1"/>
  <c r="I16"/>
  <c r="J16" s="1"/>
  <c r="J20" i="7"/>
  <c r="I15" i="114"/>
  <c r="G70" i="69" s="1"/>
  <c r="Z56" i="24"/>
  <c r="P27" i="74" s="1"/>
  <c r="AF27" s="1"/>
  <c r="AR27" s="1"/>
  <c r="Z57" i="24"/>
  <c r="P28" i="74" s="1"/>
  <c r="AF28" s="1"/>
  <c r="AR28" s="1"/>
  <c r="I16" i="115"/>
  <c r="I14"/>
  <c r="I22" i="24"/>
  <c r="J22" s="1"/>
  <c r="L22" s="1"/>
  <c r="I18" i="114"/>
  <c r="G73" i="69" s="1"/>
  <c r="S56" i="24"/>
  <c r="AG56"/>
  <c r="M27" i="102" s="1"/>
  <c r="Q27" s="1"/>
  <c r="I19" i="114"/>
  <c r="G74" i="69" s="1"/>
  <c r="S57" i="24"/>
  <c r="AG57"/>
  <c r="M28" i="102" s="1"/>
  <c r="Q28" s="1"/>
  <c r="I20" i="114"/>
  <c r="G75" i="69" s="1"/>
  <c r="I21" i="114"/>
  <c r="G76" i="69" s="1"/>
  <c r="I6" i="115"/>
  <c r="V6" i="119" s="1"/>
  <c r="I15" i="115"/>
  <c r="I8"/>
  <c r="V8" i="119" s="1"/>
  <c r="AG94" i="24"/>
  <c r="M43" i="102" s="1"/>
  <c r="Q43" s="1"/>
  <c r="I21" i="120"/>
  <c r="M21" s="1"/>
  <c r="O21" s="1"/>
  <c r="I88" i="24"/>
  <c r="G15" i="119"/>
  <c r="G50" i="112"/>
  <c r="AD6" i="10"/>
  <c r="AE6" s="1"/>
  <c r="AG6" s="1"/>
  <c r="I16"/>
  <c r="J16" s="1"/>
  <c r="L16" s="1"/>
  <c r="I18"/>
  <c r="J18" s="1"/>
  <c r="Q84" i="24"/>
  <c r="L35" i="74" s="1"/>
  <c r="X84" i="24"/>
  <c r="O35" i="74" s="1"/>
  <c r="L43"/>
  <c r="Q92" i="24"/>
  <c r="L41" i="74" s="1"/>
  <c r="X93" i="24"/>
  <c r="O42" i="74" s="1"/>
  <c r="G23" i="112"/>
  <c r="I15" i="54"/>
  <c r="AE16" i="10"/>
  <c r="AG16" s="1"/>
  <c r="K56" i="46" s="1"/>
  <c r="G45" i="62" s="1"/>
  <c r="I56" i="46"/>
  <c r="I18" i="61"/>
  <c r="I51" i="24"/>
  <c r="Q88"/>
  <c r="L38" i="74" s="1"/>
  <c r="Q86" i="24"/>
  <c r="L36" i="74" s="1"/>
  <c r="Q82" i="24"/>
  <c r="S82" s="1"/>
  <c r="S83" s="1"/>
  <c r="X88"/>
  <c r="O38" i="74" s="1"/>
  <c r="X86" i="24"/>
  <c r="O36" i="74" s="1"/>
  <c r="X90" i="24"/>
  <c r="O40" i="74" s="1"/>
  <c r="AE88" i="24"/>
  <c r="R38" i="74" s="1"/>
  <c r="AE86" i="24"/>
  <c r="R36" i="74" s="1"/>
  <c r="Q93" i="24"/>
  <c r="L42" i="74" s="1"/>
  <c r="X92" i="24"/>
  <c r="O41" i="74" s="1"/>
  <c r="I86" i="24"/>
  <c r="I6" i="61"/>
  <c r="J100" i="10"/>
  <c r="L100" s="1"/>
  <c r="K15" i="121" s="1"/>
  <c r="G57" i="112"/>
  <c r="J18" i="24"/>
  <c r="L18" s="1"/>
  <c r="J36" i="7"/>
  <c r="I56" i="10"/>
  <c r="J56" s="1"/>
  <c r="I57"/>
  <c r="J57" s="1"/>
  <c r="L57" s="1"/>
  <c r="K20" i="58" s="1"/>
  <c r="J47" i="10"/>
  <c r="L47" s="1"/>
  <c r="L48" s="1"/>
  <c r="J43"/>
  <c r="J45"/>
  <c r="L45" s="1"/>
  <c r="L46" s="1"/>
  <c r="J49"/>
  <c r="L49" s="1"/>
  <c r="AD93" i="24"/>
  <c r="AD82"/>
  <c r="AD90"/>
  <c r="AD84"/>
  <c r="AD92"/>
  <c r="P90"/>
  <c r="K59" i="7" s="1"/>
  <c r="L34" i="74"/>
  <c r="W82" i="24"/>
  <c r="L51" i="7" s="1"/>
  <c r="G10" i="74"/>
  <c r="Z10" s="1"/>
  <c r="AL10" s="1"/>
  <c r="J23"/>
  <c r="AB23" s="1"/>
  <c r="AN23" s="1"/>
  <c r="G27"/>
  <c r="Z27" s="1"/>
  <c r="AL27" s="1"/>
  <c r="M32"/>
  <c r="AD32" s="1"/>
  <c r="AP32" s="1"/>
  <c r="G14"/>
  <c r="Z14" s="1"/>
  <c r="AL14" s="1"/>
  <c r="I10" i="56"/>
  <c r="G10" i="119" s="1"/>
  <c r="P39" i="74"/>
  <c r="AF39" s="1"/>
  <c r="AR39" s="1"/>
  <c r="G13"/>
  <c r="Z13" s="1"/>
  <c r="AL13" s="1"/>
  <c r="M26"/>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G15"/>
  <c r="Z15" s="1"/>
  <c r="AL15" s="1"/>
  <c r="G28"/>
  <c r="Z28" s="1"/>
  <c r="AL28" s="1"/>
  <c r="G29"/>
  <c r="Z29" s="1"/>
  <c r="AL29" s="1"/>
  <c r="J35"/>
  <c r="AB35" s="1"/>
  <c r="AN35" s="1"/>
  <c r="M35"/>
  <c r="AD35" s="1"/>
  <c r="AP35" s="1"/>
  <c r="J9" i="24"/>
  <c r="L9" s="1"/>
  <c r="L10" s="1"/>
  <c r="L11" s="1"/>
  <c r="G9" i="74"/>
  <c r="Z9" s="1"/>
  <c r="AL9" s="1"/>
  <c r="G23"/>
  <c r="Z23" s="1"/>
  <c r="AL23" s="1"/>
  <c r="J36"/>
  <c r="AB36" s="1"/>
  <c r="AN36" s="1"/>
  <c r="M36"/>
  <c r="AD36" s="1"/>
  <c r="AP36" s="1"/>
  <c r="G8"/>
  <c r="Z8" s="1"/>
  <c r="AL8" s="1"/>
  <c r="G22"/>
  <c r="Z22" s="1"/>
  <c r="AL22" s="1"/>
  <c r="G12"/>
  <c r="Z12" s="1"/>
  <c r="AL12" s="1"/>
  <c r="M23"/>
  <c r="AD23" s="1"/>
  <c r="AP23" s="1"/>
  <c r="J26"/>
  <c r="AB26" s="1"/>
  <c r="AN26" s="1"/>
  <c r="J27"/>
  <c r="AB27" s="1"/>
  <c r="AN27" s="1"/>
  <c r="J28"/>
  <c r="AB28" s="1"/>
  <c r="AN28" s="1"/>
  <c r="J29"/>
  <c r="AB29" s="1"/>
  <c r="AN29" s="1"/>
  <c r="J38"/>
  <c r="AB38" s="1"/>
  <c r="AN38" s="1"/>
  <c r="J34"/>
  <c r="AB34" s="1"/>
  <c r="AN34" s="1"/>
  <c r="M38"/>
  <c r="AD38" s="1"/>
  <c r="AP38" s="1"/>
  <c r="J42"/>
  <c r="AB42" s="1"/>
  <c r="AN42" s="1"/>
  <c r="M41"/>
  <c r="AD41" s="1"/>
  <c r="AP41" s="1"/>
  <c r="G36"/>
  <c r="Z36" s="1"/>
  <c r="AL36" s="1"/>
  <c r="J39"/>
  <c r="AB39" s="1"/>
  <c r="AN39" s="1"/>
  <c r="J43"/>
  <c r="AB43" s="1"/>
  <c r="AN43" s="1"/>
  <c r="M42"/>
  <c r="AD42" s="1"/>
  <c r="AP42" s="1"/>
  <c r="I12" i="56"/>
  <c r="G12" i="119" s="1"/>
  <c r="G39" i="74"/>
  <c r="Z39" s="1"/>
  <c r="AL39" s="1"/>
  <c r="M40"/>
  <c r="AD40" s="1"/>
  <c r="AP40" s="1"/>
  <c r="Q18" i="56"/>
  <c r="AE59" i="24"/>
  <c r="K22" i="114" s="1"/>
  <c r="Q12" i="10"/>
  <c r="S12" s="1"/>
  <c r="AD12"/>
  <c r="AE12" s="1"/>
  <c r="AG12" s="1"/>
  <c r="P14"/>
  <c r="Q14" s="1"/>
  <c r="S14" s="1"/>
  <c r="AD14"/>
  <c r="AE14" s="1"/>
  <c r="AG14" s="1"/>
  <c r="J12"/>
  <c r="W12"/>
  <c r="X12" s="1"/>
  <c r="Z12" s="1"/>
  <c r="I14"/>
  <c r="J14" s="1"/>
  <c r="L14" s="1"/>
  <c r="L15" s="1"/>
  <c r="W14"/>
  <c r="X14" s="1"/>
  <c r="Z14" s="1"/>
  <c r="I14" i="24"/>
  <c r="J11" i="7" s="1"/>
  <c r="J99" i="24"/>
  <c r="L99" s="1"/>
  <c r="L125" s="1"/>
  <c r="J100"/>
  <c r="L100" s="1"/>
  <c r="L126" s="1"/>
  <c r="I80"/>
  <c r="J49" i="7" s="1"/>
  <c r="J84" i="24"/>
  <c r="L84" s="1"/>
  <c r="L85" s="1"/>
  <c r="I93"/>
  <c r="J62" i="7" s="1"/>
  <c r="J82" i="24"/>
  <c r="L82" s="1"/>
  <c r="L83" s="1"/>
  <c r="I78"/>
  <c r="J47" i="7" s="1"/>
  <c r="X52" i="24"/>
  <c r="Z52" s="1"/>
  <c r="P23" i="74" s="1"/>
  <c r="AF23" s="1"/>
  <c r="AR23" s="1"/>
  <c r="Q55" i="24"/>
  <c r="S55" s="1"/>
  <c r="Q56"/>
  <c r="Q57"/>
  <c r="S58"/>
  <c r="Q38" i="74"/>
  <c r="AG38" s="1"/>
  <c r="AS38" s="1"/>
  <c r="Q52" i="24"/>
  <c r="S52" s="1"/>
  <c r="Q23" i="54"/>
  <c r="AE52" i="24"/>
  <c r="AG52" s="1"/>
  <c r="M23" i="102" s="1"/>
  <c r="Q23" s="1"/>
  <c r="X55" i="24"/>
  <c r="Z55" s="1"/>
  <c r="P26" i="74" s="1"/>
  <c r="AF26" s="1"/>
  <c r="AR26" s="1"/>
  <c r="X56" i="24"/>
  <c r="X57"/>
  <c r="Z58"/>
  <c r="P29" i="74" s="1"/>
  <c r="AF29" s="1"/>
  <c r="AR29" s="1"/>
  <c r="N38"/>
  <c r="AE38" s="1"/>
  <c r="AQ38" s="1"/>
  <c r="AE55" i="24"/>
  <c r="AG55" s="1"/>
  <c r="M26" i="102" s="1"/>
  <c r="Q26" s="1"/>
  <c r="AE56" i="24"/>
  <c r="AE57"/>
  <c r="AG58"/>
  <c r="M29" i="102" s="1"/>
  <c r="Q29" s="1"/>
  <c r="M23" i="54"/>
  <c r="J21" i="24"/>
  <c r="L21" s="1"/>
  <c r="J20"/>
  <c r="L20" s="1"/>
  <c r="J17"/>
  <c r="J52"/>
  <c r="L52" s="1"/>
  <c r="J51"/>
  <c r="J56"/>
  <c r="L56" s="1"/>
  <c r="J57"/>
  <c r="L57" s="1"/>
  <c r="L58"/>
  <c r="D82" i="69"/>
  <c r="D89"/>
  <c r="F18"/>
  <c r="D90"/>
  <c r="I22" i="10"/>
  <c r="J22" s="1"/>
  <c r="L22" s="1"/>
  <c r="G5" i="74"/>
  <c r="Z5" s="1"/>
  <c r="AL5" s="1"/>
  <c r="P80" i="24"/>
  <c r="J24"/>
  <c r="L24" s="1"/>
  <c r="K24" i="61" s="1"/>
  <c r="I24"/>
  <c r="P78" i="24"/>
  <c r="G4" i="74"/>
  <c r="Z4" s="1"/>
  <c r="AL4" s="1"/>
  <c r="AE21" i="10"/>
  <c r="AG21" s="1"/>
  <c r="I61" i="46"/>
  <c r="G18" i="62" s="1"/>
  <c r="S14" i="58"/>
  <c r="S15"/>
  <c r="S16"/>
  <c r="S21"/>
  <c r="K52"/>
  <c r="K53"/>
  <c r="K59"/>
  <c r="I15"/>
  <c r="D68" i="62" s="1"/>
  <c r="J52" i="10"/>
  <c r="L52" s="1"/>
  <c r="K15" i="58" s="1"/>
  <c r="I55" i="24"/>
  <c r="J38" i="7" s="1"/>
  <c r="I14" i="58"/>
  <c r="D67" i="62" s="1"/>
  <c r="J51" i="10"/>
  <c r="L51" s="1"/>
  <c r="K14" i="58" s="1"/>
  <c r="I21"/>
  <c r="D74" i="62" s="1"/>
  <c r="I53" i="60"/>
  <c r="Q20" i="56"/>
  <c r="I92" i="24"/>
  <c r="J61" i="7" s="1"/>
  <c r="J17" i="10"/>
  <c r="K57" i="46"/>
  <c r="AA16"/>
  <c r="F45" i="62" s="1"/>
  <c r="AA17" i="46"/>
  <c r="S16"/>
  <c r="E45" i="62" s="1"/>
  <c r="S17" i="46"/>
  <c r="L23" i="10"/>
  <c r="S6" i="58"/>
  <c r="S7" s="1"/>
  <c r="E18" i="69"/>
  <c r="I21" i="46"/>
  <c r="D18" i="62" s="1"/>
  <c r="X80" i="24"/>
  <c r="O33" i="74" s="1"/>
  <c r="AE80" i="24"/>
  <c r="R33" i="74" s="1"/>
  <c r="Q19" i="54"/>
  <c r="M19"/>
  <c r="X78" i="24"/>
  <c r="O32" i="74" s="1"/>
  <c r="AE78" i="24"/>
  <c r="R32" i="74" s="1"/>
  <c r="I57" i="58"/>
  <c r="G72" i="62" s="1"/>
  <c r="I58" i="58"/>
  <c r="G73" i="62" s="1"/>
  <c r="I20" i="54"/>
  <c r="I19"/>
  <c r="Q10"/>
  <c r="Q14"/>
  <c r="Q6"/>
  <c r="M8"/>
  <c r="I15" i="60"/>
  <c r="I56"/>
  <c r="I19"/>
  <c r="I60"/>
  <c r="Q18" i="46"/>
  <c r="E15" i="62" s="1"/>
  <c r="Q20" i="60"/>
  <c r="E183" i="62" s="1"/>
  <c r="I61" i="60"/>
  <c r="K58" i="46"/>
  <c r="Y15" i="60"/>
  <c r="I55"/>
  <c r="Y18" i="46"/>
  <c r="F15" i="62" s="1"/>
  <c r="Q15" i="60"/>
  <c r="E178" i="62" s="1"/>
  <c r="Y14" i="60"/>
  <c r="Q18"/>
  <c r="E181" i="62" s="1"/>
  <c r="I21" i="60"/>
  <c r="Q21"/>
  <c r="E184" i="62" s="1"/>
  <c r="Q6" i="56"/>
  <c r="Q8"/>
  <c r="Q6" i="61"/>
  <c r="Q12"/>
  <c r="Q16"/>
  <c r="Q18"/>
  <c r="Q20"/>
  <c r="Q21"/>
  <c r="Q23"/>
  <c r="S24"/>
  <c r="Q24"/>
  <c r="M6"/>
  <c r="M9"/>
  <c r="M12"/>
  <c r="M14"/>
  <c r="M16"/>
  <c r="M17"/>
  <c r="M18"/>
  <c r="M20"/>
  <c r="M21"/>
  <c r="M22"/>
  <c r="M23"/>
  <c r="O24"/>
  <c r="M24"/>
  <c r="Q9"/>
  <c r="Q14"/>
  <c r="Q17"/>
  <c r="Q22"/>
  <c r="I17"/>
  <c r="I20"/>
  <c r="I21"/>
  <c r="Q22" i="54"/>
  <c r="M22"/>
  <c r="K49" i="46"/>
  <c r="K50" s="1"/>
  <c r="K51" s="1"/>
  <c r="I49"/>
  <c r="G7" i="62" s="1"/>
  <c r="AA6" i="46"/>
  <c r="Y6"/>
  <c r="F5" i="62" s="1"/>
  <c r="S6" i="46"/>
  <c r="Q6"/>
  <c r="E5" i="62" s="1"/>
  <c r="S9" i="46"/>
  <c r="Q9"/>
  <c r="E7" i="62" s="1"/>
  <c r="AA9" i="46"/>
  <c r="Y9"/>
  <c r="F7" i="62" s="1"/>
  <c r="M14" i="54"/>
  <c r="M18"/>
  <c r="M20"/>
  <c r="M22" i="56"/>
  <c r="L21" i="119" s="1"/>
  <c r="M6" i="54"/>
  <c r="N36" i="74"/>
  <c r="AE36" s="1"/>
  <c r="AQ36" s="1"/>
  <c r="Q14" i="56"/>
  <c r="Q14" i="119" s="1"/>
  <c r="Q36" i="74"/>
  <c r="AG36" s="1"/>
  <c r="AS36" s="1"/>
  <c r="Q87" i="24"/>
  <c r="S87" s="1"/>
  <c r="L15" i="119"/>
  <c r="X87" i="24"/>
  <c r="Z87" s="1"/>
  <c r="P37" i="74" s="1"/>
  <c r="AF37" s="1"/>
  <c r="AR37" s="1"/>
  <c r="Q15" i="56"/>
  <c r="Q15" i="119" s="1"/>
  <c r="AE87" i="24"/>
  <c r="AG87" s="1"/>
  <c r="M37" i="102" s="1"/>
  <c r="Q37" s="1"/>
  <c r="M20" i="56"/>
  <c r="L19" i="119" s="1"/>
  <c r="J87" i="24"/>
  <c r="L87" s="1"/>
  <c r="M12" i="54"/>
  <c r="M15"/>
  <c r="M16"/>
  <c r="M21"/>
  <c r="N42" i="74"/>
  <c r="AE42" s="1"/>
  <c r="AQ42" s="1"/>
  <c r="Q21" i="56"/>
  <c r="Q8" i="54"/>
  <c r="M14" i="56"/>
  <c r="L14" i="119" s="1"/>
  <c r="M10" i="54"/>
  <c r="Q12"/>
  <c r="Q15"/>
  <c r="Q16"/>
  <c r="Q18"/>
  <c r="Q20"/>
  <c r="Q21"/>
  <c r="M16" i="56"/>
  <c r="L16" i="119" s="1"/>
  <c r="Q16" i="56"/>
  <c r="Q16" i="119" s="1"/>
  <c r="M21" i="56"/>
  <c r="L20" i="119" s="1"/>
  <c r="N41" i="74"/>
  <c r="AE41" s="1"/>
  <c r="AQ41" s="1"/>
  <c r="Q10" i="60"/>
  <c r="E173" i="62" s="1"/>
  <c r="Q12" i="60"/>
  <c r="E175" i="62" s="1"/>
  <c r="Y10" i="60"/>
  <c r="Y12"/>
  <c r="I51"/>
  <c r="AA8" i="58"/>
  <c r="AA9" s="1"/>
  <c r="Y8"/>
  <c r="F60" i="62" s="1"/>
  <c r="D84"/>
  <c r="Q32" i="58"/>
  <c r="E83" i="62" s="1"/>
  <c r="M32" i="54"/>
  <c r="Y30" i="58"/>
  <c r="F81" i="62" s="1"/>
  <c r="Q30" i="54"/>
  <c r="G79" i="62"/>
  <c r="Q37" i="58"/>
  <c r="E88" i="62" s="1"/>
  <c r="M37" i="54"/>
  <c r="I30" i="120"/>
  <c r="I33" i="56"/>
  <c r="Q26" i="60"/>
  <c r="Q23" i="121" s="1"/>
  <c r="M29" i="56"/>
  <c r="Y26" i="60"/>
  <c r="Y23" i="121" s="1"/>
  <c r="Q29" i="56"/>
  <c r="S8" i="58"/>
  <c r="S9" s="1"/>
  <c r="Q8"/>
  <c r="E60" i="62" s="1"/>
  <c r="K50" i="58"/>
  <c r="K51" s="1"/>
  <c r="I50"/>
  <c r="G65" i="62" s="1"/>
  <c r="Q26" i="58"/>
  <c r="E77" i="62" s="1"/>
  <c r="M26" i="54"/>
  <c r="G77" i="62"/>
  <c r="D78"/>
  <c r="I27" i="54"/>
  <c r="Q29" i="58"/>
  <c r="E80" i="62" s="1"/>
  <c r="M29" i="54"/>
  <c r="Y27" i="58"/>
  <c r="F78" i="62" s="1"/>
  <c r="Q27" i="54"/>
  <c r="I67" i="58"/>
  <c r="G80" i="62" s="1"/>
  <c r="Q36" i="58"/>
  <c r="E87" i="62" s="1"/>
  <c r="M36" i="54"/>
  <c r="Y29" i="60"/>
  <c r="Y26" i="121" s="1"/>
  <c r="Q32" i="56"/>
  <c r="S10" i="58"/>
  <c r="S11" s="1"/>
  <c r="Q10"/>
  <c r="E63" i="62" s="1"/>
  <c r="Y12" i="58"/>
  <c r="F65" i="62" s="1"/>
  <c r="D83"/>
  <c r="I32" i="54"/>
  <c r="D79" i="62"/>
  <c r="I28" i="54"/>
  <c r="Q30" i="58"/>
  <c r="E81" i="62" s="1"/>
  <c r="M30" i="54"/>
  <c r="E84" i="62"/>
  <c r="Y32" i="58"/>
  <c r="F83" i="62" s="1"/>
  <c r="Q32" i="54"/>
  <c r="Y28" i="58"/>
  <c r="F79" i="62" s="1"/>
  <c r="Q28" i="54"/>
  <c r="I68" i="58"/>
  <c r="G81" i="62" s="1"/>
  <c r="G84"/>
  <c r="I37" i="58"/>
  <c r="D88" i="62" s="1"/>
  <c r="F88"/>
  <c r="I28" i="60"/>
  <c r="I25" i="121" s="1"/>
  <c r="I31" i="56"/>
  <c r="I29" i="121"/>
  <c r="I35" i="56"/>
  <c r="Q28" i="60"/>
  <c r="Q25" i="121" s="1"/>
  <c r="M31" i="56"/>
  <c r="Q32" i="60"/>
  <c r="Q29" i="121" s="1"/>
  <c r="M35" i="56"/>
  <c r="Y28" i="60"/>
  <c r="Y25" i="121" s="1"/>
  <c r="Q31" i="56"/>
  <c r="Y32" i="60"/>
  <c r="Y29" i="121" s="1"/>
  <c r="Q35" i="56"/>
  <c r="I69" i="60"/>
  <c r="I58" i="121" s="1"/>
  <c r="Q17" i="56"/>
  <c r="Q17" i="119" s="1"/>
  <c r="AA6" i="58"/>
  <c r="AA7" s="1"/>
  <c r="Y6"/>
  <c r="F57" i="62" s="1"/>
  <c r="K48" i="58"/>
  <c r="K49" s="1"/>
  <c r="I48"/>
  <c r="G63" i="62" s="1"/>
  <c r="I30" i="58"/>
  <c r="D81" i="62" s="1"/>
  <c r="I30" i="54"/>
  <c r="Q28" i="58"/>
  <c r="E79" i="62" s="1"/>
  <c r="M28" i="54"/>
  <c r="F84" i="62"/>
  <c r="I70" i="58"/>
  <c r="G83" i="62" s="1"/>
  <c r="I75" i="58"/>
  <c r="G88" i="62" s="1"/>
  <c r="I29" i="56"/>
  <c r="Q30" i="60"/>
  <c r="M33" i="56"/>
  <c r="Y30" i="60"/>
  <c r="Q33" i="56"/>
  <c r="I67" i="60"/>
  <c r="I56" i="121" s="1"/>
  <c r="I71" i="60"/>
  <c r="AA10" i="58"/>
  <c r="AA11" s="1"/>
  <c r="Y10"/>
  <c r="F63" i="62" s="1"/>
  <c r="I31" i="58"/>
  <c r="D82" i="62" s="1"/>
  <c r="I31" i="54"/>
  <c r="Y31" i="58"/>
  <c r="F82" i="62" s="1"/>
  <c r="Q31" i="54"/>
  <c r="G87" i="62"/>
  <c r="I29" i="60"/>
  <c r="I26" i="121" s="1"/>
  <c r="I32" i="56"/>
  <c r="Q29" i="60"/>
  <c r="Q26" i="121" s="1"/>
  <c r="M32" i="56"/>
  <c r="E194" i="62"/>
  <c r="K44" i="58"/>
  <c r="K45" s="1"/>
  <c r="I44"/>
  <c r="G57" i="62" s="1"/>
  <c r="K46" i="58"/>
  <c r="K47" s="1"/>
  <c r="I46"/>
  <c r="G60" i="62" s="1"/>
  <c r="S12" i="58"/>
  <c r="S13" s="1"/>
  <c r="Q12"/>
  <c r="E65" i="62" s="1"/>
  <c r="D77"/>
  <c r="F77"/>
  <c r="Q26" i="54"/>
  <c r="I29" i="58"/>
  <c r="D80" i="62" s="1"/>
  <c r="Q31" i="58"/>
  <c r="E82" i="62" s="1"/>
  <c r="M31" i="54"/>
  <c r="Q27" i="58"/>
  <c r="E78" i="62" s="1"/>
  <c r="M27" i="54"/>
  <c r="Y29" i="58"/>
  <c r="F80" i="62" s="1"/>
  <c r="Q29" i="54"/>
  <c r="I69" i="58"/>
  <c r="G82" i="62" s="1"/>
  <c r="I65" i="58"/>
  <c r="G78" i="62" s="1"/>
  <c r="I36" i="58"/>
  <c r="D87" i="62" s="1"/>
  <c r="Y36" i="58"/>
  <c r="F87" i="62" s="1"/>
  <c r="Q36" i="54"/>
  <c r="I27" i="60"/>
  <c r="I24" i="121" s="1"/>
  <c r="I30" i="56"/>
  <c r="Q27" i="60"/>
  <c r="Q24" i="121" s="1"/>
  <c r="M30" i="56"/>
  <c r="M34"/>
  <c r="Y27" i="60"/>
  <c r="Y24" i="121" s="1"/>
  <c r="Q30" i="56"/>
  <c r="Q34"/>
  <c r="I68" i="60"/>
  <c r="I57" i="121" s="1"/>
  <c r="M17" i="56"/>
  <c r="L17" i="119" s="1"/>
  <c r="I49" i="60"/>
  <c r="Y6"/>
  <c r="L6" i="10"/>
  <c r="L7" s="1"/>
  <c r="L8" s="1"/>
  <c r="L9"/>
  <c r="L10" s="1"/>
  <c r="L11" s="1"/>
  <c r="I9" i="46"/>
  <c r="D7" i="62" s="1"/>
  <c r="L24" i="10"/>
  <c r="K24" i="46" s="1"/>
  <c r="X86" i="10"/>
  <c r="Z86" s="1"/>
  <c r="S17" i="121"/>
  <c r="AE86" i="10"/>
  <c r="AG86" s="1"/>
  <c r="AE92"/>
  <c r="AG92" s="1"/>
  <c r="P86"/>
  <c r="Q93"/>
  <c r="S93" s="1"/>
  <c r="S19" i="121" s="1"/>
  <c r="AE93" i="10"/>
  <c r="AG93" s="1"/>
  <c r="I60" i="46"/>
  <c r="G17" i="62" s="1"/>
  <c r="I62" i="46"/>
  <c r="G19" i="62" s="1"/>
  <c r="Y20" i="58"/>
  <c r="F73" i="62" s="1"/>
  <c r="Y20" i="46"/>
  <c r="F17" i="62" s="1"/>
  <c r="Y21" i="46"/>
  <c r="F18" i="62" s="1"/>
  <c r="Y22" i="46"/>
  <c r="F19" i="62" s="1"/>
  <c r="Q19" i="58"/>
  <c r="E72" i="62" s="1"/>
  <c r="Q20" i="58"/>
  <c r="E73" i="62" s="1"/>
  <c r="Y18" i="58"/>
  <c r="F71" i="62" s="1"/>
  <c r="Q20" i="46"/>
  <c r="E17" i="62" s="1"/>
  <c r="Q22" i="46"/>
  <c r="E19" i="62" s="1"/>
  <c r="J55" i="10"/>
  <c r="P92"/>
  <c r="Q18" i="121" s="1"/>
  <c r="U18" s="1"/>
  <c r="W18" s="1"/>
  <c r="S84" i="24" l="1"/>
  <c r="S85" s="1"/>
  <c r="M52" i="121"/>
  <c r="O52" s="1"/>
  <c r="M51"/>
  <c r="O51" s="1"/>
  <c r="AG88" i="24"/>
  <c r="M38" i="102" s="1"/>
  <c r="Q38" s="1"/>
  <c r="AG86" i="24"/>
  <c r="M36" i="102" s="1"/>
  <c r="Q36" s="1"/>
  <c r="AG80" i="24"/>
  <c r="AG78"/>
  <c r="Z88"/>
  <c r="P38" i="74" s="1"/>
  <c r="AF38" s="1"/>
  <c r="AR38" s="1"/>
  <c r="Z86" i="24"/>
  <c r="P36" i="74" s="1"/>
  <c r="AF36" s="1"/>
  <c r="AR36" s="1"/>
  <c r="Z84" i="24"/>
  <c r="Z85" s="1"/>
  <c r="Z80"/>
  <c r="Z81" s="1"/>
  <c r="Z78"/>
  <c r="Z79" s="1"/>
  <c r="Q17" i="121"/>
  <c r="U17" s="1"/>
  <c r="W17" s="1"/>
  <c r="S88" i="24"/>
  <c r="S86"/>
  <c r="G35" i="112"/>
  <c r="J59" i="7"/>
  <c r="J90" i="24"/>
  <c r="K36" i="74"/>
  <c r="AC36" s="1"/>
  <c r="AO36" s="1"/>
  <c r="K54" i="58"/>
  <c r="P32" i="74"/>
  <c r="AF32" s="1"/>
  <c r="AR32" s="1"/>
  <c r="P33"/>
  <c r="AF33" s="1"/>
  <c r="AR33" s="1"/>
  <c r="R43"/>
  <c r="I22" i="115"/>
  <c r="V21" i="119" s="1"/>
  <c r="I16" i="46"/>
  <c r="D13" i="62" s="1"/>
  <c r="J59" i="10"/>
  <c r="L59" s="1"/>
  <c r="K22" i="58" s="1"/>
  <c r="M62" i="120"/>
  <c r="O62" s="1"/>
  <c r="M61"/>
  <c r="O61" s="1"/>
  <c r="M60"/>
  <c r="O60" s="1"/>
  <c r="S92" i="24"/>
  <c r="S93"/>
  <c r="Z90"/>
  <c r="Z93"/>
  <c r="Z92"/>
  <c r="J58" i="10"/>
  <c r="L58" s="1"/>
  <c r="K21" i="58" s="1"/>
  <c r="D108" i="62" s="1"/>
  <c r="I60" i="58"/>
  <c r="Q24" i="10"/>
  <c r="S24" s="1"/>
  <c r="S24" i="46" s="1"/>
  <c r="Q24"/>
  <c r="Q59" i="10"/>
  <c r="S22" i="58" s="1"/>
  <c r="Q22"/>
  <c r="X24" i="10"/>
  <c r="Z24" s="1"/>
  <c r="AA24" i="46" s="1"/>
  <c r="Y24"/>
  <c r="AA22" i="58"/>
  <c r="Y22"/>
  <c r="K41" i="74"/>
  <c r="AC41" s="1"/>
  <c r="AO41" s="1"/>
  <c r="AE24" i="10"/>
  <c r="AG24" s="1"/>
  <c r="K64" i="46" s="1"/>
  <c r="I64"/>
  <c r="H16" i="112"/>
  <c r="G16"/>
  <c r="Q20" i="121"/>
  <c r="U20" s="1"/>
  <c r="W20" s="1"/>
  <c r="K63" i="7"/>
  <c r="Y20" i="121"/>
  <c r="AC20" s="1"/>
  <c r="AE20" s="1"/>
  <c r="I53"/>
  <c r="I20"/>
  <c r="L94" i="10"/>
  <c r="K21" i="120" s="1"/>
  <c r="J63" i="7"/>
  <c r="O43" i="74"/>
  <c r="I14" i="121"/>
  <c r="Y19" i="120"/>
  <c r="AC19" s="1"/>
  <c r="AE19" s="1"/>
  <c r="Y18" i="121"/>
  <c r="AC18" s="1"/>
  <c r="AE18" s="1"/>
  <c r="Q14" i="120"/>
  <c r="Y18"/>
  <c r="AC18" s="1"/>
  <c r="AE18" s="1"/>
  <c r="Y17" i="121"/>
  <c r="AC17" s="1"/>
  <c r="AE17" s="1"/>
  <c r="I19" i="120"/>
  <c r="M19" s="1"/>
  <c r="O19" s="1"/>
  <c r="I18" i="121"/>
  <c r="I10" i="120"/>
  <c r="I10" i="121"/>
  <c r="I8" i="120"/>
  <c r="I8" i="121"/>
  <c r="I15" i="120"/>
  <c r="I59"/>
  <c r="I50" i="121"/>
  <c r="Y20" i="120"/>
  <c r="AC20" s="1"/>
  <c r="AE20" s="1"/>
  <c r="Y19" i="121"/>
  <c r="AC19" s="1"/>
  <c r="AE19" s="1"/>
  <c r="I18" i="120"/>
  <c r="M18" s="1"/>
  <c r="O18" s="1"/>
  <c r="I17" i="121"/>
  <c r="I14" i="120"/>
  <c r="I20"/>
  <c r="M20" s="1"/>
  <c r="O20" s="1"/>
  <c r="I19" i="121"/>
  <c r="I12" i="120"/>
  <c r="I12" i="121"/>
  <c r="I6" i="120"/>
  <c r="I6" i="121"/>
  <c r="K61" i="120"/>
  <c r="K52" i="121"/>
  <c r="AA14" i="120"/>
  <c r="K60"/>
  <c r="K51" i="121"/>
  <c r="I71" i="120"/>
  <c r="K19"/>
  <c r="K18" i="121"/>
  <c r="K62" i="120"/>
  <c r="K53" i="121"/>
  <c r="K55" i="120"/>
  <c r="Y30"/>
  <c r="AA21"/>
  <c r="AA20" i="121"/>
  <c r="K51" i="120"/>
  <c r="K52" s="1"/>
  <c r="K43" i="121"/>
  <c r="K44" s="1"/>
  <c r="AA8"/>
  <c r="AA9" s="1"/>
  <c r="AA15" i="120"/>
  <c r="AA6" i="121"/>
  <c r="AA7" s="1"/>
  <c r="K53" i="120"/>
  <c r="K54" s="1"/>
  <c r="K45" i="121"/>
  <c r="K46" s="1"/>
  <c r="K56" i="120"/>
  <c r="S8" i="121"/>
  <c r="S9" s="1"/>
  <c r="S15" i="120"/>
  <c r="L126" i="10"/>
  <c r="J86"/>
  <c r="L86" s="1"/>
  <c r="K14" i="60" s="1"/>
  <c r="Q19" i="120"/>
  <c r="U19" s="1"/>
  <c r="W19" s="1"/>
  <c r="I23" i="61"/>
  <c r="K42" i="74"/>
  <c r="AC42" s="1"/>
  <c r="AO42" s="1"/>
  <c r="I22" i="61"/>
  <c r="D21" i="69" s="1"/>
  <c r="K43" i="74"/>
  <c r="AC43" s="1"/>
  <c r="AO43" s="1"/>
  <c r="K38"/>
  <c r="AC38" s="1"/>
  <c r="AO38" s="1"/>
  <c r="S20" i="120"/>
  <c r="S18"/>
  <c r="AA12"/>
  <c r="AA13" s="1"/>
  <c r="S10"/>
  <c r="S11" s="1"/>
  <c r="AA10"/>
  <c r="AA11" s="1"/>
  <c r="S12"/>
  <c r="S13" s="1"/>
  <c r="J13" i="7"/>
  <c r="G5" i="112"/>
  <c r="S21" i="120"/>
  <c r="M61" i="7"/>
  <c r="M59"/>
  <c r="M62"/>
  <c r="G24" i="112"/>
  <c r="J34" i="7"/>
  <c r="K49"/>
  <c r="K47"/>
  <c r="M53"/>
  <c r="M51"/>
  <c r="J86" i="24"/>
  <c r="J55" i="7"/>
  <c r="J57"/>
  <c r="J19"/>
  <c r="I12" i="61"/>
  <c r="D11" i="69" s="1"/>
  <c r="J9" i="7"/>
  <c r="J125" i="10"/>
  <c r="J126"/>
  <c r="K7" i="117"/>
  <c r="H24" i="119" s="1"/>
  <c r="K6" i="117"/>
  <c r="H23" i="119" s="1"/>
  <c r="L23" i="24"/>
  <c r="I15" i="74" s="1"/>
  <c r="L17" i="24"/>
  <c r="I9" i="74" s="1"/>
  <c r="L16" i="24"/>
  <c r="K16" i="61" s="1"/>
  <c r="K12" i="58"/>
  <c r="K13" s="1"/>
  <c r="L50" i="10"/>
  <c r="AA8" i="120"/>
  <c r="AA9" s="1"/>
  <c r="Z81" i="10"/>
  <c r="K49" i="120"/>
  <c r="K50" s="1"/>
  <c r="AG81" i="10"/>
  <c r="S8" i="120"/>
  <c r="S9" s="1"/>
  <c r="S81" i="10"/>
  <c r="AA6" i="120"/>
  <c r="AA7" s="1"/>
  <c r="Z79" i="10"/>
  <c r="K47" i="120"/>
  <c r="K48" s="1"/>
  <c r="AG79" i="10"/>
  <c r="J88" i="24"/>
  <c r="L88" s="1"/>
  <c r="I38" i="74" s="1"/>
  <c r="M33" i="102"/>
  <c r="Q33" s="1"/>
  <c r="AG81" i="24"/>
  <c r="M32" i="102"/>
  <c r="Q32" s="1"/>
  <c r="AG79" i="24"/>
  <c r="S12" i="46"/>
  <c r="E41" i="62" s="1"/>
  <c r="S13" i="10"/>
  <c r="AA12" i="46"/>
  <c r="F41" i="62" s="1"/>
  <c r="Z13" i="10"/>
  <c r="K52" i="46"/>
  <c r="K53" s="1"/>
  <c r="AG13" i="10"/>
  <c r="S14" i="46"/>
  <c r="E43" i="62" s="1"/>
  <c r="S15" i="10"/>
  <c r="AA14" i="46"/>
  <c r="F43" i="62" s="1"/>
  <c r="Z15" i="10"/>
  <c r="K54" i="46"/>
  <c r="K55" s="1"/>
  <c r="AG15" i="10"/>
  <c r="K46" i="46"/>
  <c r="K47" s="1"/>
  <c r="K48" s="1"/>
  <c r="G38" i="62" s="1"/>
  <c r="AG7" i="10"/>
  <c r="AG8" s="1"/>
  <c r="L12" i="24"/>
  <c r="L13" s="1"/>
  <c r="G123" i="69"/>
  <c r="V15" i="119"/>
  <c r="G122" i="69"/>
  <c r="V14" i="119"/>
  <c r="G124" i="69"/>
  <c r="V16" i="119"/>
  <c r="Q6"/>
  <c r="Q20"/>
  <c r="Q8"/>
  <c r="Q19"/>
  <c r="Q18"/>
  <c r="J87" i="10"/>
  <c r="L87" s="1"/>
  <c r="I46" i="46"/>
  <c r="G5" i="62" s="1"/>
  <c r="I14" i="60"/>
  <c r="D177" i="62" s="1"/>
  <c r="I10" i="60"/>
  <c r="D173" i="62" s="1"/>
  <c r="J93" i="10"/>
  <c r="I20" i="60"/>
  <c r="D183" i="62" s="1"/>
  <c r="J88" i="10"/>
  <c r="L88" s="1"/>
  <c r="K16" i="60" s="1"/>
  <c r="I16" i="61"/>
  <c r="K8" i="115"/>
  <c r="W8" i="119" s="1"/>
  <c r="S33" i="74"/>
  <c r="AH33" s="1"/>
  <c r="AT33" s="1"/>
  <c r="K15" i="115"/>
  <c r="S37" i="74"/>
  <c r="AH37" s="1"/>
  <c r="AT37" s="1"/>
  <c r="K20" i="114"/>
  <c r="G107" i="69" s="1"/>
  <c r="S28" i="74"/>
  <c r="AH28" s="1"/>
  <c r="AT28" s="1"/>
  <c r="K18" i="114"/>
  <c r="G105" i="69" s="1"/>
  <c r="S26" i="74"/>
  <c r="AH26" s="1"/>
  <c r="AT26" s="1"/>
  <c r="K22" i="115"/>
  <c r="W21" i="119" s="1"/>
  <c r="S43" i="74"/>
  <c r="AH43" s="1"/>
  <c r="AT43" s="1"/>
  <c r="K6" i="115"/>
  <c r="W6" i="119" s="1"/>
  <c r="S32" i="74"/>
  <c r="AH32" s="1"/>
  <c r="AT32" s="1"/>
  <c r="K21" i="114"/>
  <c r="G108" i="69" s="1"/>
  <c r="S29" i="74"/>
  <c r="AH29" s="1"/>
  <c r="AT29" s="1"/>
  <c r="K19" i="114"/>
  <c r="G106" i="69" s="1"/>
  <c r="S27" i="74"/>
  <c r="AH27" s="1"/>
  <c r="AT27" s="1"/>
  <c r="K14" i="115"/>
  <c r="S36" i="74"/>
  <c r="AH36" s="1"/>
  <c r="AT36" s="1"/>
  <c r="K16" i="115"/>
  <c r="S38" i="74"/>
  <c r="AH38" s="1"/>
  <c r="AT38" s="1"/>
  <c r="K15" i="114"/>
  <c r="G102" i="69" s="1"/>
  <c r="S23" i="74"/>
  <c r="AH23" s="1"/>
  <c r="AT23" s="1"/>
  <c r="I5"/>
  <c r="Y27" i="120"/>
  <c r="I69"/>
  <c r="Y32"/>
  <c r="Y28"/>
  <c r="E193" i="62"/>
  <c r="Q32" i="120"/>
  <c r="E189" i="62"/>
  <c r="Q28" i="120"/>
  <c r="Y29"/>
  <c r="Y26"/>
  <c r="E187" i="62"/>
  <c r="Q26" i="120"/>
  <c r="I20" i="115"/>
  <c r="V19" i="119" s="1"/>
  <c r="I18" i="115"/>
  <c r="V18" i="119" s="1"/>
  <c r="I21" i="115"/>
  <c r="V20" i="119" s="1"/>
  <c r="G114" i="69"/>
  <c r="I68" i="120"/>
  <c r="E188" i="62"/>
  <c r="Q27" i="120"/>
  <c r="E190" i="62"/>
  <c r="Q29" i="120"/>
  <c r="I67"/>
  <c r="E191" i="62"/>
  <c r="Q30" i="120"/>
  <c r="I12" i="115"/>
  <c r="V12" i="119" s="1"/>
  <c r="I10" i="115"/>
  <c r="V10" i="119" s="1"/>
  <c r="G116" i="69"/>
  <c r="G146"/>
  <c r="L94" i="24"/>
  <c r="I43" i="74" s="1"/>
  <c r="G43" i="112"/>
  <c r="L86" i="24"/>
  <c r="I36" i="74" s="1"/>
  <c r="L51" i="24"/>
  <c r="I22" i="74" s="1"/>
  <c r="I32" i="120"/>
  <c r="I29"/>
  <c r="I28"/>
  <c r="I27"/>
  <c r="I26"/>
  <c r="I6" i="56"/>
  <c r="G6" i="119" s="1"/>
  <c r="J93" i="24"/>
  <c r="L93" s="1"/>
  <c r="I42" i="74" s="1"/>
  <c r="AE92" i="24"/>
  <c r="R41" i="74" s="1"/>
  <c r="AE90" i="24"/>
  <c r="R40" i="74" s="1"/>
  <c r="AE93" i="24"/>
  <c r="R42" i="74" s="1"/>
  <c r="I14" i="54"/>
  <c r="D69" i="69" s="1"/>
  <c r="G42" i="112"/>
  <c r="J92" i="24"/>
  <c r="L92" s="1"/>
  <c r="X82"/>
  <c r="O34" i="74" s="1"/>
  <c r="Q90" i="24"/>
  <c r="L40" i="74" s="1"/>
  <c r="AE84" i="24"/>
  <c r="R35" i="74" s="1"/>
  <c r="AE82" i="24"/>
  <c r="R34" i="74" s="1"/>
  <c r="I16" i="54"/>
  <c r="I14" i="56"/>
  <c r="G14" i="119"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H36"/>
  <c r="AA36" s="1"/>
  <c r="AM36" s="1"/>
  <c r="H28"/>
  <c r="AA28" s="1"/>
  <c r="AM28" s="1"/>
  <c r="I28"/>
  <c r="H22"/>
  <c r="AA22" s="1"/>
  <c r="AM22" s="1"/>
  <c r="H14"/>
  <c r="AA14" s="1"/>
  <c r="AM14" s="1"/>
  <c r="I14"/>
  <c r="H15"/>
  <c r="AA15" s="1"/>
  <c r="AM15" s="1"/>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D71" i="69"/>
  <c r="G30" i="112"/>
  <c r="J53" i="24"/>
  <c r="L53" s="1"/>
  <c r="I10" i="58"/>
  <c r="D63" i="62" s="1"/>
  <c r="H38" i="74"/>
  <c r="AA38" s="1"/>
  <c r="AM38" s="1"/>
  <c r="I16" i="56"/>
  <c r="G38" i="74"/>
  <c r="Z38" s="1"/>
  <c r="AL38" s="1"/>
  <c r="I8" i="58"/>
  <c r="D60" i="62" s="1"/>
  <c r="I19" i="58"/>
  <c r="D72" i="62" s="1"/>
  <c r="I20" i="58"/>
  <c r="D73" i="62" s="1"/>
  <c r="I6" i="58"/>
  <c r="D57" i="62" s="1"/>
  <c r="P35" i="74"/>
  <c r="AF35" s="1"/>
  <c r="AR35" s="1"/>
  <c r="M34"/>
  <c r="AD34" s="1"/>
  <c r="AP34" s="1"/>
  <c r="I54" i="46"/>
  <c r="G11" i="62" s="1"/>
  <c r="P42" i="74"/>
  <c r="AF42" s="1"/>
  <c r="AR42" s="1"/>
  <c r="P40"/>
  <c r="AF40" s="1"/>
  <c r="AR40" s="1"/>
  <c r="Y12" i="46"/>
  <c r="F9" i="62" s="1"/>
  <c r="M18" i="56"/>
  <c r="I14" i="46"/>
  <c r="D11" i="62" s="1"/>
  <c r="L18" i="10"/>
  <c r="K18" i="46" s="1"/>
  <c r="I18"/>
  <c r="D15" i="62" s="1"/>
  <c r="L90" i="24"/>
  <c r="J40" i="74"/>
  <c r="AB40" s="1"/>
  <c r="AN40" s="1"/>
  <c r="O10" i="56"/>
  <c r="Q14" i="46"/>
  <c r="E11" i="62" s="1"/>
  <c r="N40" i="74"/>
  <c r="AE40" s="1"/>
  <c r="AQ40" s="1"/>
  <c r="S18" i="56"/>
  <c r="M43" i="74"/>
  <c r="AD43" s="1"/>
  <c r="AP43" s="1"/>
  <c r="G26"/>
  <c r="Z26" s="1"/>
  <c r="AL26" s="1"/>
  <c r="J33"/>
  <c r="AB33" s="1"/>
  <c r="AN33" s="1"/>
  <c r="J78" i="24"/>
  <c r="L78" s="1"/>
  <c r="L79" s="1"/>
  <c r="I18" i="56"/>
  <c r="G18" i="119" s="1"/>
  <c r="J14" i="24"/>
  <c r="L14" s="1"/>
  <c r="L15" s="1"/>
  <c r="I52" i="46"/>
  <c r="G9" i="62" s="1"/>
  <c r="Y14" i="46"/>
  <c r="F11" i="62" s="1"/>
  <c r="J32" i="74"/>
  <c r="AB32" s="1"/>
  <c r="AN32" s="1"/>
  <c r="J80" i="24"/>
  <c r="Q12" i="46"/>
  <c r="E9" i="62" s="1"/>
  <c r="G7" i="74"/>
  <c r="Z7" s="1"/>
  <c r="AL7" s="1"/>
  <c r="L90" i="10"/>
  <c r="K17" i="121" s="1"/>
  <c r="AA21" i="60"/>
  <c r="K62"/>
  <c r="I12"/>
  <c r="D175" i="62" s="1"/>
  <c r="H9" i="74"/>
  <c r="AA9" s="1"/>
  <c r="AM9" s="1"/>
  <c r="H8"/>
  <c r="AA8" s="1"/>
  <c r="AM8" s="1"/>
  <c r="N33"/>
  <c r="AE33" s="1"/>
  <c r="AQ33" s="1"/>
  <c r="G42"/>
  <c r="Z42" s="1"/>
  <c r="AL42" s="1"/>
  <c r="Q33"/>
  <c r="AG33" s="1"/>
  <c r="AS33" s="1"/>
  <c r="N32"/>
  <c r="AE32" s="1"/>
  <c r="AQ32" s="1"/>
  <c r="G32"/>
  <c r="Z32" s="1"/>
  <c r="AL32" s="1"/>
  <c r="G35"/>
  <c r="Z35" s="1"/>
  <c r="AL35" s="1"/>
  <c r="G43"/>
  <c r="Z43" s="1"/>
  <c r="AL43" s="1"/>
  <c r="Q40"/>
  <c r="AG40" s="1"/>
  <c r="AS40" s="1"/>
  <c r="G34"/>
  <c r="Z34" s="1"/>
  <c r="AL34" s="1"/>
  <c r="G33"/>
  <c r="Z33" s="1"/>
  <c r="AL33" s="1"/>
  <c r="Q42"/>
  <c r="AG42" s="1"/>
  <c r="AS42" s="1"/>
  <c r="Q41"/>
  <c r="AG41" s="1"/>
  <c r="AS41" s="1"/>
  <c r="Q32"/>
  <c r="AG32" s="1"/>
  <c r="AS32" s="1"/>
  <c r="G41"/>
  <c r="Z41" s="1"/>
  <c r="AL41" s="1"/>
  <c r="G40"/>
  <c r="Z40" s="1"/>
  <c r="AL40" s="1"/>
  <c r="I21" i="56"/>
  <c r="G20" i="119" s="1"/>
  <c r="G6" i="74"/>
  <c r="Z6" s="1"/>
  <c r="AL6" s="1"/>
  <c r="I8" i="56"/>
  <c r="G8" i="119" s="1"/>
  <c r="I35" i="74"/>
  <c r="G24"/>
  <c r="Z24" s="1"/>
  <c r="AL24" s="1"/>
  <c r="S22" i="54"/>
  <c r="O22"/>
  <c r="M6" i="56"/>
  <c r="Q80" i="24"/>
  <c r="L33" i="74" s="1"/>
  <c r="O15" i="56"/>
  <c r="I9" i="61"/>
  <c r="J59" i="24"/>
  <c r="L59" s="1"/>
  <c r="J6"/>
  <c r="I14" i="61"/>
  <c r="J55" i="24"/>
  <c r="I22" i="46"/>
  <c r="D19" i="62" s="1"/>
  <c r="J84" i="10"/>
  <c r="L84" s="1"/>
  <c r="K12" i="121" s="1"/>
  <c r="K13" s="1"/>
  <c r="I16" i="58"/>
  <c r="D69" i="62" s="1"/>
  <c r="H5" i="74"/>
  <c r="AA5" s="1"/>
  <c r="AM5" s="1"/>
  <c r="Q22" i="56"/>
  <c r="Q78" i="24"/>
  <c r="L32" i="74" s="1"/>
  <c r="E133" i="69"/>
  <c r="F89"/>
  <c r="E139"/>
  <c r="D84"/>
  <c r="F80"/>
  <c r="D80"/>
  <c r="E79"/>
  <c r="D136"/>
  <c r="D86"/>
  <c r="F67"/>
  <c r="E76"/>
  <c r="E127"/>
  <c r="E73"/>
  <c r="F13"/>
  <c r="E63"/>
  <c r="F65"/>
  <c r="D75"/>
  <c r="E84"/>
  <c r="E81"/>
  <c r="D122"/>
  <c r="F76"/>
  <c r="F70"/>
  <c r="F126"/>
  <c r="F63"/>
  <c r="E67"/>
  <c r="E61"/>
  <c r="E75"/>
  <c r="F16"/>
  <c r="F19"/>
  <c r="F5"/>
  <c r="F69"/>
  <c r="D74"/>
  <c r="F127"/>
  <c r="F137"/>
  <c r="E137"/>
  <c r="D137"/>
  <c r="F79"/>
  <c r="E135"/>
  <c r="E134"/>
  <c r="F85"/>
  <c r="E86"/>
  <c r="D81"/>
  <c r="E132"/>
  <c r="F83"/>
  <c r="E85"/>
  <c r="E128"/>
  <c r="E124"/>
  <c r="F71"/>
  <c r="E70"/>
  <c r="D123"/>
  <c r="E123"/>
  <c r="F21"/>
  <c r="F20"/>
  <c r="F11"/>
  <c r="M8" i="56"/>
  <c r="L8" i="119" s="1"/>
  <c r="D79" i="69"/>
  <c r="F84"/>
  <c r="D125"/>
  <c r="E138"/>
  <c r="F90"/>
  <c r="F81"/>
  <c r="E83"/>
  <c r="D85"/>
  <c r="E89"/>
  <c r="E82"/>
  <c r="E90"/>
  <c r="F75"/>
  <c r="F128"/>
  <c r="F123"/>
  <c r="E129"/>
  <c r="F17"/>
  <c r="F114"/>
  <c r="F74"/>
  <c r="F86"/>
  <c r="D83"/>
  <c r="F125"/>
  <c r="E125"/>
  <c r="F82"/>
  <c r="E80"/>
  <c r="F136"/>
  <c r="E136"/>
  <c r="F124"/>
  <c r="F73"/>
  <c r="E65"/>
  <c r="E122"/>
  <c r="E71"/>
  <c r="F122"/>
  <c r="D70"/>
  <c r="E69"/>
  <c r="F8"/>
  <c r="F22"/>
  <c r="F15"/>
  <c r="F116"/>
  <c r="F61"/>
  <c r="I18" i="54"/>
  <c r="I22"/>
  <c r="I20" i="56"/>
  <c r="E99" i="62"/>
  <c r="G91"/>
  <c r="F99"/>
  <c r="E94"/>
  <c r="G97"/>
  <c r="G94"/>
  <c r="F97"/>
  <c r="E97"/>
  <c r="G99"/>
  <c r="F94"/>
  <c r="E91"/>
  <c r="F91"/>
  <c r="I59" i="58"/>
  <c r="G74" i="62" s="1"/>
  <c r="I54" i="58"/>
  <c r="G69" i="62" s="1"/>
  <c r="I52" i="58"/>
  <c r="G67" i="62" s="1"/>
  <c r="Y16" i="58"/>
  <c r="F69" i="62" s="1"/>
  <c r="Y14" i="58"/>
  <c r="F67" i="62" s="1"/>
  <c r="Q18" i="58"/>
  <c r="E71" i="62" s="1"/>
  <c r="Q15" i="58"/>
  <c r="E68" i="62" s="1"/>
  <c r="I56" i="58"/>
  <c r="G71" i="62" s="1"/>
  <c r="I53" i="58"/>
  <c r="G68" i="62" s="1"/>
  <c r="Y21" i="58"/>
  <c r="F74" i="62" s="1"/>
  <c r="Y15" i="58"/>
  <c r="F68" i="62" s="1"/>
  <c r="Q21" i="58"/>
  <c r="E74" i="62" s="1"/>
  <c r="Q16" i="58"/>
  <c r="E69" i="62" s="1"/>
  <c r="Q14" i="58"/>
  <c r="E67" i="62" s="1"/>
  <c r="L17" i="10"/>
  <c r="K17" i="46" s="1"/>
  <c r="I62" i="60"/>
  <c r="G184" i="62" s="1"/>
  <c r="L93" i="10"/>
  <c r="Q21" i="46"/>
  <c r="E18" i="62" s="1"/>
  <c r="I22" i="56"/>
  <c r="I17" i="46"/>
  <c r="D14" i="62" s="1"/>
  <c r="I18" i="60"/>
  <c r="D181" i="62" s="1"/>
  <c r="Q17" i="46"/>
  <c r="E14" i="62" s="1"/>
  <c r="Y21" i="60"/>
  <c r="F184" i="62" s="1"/>
  <c r="Y17" i="46"/>
  <c r="F14" i="62" s="1"/>
  <c r="I57" i="46"/>
  <c r="G14" i="62" s="1"/>
  <c r="I21" i="54"/>
  <c r="I63" i="46"/>
  <c r="G20" i="62" s="1"/>
  <c r="Q16" i="46"/>
  <c r="E13" i="62" s="1"/>
  <c r="Y16" i="46"/>
  <c r="F13" i="62" s="1"/>
  <c r="G13"/>
  <c r="Q23" i="46"/>
  <c r="E20" i="62" s="1"/>
  <c r="I23" i="46"/>
  <c r="D20" i="62" s="1"/>
  <c r="Y23" i="46"/>
  <c r="F20" i="62" s="1"/>
  <c r="I18" i="58"/>
  <c r="D71" i="62" s="1"/>
  <c r="L55" i="10"/>
  <c r="K18" i="58" s="1"/>
  <c r="E39" i="62"/>
  <c r="S10" i="46"/>
  <c r="S11" s="1"/>
  <c r="E40" i="62" s="1"/>
  <c r="AA15" i="46"/>
  <c r="E37" i="62"/>
  <c r="S7" i="46"/>
  <c r="S8" s="1"/>
  <c r="E38" i="62" s="1"/>
  <c r="F37"/>
  <c r="AA7" i="46"/>
  <c r="AA8" s="1"/>
  <c r="F38" i="62" s="1"/>
  <c r="F39"/>
  <c r="AA10" i="46"/>
  <c r="AA11" s="1"/>
  <c r="F40" i="62" s="1"/>
  <c r="G43"/>
  <c r="S15" i="46"/>
  <c r="AA13"/>
  <c r="F42" i="62" s="1"/>
  <c r="G42"/>
  <c r="G39"/>
  <c r="G40"/>
  <c r="I12" i="58"/>
  <c r="D65" i="62" s="1"/>
  <c r="S19" i="54"/>
  <c r="O19"/>
  <c r="Y19" i="58"/>
  <c r="F72" i="62" s="1"/>
  <c r="L43" i="10"/>
  <c r="L44" s="1"/>
  <c r="K20" i="54"/>
  <c r="L53" i="10"/>
  <c r="S18" i="46"/>
  <c r="E47" i="62" s="1"/>
  <c r="K57" i="58"/>
  <c r="Q6"/>
  <c r="E57" i="62" s="1"/>
  <c r="E13" i="69"/>
  <c r="D16"/>
  <c r="E22"/>
  <c r="E17"/>
  <c r="E15"/>
  <c r="E11"/>
  <c r="E5"/>
  <c r="E74"/>
  <c r="E16"/>
  <c r="E8"/>
  <c r="D22"/>
  <c r="D20"/>
  <c r="E20"/>
  <c r="D19"/>
  <c r="D15"/>
  <c r="E21"/>
  <c r="E19"/>
  <c r="D138"/>
  <c r="F139"/>
  <c r="D139"/>
  <c r="F133"/>
  <c r="D133"/>
  <c r="F134"/>
  <c r="D134"/>
  <c r="D135"/>
  <c r="F138"/>
  <c r="F135"/>
  <c r="D132"/>
  <c r="F132"/>
  <c r="L21" i="10"/>
  <c r="K21" i="46" s="1"/>
  <c r="K58" i="58"/>
  <c r="I8" i="60"/>
  <c r="D170" i="62" s="1"/>
  <c r="L56" i="10"/>
  <c r="K19" i="58" s="1"/>
  <c r="D106" i="62" s="1"/>
  <c r="G194"/>
  <c r="F194"/>
  <c r="G191"/>
  <c r="G190"/>
  <c r="G193"/>
  <c r="G187"/>
  <c r="G188"/>
  <c r="G189"/>
  <c r="F193"/>
  <c r="F191"/>
  <c r="F190"/>
  <c r="F187"/>
  <c r="F188"/>
  <c r="F189"/>
  <c r="D191"/>
  <c r="D187"/>
  <c r="D190"/>
  <c r="D193"/>
  <c r="D188"/>
  <c r="D189"/>
  <c r="D194"/>
  <c r="G182"/>
  <c r="G170"/>
  <c r="G178"/>
  <c r="G173"/>
  <c r="G177"/>
  <c r="G175"/>
  <c r="G183"/>
  <c r="F175"/>
  <c r="F177"/>
  <c r="F178"/>
  <c r="F173"/>
  <c r="F167"/>
  <c r="D184"/>
  <c r="D178"/>
  <c r="D182"/>
  <c r="AA18" i="46"/>
  <c r="F47" i="62" s="1"/>
  <c r="I58" i="46"/>
  <c r="G15" i="62" s="1"/>
  <c r="Y19" i="60"/>
  <c r="K61"/>
  <c r="K19"/>
  <c r="I6"/>
  <c r="J78" i="10"/>
  <c r="L78" s="1"/>
  <c r="AA12" i="60"/>
  <c r="AA13" s="1"/>
  <c r="S21"/>
  <c r="AA15"/>
  <c r="K15"/>
  <c r="I59"/>
  <c r="K51"/>
  <c r="K52" s="1"/>
  <c r="S10"/>
  <c r="AA14"/>
  <c r="K56"/>
  <c r="Y20"/>
  <c r="Q14"/>
  <c r="E177" i="62" s="1"/>
  <c r="S18" i="60"/>
  <c r="E215" i="62" s="1"/>
  <c r="K21" i="60"/>
  <c r="K60"/>
  <c r="S15"/>
  <c r="E212" i="62" s="1"/>
  <c r="Q19" i="60"/>
  <c r="E182" i="62" s="1"/>
  <c r="Y18" i="60"/>
  <c r="S20"/>
  <c r="E217" i="62" s="1"/>
  <c r="K55" i="60"/>
  <c r="K53"/>
  <c r="K54" s="1"/>
  <c r="J80" i="10"/>
  <c r="L80" s="1"/>
  <c r="S6" i="56"/>
  <c r="S8"/>
  <c r="G52" i="62"/>
  <c r="G101"/>
  <c r="E103"/>
  <c r="G102"/>
  <c r="D102"/>
  <c r="F46"/>
  <c r="G47"/>
  <c r="G108"/>
  <c r="E102"/>
  <c r="F52"/>
  <c r="D107"/>
  <c r="G46"/>
  <c r="E46"/>
  <c r="E108"/>
  <c r="G103"/>
  <c r="D101"/>
  <c r="E101"/>
  <c r="E52"/>
  <c r="K22" i="61"/>
  <c r="K20"/>
  <c r="S17"/>
  <c r="S9"/>
  <c r="O23"/>
  <c r="O21"/>
  <c r="O18"/>
  <c r="O16"/>
  <c r="O12"/>
  <c r="O6"/>
  <c r="S23"/>
  <c r="S20"/>
  <c r="S16"/>
  <c r="S6"/>
  <c r="K21"/>
  <c r="K18"/>
  <c r="S22"/>
  <c r="S14"/>
  <c r="O22"/>
  <c r="O20"/>
  <c r="O17"/>
  <c r="O14"/>
  <c r="O9"/>
  <c r="S21"/>
  <c r="S18"/>
  <c r="S12"/>
  <c r="S21" i="46"/>
  <c r="G98" i="62"/>
  <c r="G100"/>
  <c r="E100"/>
  <c r="E98"/>
  <c r="F98"/>
  <c r="F100"/>
  <c r="K14" i="56"/>
  <c r="H14" i="119" s="1"/>
  <c r="O21" i="56"/>
  <c r="M20" i="119" s="1"/>
  <c r="S16" i="56"/>
  <c r="R16" i="119" s="1"/>
  <c r="S20" i="54"/>
  <c r="S15"/>
  <c r="S12"/>
  <c r="S13" s="1"/>
  <c r="K21"/>
  <c r="S6"/>
  <c r="O20" i="56"/>
  <c r="M19" i="119" s="1"/>
  <c r="S10" i="54"/>
  <c r="S11" s="1"/>
  <c r="K15"/>
  <c r="O18"/>
  <c r="M12" i="56"/>
  <c r="L12" i="119" s="1"/>
  <c r="S20" i="56"/>
  <c r="O16"/>
  <c r="M16" i="119" s="1"/>
  <c r="S21" i="54"/>
  <c r="S16"/>
  <c r="S14"/>
  <c r="O10"/>
  <c r="O11" s="1"/>
  <c r="O14" i="56"/>
  <c r="M14" i="119" s="1"/>
  <c r="S21" i="56"/>
  <c r="O21" i="54"/>
  <c r="O16"/>
  <c r="O12"/>
  <c r="O13" s="1"/>
  <c r="O8"/>
  <c r="S14" i="56"/>
  <c r="R14" i="119" s="1"/>
  <c r="O22" i="56"/>
  <c r="M21" i="119" s="1"/>
  <c r="O20" i="54"/>
  <c r="O14"/>
  <c r="M10" i="56"/>
  <c r="L10" i="119" s="1"/>
  <c r="S18" i="54"/>
  <c r="S8"/>
  <c r="O15"/>
  <c r="K15" i="56"/>
  <c r="H15" i="119" s="1"/>
  <c r="S15" i="56"/>
  <c r="R15" i="119" s="1"/>
  <c r="O6" i="54"/>
  <c r="Q10" i="56"/>
  <c r="Q12"/>
  <c r="Q8" i="60"/>
  <c r="E170" i="62" s="1"/>
  <c r="I47" i="60"/>
  <c r="Y8"/>
  <c r="AA14" i="58"/>
  <c r="AA19"/>
  <c r="AA21"/>
  <c r="AA16"/>
  <c r="S18"/>
  <c r="K56"/>
  <c r="AA15"/>
  <c r="AA8" i="60"/>
  <c r="AA9" s="1"/>
  <c r="K49"/>
  <c r="K50" s="1"/>
  <c r="I12" i="46"/>
  <c r="D9" i="62" s="1"/>
  <c r="L12" i="10"/>
  <c r="I6" i="46"/>
  <c r="D5" i="62" s="1"/>
  <c r="K22" i="46"/>
  <c r="K6"/>
  <c r="K61"/>
  <c r="AA22"/>
  <c r="S20"/>
  <c r="AA20"/>
  <c r="K14"/>
  <c r="S22"/>
  <c r="AA21"/>
  <c r="K60"/>
  <c r="K62"/>
  <c r="K16"/>
  <c r="D45" i="62" s="1"/>
  <c r="K9" i="46"/>
  <c r="K23"/>
  <c r="L20" i="10"/>
  <c r="I20" i="46"/>
  <c r="D17" i="62" s="1"/>
  <c r="X92" i="10"/>
  <c r="Z92" s="1"/>
  <c r="J99"/>
  <c r="L99" s="1"/>
  <c r="K14" i="121" s="1"/>
  <c r="X93" i="10"/>
  <c r="Z93" s="1"/>
  <c r="Q92"/>
  <c r="S92" s="1"/>
  <c r="S18" i="121" s="1"/>
  <c r="Q86" i="10"/>
  <c r="S86" s="1"/>
  <c r="J82"/>
  <c r="L82" s="1"/>
  <c r="K10" i="121" s="1"/>
  <c r="K11" s="1"/>
  <c r="S19" i="58"/>
  <c r="S20"/>
  <c r="K10"/>
  <c r="K11" s="1"/>
  <c r="K8"/>
  <c r="K9" s="1"/>
  <c r="M53" i="121" l="1"/>
  <c r="O53" s="1"/>
  <c r="G161" i="69"/>
  <c r="M50" i="121"/>
  <c r="O50" s="1"/>
  <c r="AG84" i="24"/>
  <c r="AG82"/>
  <c r="Z82"/>
  <c r="Z83" s="1"/>
  <c r="S80"/>
  <c r="S81" s="1"/>
  <c r="S78"/>
  <c r="S79" s="1"/>
  <c r="M20" i="121"/>
  <c r="O20" s="1"/>
  <c r="M19"/>
  <c r="O19" s="1"/>
  <c r="M18"/>
  <c r="O18" s="1"/>
  <c r="M17"/>
  <c r="O17" s="1"/>
  <c r="K14" i="54"/>
  <c r="K23" i="61"/>
  <c r="G129" i="69"/>
  <c r="M59" i="120"/>
  <c r="O59" s="1"/>
  <c r="AG92" i="24"/>
  <c r="M41" i="102" s="1"/>
  <c r="Q41" s="1"/>
  <c r="AG93" i="24"/>
  <c r="M42" i="102" s="1"/>
  <c r="Q42" s="1"/>
  <c r="AG90" i="24"/>
  <c r="M40" i="102" s="1"/>
  <c r="Q40" s="1"/>
  <c r="S90" i="24"/>
  <c r="O18" i="56" s="1"/>
  <c r="M18" i="119" s="1"/>
  <c r="K17" i="61"/>
  <c r="S13" i="46"/>
  <c r="E42" i="62" s="1"/>
  <c r="Z94" i="24"/>
  <c r="P43" i="74" s="1"/>
  <c r="AF43" s="1"/>
  <c r="AR43" s="1"/>
  <c r="K20" i="121"/>
  <c r="R23" i="119"/>
  <c r="K8" i="121"/>
  <c r="K9" s="1"/>
  <c r="K20" i="120"/>
  <c r="K19" i="121"/>
  <c r="S14" i="120"/>
  <c r="AA20"/>
  <c r="AA19" i="121"/>
  <c r="AA18" i="120"/>
  <c r="AA17" i="121"/>
  <c r="AA19" i="120"/>
  <c r="AA18" i="121"/>
  <c r="K15" i="120"/>
  <c r="K59"/>
  <c r="K50" i="121"/>
  <c r="K6"/>
  <c r="K7" s="1"/>
  <c r="K14" i="120"/>
  <c r="L125" i="10"/>
  <c r="K12" i="61"/>
  <c r="G41" i="62"/>
  <c r="G37"/>
  <c r="S10" i="56"/>
  <c r="R10" i="119" s="1"/>
  <c r="P34" i="74"/>
  <c r="AF34" s="1"/>
  <c r="AR34" s="1"/>
  <c r="I6"/>
  <c r="I8"/>
  <c r="K7" i="115"/>
  <c r="W7" i="119" s="1"/>
  <c r="G148" i="69"/>
  <c r="K9" i="115"/>
  <c r="W9" i="119" s="1"/>
  <c r="S19" i="120"/>
  <c r="K10"/>
  <c r="K11" s="1"/>
  <c r="K12"/>
  <c r="K13" s="1"/>
  <c r="R24" i="119"/>
  <c r="AL24" s="1"/>
  <c r="D184" i="69" s="1"/>
  <c r="K40" i="74"/>
  <c r="AC40" s="1"/>
  <c r="AO40" s="1"/>
  <c r="K8" i="120"/>
  <c r="K9" s="1"/>
  <c r="L81" i="10"/>
  <c r="K6" i="120"/>
  <c r="K7" s="1"/>
  <c r="L79" i="10"/>
  <c r="AL23" i="119"/>
  <c r="D183" i="69" s="1"/>
  <c r="M35" i="102"/>
  <c r="Q35" s="1"/>
  <c r="AG85" i="24"/>
  <c r="M34" i="102"/>
  <c r="Q34" s="1"/>
  <c r="AG83" i="24"/>
  <c r="K12" i="46"/>
  <c r="K13" s="1"/>
  <c r="D42" i="62" s="1"/>
  <c r="L13" i="10"/>
  <c r="G156" i="69"/>
  <c r="W16" i="119"/>
  <c r="G154" i="69"/>
  <c r="W14" i="119"/>
  <c r="AL14" s="1"/>
  <c r="D174" i="69" s="1"/>
  <c r="G155"/>
  <c r="W15" i="119"/>
  <c r="Q12"/>
  <c r="S9" i="56"/>
  <c r="R9" i="119" s="1"/>
  <c r="R8"/>
  <c r="G21"/>
  <c r="G19"/>
  <c r="Q21"/>
  <c r="R18"/>
  <c r="S11" i="56"/>
  <c r="R11" i="119" s="1"/>
  <c r="E126" i="69"/>
  <c r="L18" i="119"/>
  <c r="D124" i="69"/>
  <c r="G16" i="119"/>
  <c r="Q10"/>
  <c r="R20"/>
  <c r="R19"/>
  <c r="S7" i="56"/>
  <c r="R7" i="119" s="1"/>
  <c r="R6"/>
  <c r="E155" i="69"/>
  <c r="M15" i="119"/>
  <c r="E114" i="69"/>
  <c r="L6" i="119"/>
  <c r="O11" i="56"/>
  <c r="M11" i="119" s="1"/>
  <c r="M10"/>
  <c r="K10" i="115"/>
  <c r="S34" i="74"/>
  <c r="AH34" s="1"/>
  <c r="AT34" s="1"/>
  <c r="K12" i="115"/>
  <c r="S35" i="74"/>
  <c r="AH35" s="1"/>
  <c r="AT35" s="1"/>
  <c r="K20" i="115"/>
  <c r="S41" i="74"/>
  <c r="AH41" s="1"/>
  <c r="AT41" s="1"/>
  <c r="K21" i="115"/>
  <c r="S42" i="74"/>
  <c r="AH42" s="1"/>
  <c r="AT42" s="1"/>
  <c r="K18" i="115"/>
  <c r="S40" i="74"/>
  <c r="AH40" s="1"/>
  <c r="AT40" s="1"/>
  <c r="G118" i="69"/>
  <c r="G120"/>
  <c r="G127"/>
  <c r="G128"/>
  <c r="G126"/>
  <c r="K18" i="60"/>
  <c r="D215" i="62" s="1"/>
  <c r="K18" i="120"/>
  <c r="L80" i="24"/>
  <c r="K8" i="56" s="1"/>
  <c r="I32" i="74"/>
  <c r="L55" i="24"/>
  <c r="I26" i="74" s="1"/>
  <c r="L6" i="24"/>
  <c r="K6" i="61" s="1"/>
  <c r="K10" i="56"/>
  <c r="I34" i="74"/>
  <c r="H24"/>
  <c r="AA24" s="1"/>
  <c r="AM24" s="1"/>
  <c r="I24"/>
  <c r="H7"/>
  <c r="AA7" s="1"/>
  <c r="AM7" s="1"/>
  <c r="I7"/>
  <c r="K16" i="56"/>
  <c r="K16" i="58"/>
  <c r="D103" i="62" s="1"/>
  <c r="S11" i="60"/>
  <c r="E208" i="62" s="1"/>
  <c r="K16" i="54"/>
  <c r="D103" i="69" s="1"/>
  <c r="K12" i="56"/>
  <c r="D120" i="69"/>
  <c r="K21" i="56"/>
  <c r="D128" i="69"/>
  <c r="D114"/>
  <c r="D126"/>
  <c r="D116"/>
  <c r="D118"/>
  <c r="K34" i="74"/>
  <c r="AC34" s="1"/>
  <c r="AO34" s="1"/>
  <c r="N34"/>
  <c r="AE34" s="1"/>
  <c r="AQ34" s="1"/>
  <c r="K35"/>
  <c r="AC35" s="1"/>
  <c r="AO35" s="1"/>
  <c r="K32"/>
  <c r="AC32" s="1"/>
  <c r="AO32" s="1"/>
  <c r="K33"/>
  <c r="AC33" s="1"/>
  <c r="AO33" s="1"/>
  <c r="H42"/>
  <c r="AA42" s="1"/>
  <c r="AM42" s="1"/>
  <c r="Q34"/>
  <c r="AG34" s="1"/>
  <c r="AS34" s="1"/>
  <c r="N35"/>
  <c r="AE35" s="1"/>
  <c r="AQ35" s="1"/>
  <c r="Q35"/>
  <c r="AG35" s="1"/>
  <c r="AS35" s="1"/>
  <c r="H35"/>
  <c r="AA35" s="1"/>
  <c r="AM35" s="1"/>
  <c r="I40"/>
  <c r="H33"/>
  <c r="AA33" s="1"/>
  <c r="AM33" s="1"/>
  <c r="H34"/>
  <c r="AA34" s="1"/>
  <c r="AM34" s="1"/>
  <c r="H32"/>
  <c r="AA32" s="1"/>
  <c r="AM32" s="1"/>
  <c r="H43"/>
  <c r="AA43" s="1"/>
  <c r="AM43" s="1"/>
  <c r="H4"/>
  <c r="AA4" s="1"/>
  <c r="AM4" s="1"/>
  <c r="Q43"/>
  <c r="AG43" s="1"/>
  <c r="AS43" s="1"/>
  <c r="H26"/>
  <c r="AA26" s="1"/>
  <c r="AM26" s="1"/>
  <c r="N43"/>
  <c r="AE43" s="1"/>
  <c r="AQ43" s="1"/>
  <c r="S22" i="56"/>
  <c r="R21" i="119" s="1"/>
  <c r="O8" i="56"/>
  <c r="O6"/>
  <c r="D8" i="69"/>
  <c r="D13"/>
  <c r="K14" i="61"/>
  <c r="K22" i="54"/>
  <c r="K9" i="61"/>
  <c r="F129" i="69"/>
  <c r="K12" i="60"/>
  <c r="F158" i="69"/>
  <c r="E118"/>
  <c r="E108"/>
  <c r="F156"/>
  <c r="F118"/>
  <c r="E161"/>
  <c r="E120"/>
  <c r="F102"/>
  <c r="F55"/>
  <c r="S7" i="61"/>
  <c r="S8" s="1"/>
  <c r="F53" i="69"/>
  <c r="S10" i="61"/>
  <c r="S11" s="1"/>
  <c r="D76" i="69"/>
  <c r="D129"/>
  <c r="D127"/>
  <c r="E116"/>
  <c r="E103"/>
  <c r="D101"/>
  <c r="E156"/>
  <c r="F159"/>
  <c r="D102"/>
  <c r="E159"/>
  <c r="E160"/>
  <c r="D107"/>
  <c r="F106"/>
  <c r="F105"/>
  <c r="F160"/>
  <c r="S7" i="54"/>
  <c r="D154" i="69"/>
  <c r="F120"/>
  <c r="F155"/>
  <c r="E102"/>
  <c r="E101"/>
  <c r="F103"/>
  <c r="F51"/>
  <c r="D155"/>
  <c r="S9" i="54"/>
  <c r="E107" i="69"/>
  <c r="F154"/>
  <c r="E154"/>
  <c r="F101"/>
  <c r="F108"/>
  <c r="E105"/>
  <c r="E158"/>
  <c r="D108"/>
  <c r="F107"/>
  <c r="S13" i="61"/>
  <c r="F54" i="69"/>
  <c r="S15" i="61"/>
  <c r="F49" i="69"/>
  <c r="F56"/>
  <c r="F50"/>
  <c r="E106"/>
  <c r="D73"/>
  <c r="F148"/>
  <c r="F146"/>
  <c r="K20" i="60"/>
  <c r="D217" i="62" s="1"/>
  <c r="E93" i="69"/>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E97" i="69"/>
  <c r="E99"/>
  <c r="K19" i="54"/>
  <c r="D218" i="62"/>
  <c r="E50" i="69"/>
  <c r="F39"/>
  <c r="E54"/>
  <c r="D50"/>
  <c r="D55"/>
  <c r="F93"/>
  <c r="F45"/>
  <c r="E53"/>
  <c r="F47"/>
  <c r="D51"/>
  <c r="D56"/>
  <c r="E51"/>
  <c r="E56"/>
  <c r="D53"/>
  <c r="F97"/>
  <c r="E55"/>
  <c r="D49"/>
  <c r="D54"/>
  <c r="E49"/>
  <c r="F42"/>
  <c r="F95"/>
  <c r="F99"/>
  <c r="D17"/>
  <c r="E207" i="62"/>
  <c r="G212"/>
  <c r="G211"/>
  <c r="G210"/>
  <c r="G209"/>
  <c r="G207"/>
  <c r="G181"/>
  <c r="G216"/>
  <c r="G167"/>
  <c r="F211"/>
  <c r="F212"/>
  <c r="F170"/>
  <c r="F181"/>
  <c r="F218"/>
  <c r="F183"/>
  <c r="F182"/>
  <c r="F204"/>
  <c r="F209"/>
  <c r="E218"/>
  <c r="D167"/>
  <c r="D211"/>
  <c r="D212"/>
  <c r="D213"/>
  <c r="D216"/>
  <c r="G218"/>
  <c r="K10" i="60"/>
  <c r="K11" s="1"/>
  <c r="K8"/>
  <c r="K9" s="1"/>
  <c r="K6"/>
  <c r="K7" s="1"/>
  <c r="S14"/>
  <c r="E211" i="62" s="1"/>
  <c r="AA18" i="60"/>
  <c r="G217" i="62"/>
  <c r="AA20" i="60"/>
  <c r="S19"/>
  <c r="AA19"/>
  <c r="K59"/>
  <c r="K6" i="56"/>
  <c r="D105" i="62"/>
  <c r="G204"/>
  <c r="F106"/>
  <c r="E44"/>
  <c r="D99"/>
  <c r="E105"/>
  <c r="E93"/>
  <c r="E92"/>
  <c r="E50"/>
  <c r="E106"/>
  <c r="D47"/>
  <c r="D46"/>
  <c r="G50"/>
  <c r="G106"/>
  <c r="G107"/>
  <c r="F50"/>
  <c r="D51"/>
  <c r="F102"/>
  <c r="F103"/>
  <c r="F44"/>
  <c r="F108"/>
  <c r="F93"/>
  <c r="F92"/>
  <c r="F96"/>
  <c r="F95"/>
  <c r="G93"/>
  <c r="G92"/>
  <c r="G44"/>
  <c r="D50"/>
  <c r="E107"/>
  <c r="D52"/>
  <c r="G51"/>
  <c r="E51"/>
  <c r="F51"/>
  <c r="G105"/>
  <c r="F101"/>
  <c r="E96"/>
  <c r="E95"/>
  <c r="G96"/>
  <c r="G95"/>
  <c r="E49"/>
  <c r="G49"/>
  <c r="F49"/>
  <c r="D100"/>
  <c r="D98"/>
  <c r="O12" i="56"/>
  <c r="S12"/>
  <c r="K47" i="60"/>
  <c r="K48" s="1"/>
  <c r="AA10"/>
  <c r="AA11" s="1"/>
  <c r="S12"/>
  <c r="S13" s="1"/>
  <c r="S8"/>
  <c r="S9" s="1"/>
  <c r="AA18" i="58"/>
  <c r="AA6" i="60"/>
  <c r="AA7" s="1"/>
  <c r="AA20" i="58"/>
  <c r="K20" i="46"/>
  <c r="G149" i="69" l="1"/>
  <c r="G147"/>
  <c r="D41" i="62"/>
  <c r="AL15" i="119"/>
  <c r="D175" i="69" s="1"/>
  <c r="I33" i="74"/>
  <c r="L81" i="24"/>
  <c r="I4" i="74"/>
  <c r="L7" i="24"/>
  <c r="L8" s="1"/>
  <c r="G158" i="69"/>
  <c r="W18" i="119"/>
  <c r="G160" i="69"/>
  <c r="W20" i="119"/>
  <c r="G159" i="69"/>
  <c r="W19" i="119"/>
  <c r="K13" i="115"/>
  <c r="W13" i="119" s="1"/>
  <c r="W12"/>
  <c r="G150" i="69"/>
  <c r="W10" i="119"/>
  <c r="K9" i="56"/>
  <c r="H9" i="119" s="1"/>
  <c r="H8"/>
  <c r="H20"/>
  <c r="K13" i="56"/>
  <c r="H13" i="119" s="1"/>
  <c r="H12"/>
  <c r="D156" i="69"/>
  <c r="H16" i="119"/>
  <c r="AL16" s="1"/>
  <c r="D176" i="69" s="1"/>
  <c r="K11" i="56"/>
  <c r="D151" i="69" s="1"/>
  <c r="H10" i="119"/>
  <c r="O13" i="56"/>
  <c r="M13" i="119" s="1"/>
  <c r="M12"/>
  <c r="O9" i="56"/>
  <c r="M9" i="119" s="1"/>
  <c r="M8"/>
  <c r="S13" i="56"/>
  <c r="R13" i="119" s="1"/>
  <c r="R12"/>
  <c r="K7" i="56"/>
  <c r="H7" i="119" s="1"/>
  <c r="H6"/>
  <c r="O7" i="56"/>
  <c r="M7" i="119" s="1"/>
  <c r="M6"/>
  <c r="K11" i="115"/>
  <c r="W11" i="119" s="1"/>
  <c r="G152" i="69"/>
  <c r="K18" i="54"/>
  <c r="D105" i="69" s="1"/>
  <c r="K20" i="56"/>
  <c r="D159" i="69" s="1"/>
  <c r="I41" i="74"/>
  <c r="D92" i="62"/>
  <c r="K13" i="60"/>
  <c r="D210" i="62" s="1"/>
  <c r="E204"/>
  <c r="E205"/>
  <c r="D160" i="69"/>
  <c r="K18" i="56"/>
  <c r="H18" i="119" s="1"/>
  <c r="AL18" s="1"/>
  <c r="D178" i="69" s="1"/>
  <c r="D152"/>
  <c r="D150"/>
  <c r="D148"/>
  <c r="F161"/>
  <c r="H41" i="74"/>
  <c r="AA41" s="1"/>
  <c r="AM41" s="1"/>
  <c r="E148" i="69"/>
  <c r="H40" i="74"/>
  <c r="AA40" s="1"/>
  <c r="AM40" s="1"/>
  <c r="K22" i="56"/>
  <c r="H21" i="119" s="1"/>
  <c r="AL21" s="1"/>
  <c r="D181" i="69" s="1"/>
  <c r="D39"/>
  <c r="D47"/>
  <c r="E146"/>
  <c r="K15" i="61"/>
  <c r="D48" i="69" s="1"/>
  <c r="D42"/>
  <c r="K10" i="61"/>
  <c r="K11" s="1"/>
  <c r="K7"/>
  <c r="K8" s="1"/>
  <c r="D209" i="62"/>
  <c r="F149" i="69"/>
  <c r="F48"/>
  <c r="E100"/>
  <c r="E98"/>
  <c r="F44"/>
  <c r="E96"/>
  <c r="F147"/>
  <c r="D106"/>
  <c r="E94"/>
  <c r="F98"/>
  <c r="F46"/>
  <c r="F100"/>
  <c r="F41"/>
  <c r="D91" i="62"/>
  <c r="D146" i="69"/>
  <c r="F152"/>
  <c r="F150"/>
  <c r="E46"/>
  <c r="F96"/>
  <c r="F94"/>
  <c r="E48"/>
  <c r="E150"/>
  <c r="E152"/>
  <c r="D46"/>
  <c r="E41"/>
  <c r="E44"/>
  <c r="G208" i="62"/>
  <c r="G205"/>
  <c r="G215"/>
  <c r="F215"/>
  <c r="F201"/>
  <c r="F205"/>
  <c r="F216"/>
  <c r="F217"/>
  <c r="F210"/>
  <c r="E216"/>
  <c r="D207"/>
  <c r="G213"/>
  <c r="D204"/>
  <c r="D201"/>
  <c r="E213"/>
  <c r="F213"/>
  <c r="F105"/>
  <c r="E210"/>
  <c r="E209"/>
  <c r="F207"/>
  <c r="F107"/>
  <c r="G201"/>
  <c r="D49"/>
  <c r="D96"/>
  <c r="D93"/>
  <c r="AL10" i="119" l="1"/>
  <c r="D170" i="69" s="1"/>
  <c r="AL20" i="119"/>
  <c r="D180" i="69" s="1"/>
  <c r="E149"/>
  <c r="E147"/>
  <c r="G151"/>
  <c r="G153"/>
  <c r="H11" i="119"/>
  <c r="AL11" s="1"/>
  <c r="D171" i="69" s="1"/>
  <c r="AL7" i="119"/>
  <c r="D167" i="69" s="1"/>
  <c r="AL13" i="119"/>
  <c r="D173" i="69" s="1"/>
  <c r="AL9" i="119"/>
  <c r="D169" i="69" s="1"/>
  <c r="H19" i="119"/>
  <c r="AL19" s="1"/>
  <c r="D179" i="69" s="1"/>
  <c r="AL6" i="119"/>
  <c r="D166" i="69" s="1"/>
  <c r="AL12" i="119"/>
  <c r="D172" i="69" s="1"/>
  <c r="AL8" i="119"/>
  <c r="D168" i="69" s="1"/>
  <c r="D153"/>
  <c r="D161"/>
  <c r="D158"/>
  <c r="D149"/>
  <c r="D41"/>
  <c r="D44"/>
  <c r="E151"/>
  <c r="D147"/>
  <c r="F151"/>
  <c r="F153"/>
  <c r="E153"/>
  <c r="G206" i="62"/>
  <c r="G202"/>
  <c r="F208"/>
  <c r="F202"/>
  <c r="F206"/>
  <c r="D203"/>
  <c r="D208"/>
  <c r="D202"/>
  <c r="D205"/>
  <c r="E206"/>
  <c r="G203" l="1"/>
  <c r="F203"/>
  <c r="D206"/>
  <c r="I79" i="46" l="1"/>
  <c r="G34" i="62" s="1"/>
  <c r="AD38" i="24"/>
  <c r="P37"/>
  <c r="Q38" i="46"/>
  <c r="E33" i="62" s="1"/>
  <c r="I39" i="46"/>
  <c r="D34" i="62" s="1"/>
  <c r="I38" i="24"/>
  <c r="AR38"/>
  <c r="Y79" i="46"/>
  <c r="I34" i="62" s="1"/>
  <c r="AK37" i="24"/>
  <c r="C16" i="102" s="1"/>
  <c r="I37" i="24"/>
  <c r="P38"/>
  <c r="M39" i="61"/>
  <c r="Q78" i="46"/>
  <c r="H33" i="62" s="1"/>
  <c r="I78" i="46"/>
  <c r="G33" i="62" s="1"/>
  <c r="AD37" i="24"/>
  <c r="Q39" i="61"/>
  <c r="W38" i="24"/>
  <c r="Y39" i="46"/>
  <c r="F34" i="62" s="1"/>
  <c r="Y78" i="46"/>
  <c r="I33" i="62" s="1"/>
  <c r="AR37" i="24"/>
  <c r="M38" i="61"/>
  <c r="AK38" i="24"/>
  <c r="C17" i="102" s="1"/>
  <c r="Q79" i="46"/>
  <c r="H34" i="62" s="1"/>
  <c r="Q38" i="61"/>
  <c r="Y38" i="46"/>
  <c r="F33" i="62" s="1"/>
  <c r="W37" i="24"/>
  <c r="Q39" i="46"/>
  <c r="E34" i="62" s="1"/>
  <c r="I38" i="46"/>
  <c r="D33" i="62" s="1"/>
  <c r="I39" i="61"/>
  <c r="N17" i="74" l="1"/>
  <c r="AE17" s="1"/>
  <c r="AQ17" s="1"/>
  <c r="R16"/>
  <c r="N16"/>
  <c r="AE16" s="1"/>
  <c r="AQ16" s="1"/>
  <c r="T17"/>
  <c r="AI17" s="1"/>
  <c r="AU17" s="1"/>
  <c r="U17"/>
  <c r="W16"/>
  <c r="AK16" s="1"/>
  <c r="AW16" s="1"/>
  <c r="X16"/>
  <c r="T16"/>
  <c r="AI16" s="1"/>
  <c r="AU16" s="1"/>
  <c r="U16"/>
  <c r="W17"/>
  <c r="AK17" s="1"/>
  <c r="AW17" s="1"/>
  <c r="X17"/>
  <c r="Q17"/>
  <c r="AG17" s="1"/>
  <c r="AS17" s="1"/>
  <c r="R17"/>
  <c r="Q16"/>
  <c r="AG16" s="1"/>
  <c r="AS16" s="1"/>
  <c r="V16"/>
  <c r="AJ16" s="1"/>
  <c r="AV16" s="1"/>
  <c r="V17"/>
  <c r="AJ17" s="1"/>
  <c r="AV17" s="1"/>
  <c r="P16"/>
  <c r="AF16" s="1"/>
  <c r="AR16" s="1"/>
  <c r="S16"/>
  <c r="AH16" s="1"/>
  <c r="AT16" s="1"/>
  <c r="M16" i="102"/>
  <c r="Q16" s="1"/>
  <c r="M17" i="74"/>
  <c r="AD17" s="1"/>
  <c r="AP17" s="1"/>
  <c r="J17"/>
  <c r="AB17" s="1"/>
  <c r="AN17" s="1"/>
  <c r="J16"/>
  <c r="AB16" s="1"/>
  <c r="AN16" s="1"/>
  <c r="M16"/>
  <c r="AD16" s="1"/>
  <c r="AP16" s="1"/>
  <c r="S17"/>
  <c r="AH17" s="1"/>
  <c r="AT17" s="1"/>
  <c r="M17" i="102"/>
  <c r="Q17" s="1"/>
  <c r="G16" i="74"/>
  <c r="Z16" s="1"/>
  <c r="AL16" s="1"/>
  <c r="G17"/>
  <c r="Z17" s="1"/>
  <c r="AL17" s="1"/>
  <c r="P17"/>
  <c r="AF17" s="1"/>
  <c r="AR17" s="1"/>
  <c r="F35" i="69"/>
  <c r="E35"/>
  <c r="E36"/>
  <c r="D36"/>
  <c r="F36"/>
  <c r="D35"/>
  <c r="W119" i="24"/>
  <c r="R44" i="74"/>
  <c r="P119" i="24"/>
  <c r="I120"/>
  <c r="AR119"/>
  <c r="AK120"/>
  <c r="C45" i="102" s="1"/>
  <c r="P120" i="24"/>
  <c r="N44" i="74" l="1"/>
  <c r="AE44" s="1"/>
  <c r="AQ44" s="1"/>
  <c r="T45"/>
  <c r="AI45" s="1"/>
  <c r="AU45" s="1"/>
  <c r="U45"/>
  <c r="W44"/>
  <c r="AK44" s="1"/>
  <c r="AW44" s="1"/>
  <c r="X44"/>
  <c r="T44"/>
  <c r="AI44" s="1"/>
  <c r="AU44" s="1"/>
  <c r="Q43" i="115"/>
  <c r="I142" i="69" s="1"/>
  <c r="Q45" i="74"/>
  <c r="AG45" s="1"/>
  <c r="AS45" s="1"/>
  <c r="M44" i="115"/>
  <c r="H143" i="69" s="1"/>
  <c r="V44" i="74"/>
  <c r="AJ44" s="1"/>
  <c r="AV44" s="1"/>
  <c r="V45"/>
  <c r="AJ45" s="1"/>
  <c r="AV45" s="1"/>
  <c r="J44"/>
  <c r="AB44" s="1"/>
  <c r="AN44" s="1"/>
  <c r="G44"/>
  <c r="Z44" s="1"/>
  <c r="AL44" s="1"/>
  <c r="P44"/>
  <c r="AF44" s="1"/>
  <c r="AR44" s="1"/>
  <c r="S45"/>
  <c r="AH45" s="1"/>
  <c r="AT45" s="1"/>
  <c r="M45" i="102"/>
  <c r="Q45" s="1"/>
  <c r="P45" i="74"/>
  <c r="AF45" s="1"/>
  <c r="AR45" s="1"/>
  <c r="M44"/>
  <c r="AD44" s="1"/>
  <c r="AP44" s="1"/>
  <c r="M45"/>
  <c r="AD45" s="1"/>
  <c r="AP45" s="1"/>
  <c r="J45"/>
  <c r="AB45" s="1"/>
  <c r="AN45" s="1"/>
  <c r="G45"/>
  <c r="Z45" s="1"/>
  <c r="AL45" s="1"/>
  <c r="S44"/>
  <c r="AH44" s="1"/>
  <c r="AT44" s="1"/>
  <c r="M44" i="102"/>
  <c r="Q44" s="1"/>
  <c r="I81" i="60"/>
  <c r="Q40"/>
  <c r="Y80"/>
  <c r="I44" i="56"/>
  <c r="D143" i="69" s="1"/>
  <c r="I43" i="56"/>
  <c r="D142" i="69" s="1"/>
  <c r="I40" i="60"/>
  <c r="I80"/>
  <c r="I80" i="120" s="1"/>
  <c r="Y81" i="60"/>
  <c r="M44" i="56"/>
  <c r="Y40" i="60"/>
  <c r="Q43" i="56"/>
  <c r="M43"/>
  <c r="G197" i="62" l="1"/>
  <c r="I197"/>
  <c r="Y80" i="120"/>
  <c r="E198" i="62"/>
  <c r="Q40" i="120"/>
  <c r="G198" i="62"/>
  <c r="I81" i="120"/>
  <c r="F198" i="62"/>
  <c r="Y40" i="120"/>
  <c r="I198" i="62"/>
  <c r="Y81" i="120"/>
  <c r="E197" i="62"/>
  <c r="Q39" i="120"/>
  <c r="H197" i="62"/>
  <c r="Q80" i="120"/>
  <c r="F197" i="62"/>
  <c r="Y39" i="120"/>
  <c r="H198" i="62"/>
  <c r="Q81" i="120"/>
  <c r="D198" i="62"/>
  <c r="I40" i="120"/>
  <c r="D197" i="62"/>
  <c r="I39" i="120"/>
  <c r="F143" i="69"/>
  <c r="E143"/>
  <c r="E142"/>
  <c r="F142"/>
  <c r="Q17" i="58" l="1"/>
  <c r="E70" i="62" s="1"/>
  <c r="I17" i="58"/>
  <c r="D70" i="62" s="1"/>
  <c r="Y17" i="58"/>
  <c r="F70" i="62" s="1"/>
  <c r="Q55" i="58"/>
  <c r="H70" i="62" s="1"/>
  <c r="G70"/>
  <c r="Q17" i="54"/>
  <c r="F72" i="69" s="1"/>
  <c r="Y55" i="58"/>
  <c r="I70" i="62" s="1"/>
  <c r="M25" i="102"/>
  <c r="Q25" s="1"/>
  <c r="M17" i="54"/>
  <c r="E72" i="69" s="1"/>
  <c r="D72"/>
  <c r="S25" i="74" l="1"/>
  <c r="AH25" s="1"/>
  <c r="AT25" s="1"/>
  <c r="P25"/>
  <c r="AF25" s="1"/>
  <c r="AR25" s="1"/>
  <c r="J25"/>
  <c r="AB25" s="1"/>
  <c r="AN25" s="1"/>
  <c r="V25"/>
  <c r="AJ25" s="1"/>
  <c r="AV25" s="1"/>
  <c r="G25"/>
  <c r="Z25" s="1"/>
  <c r="AL25" s="1"/>
  <c r="M25"/>
  <c r="AD25" s="1"/>
  <c r="AP25" s="1"/>
  <c r="D18" i="69"/>
  <c r="D16" i="62"/>
  <c r="G11" i="74" l="1"/>
  <c r="Z11" s="1"/>
  <c r="AL11" s="1"/>
</calcChain>
</file>

<file path=xl/sharedStrings.xml><?xml version="1.0" encoding="utf-8"?>
<sst xmlns="http://schemas.openxmlformats.org/spreadsheetml/2006/main" count="15819" uniqueCount="1635">
  <si>
    <t>NaOH</t>
    <phoneticPr fontId="7"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</si>
  <si>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</si>
  <si>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</si>
  <si>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</si>
  <si>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</si>
  <si>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</si>
  <si>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</si>
  <si>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</si>
  <si>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</si>
  <si>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</si>
  <si>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</si>
  <si>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</si>
  <si>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</si>
  <si>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</si>
  <si>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</si>
  <si>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</si>
  <si>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</si>
  <si>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</si>
  <si>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</si>
  <si>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</si>
  <si>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</si>
  <si>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</si>
  <si>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</si>
  <si>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</si>
  <si>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</si>
  <si>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</si>
  <si>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</si>
  <si>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</si>
  <si>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</si>
  <si>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</si>
  <si>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</si>
  <si>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</si>
  <si>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</si>
  <si>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</si>
  <si>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</si>
  <si>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</si>
  <si>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1 (13,14)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</si>
  <si>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</si>
  <si>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</si>
  <si>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</si>
  <si>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</si>
  <si>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</si>
  <si>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</si>
  <si>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</si>
  <si>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</si>
  <si>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</si>
  <si>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</si>
  <si>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pcs</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</si>
  <si>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</si>
  <si>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</si>
  <si>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</si>
  <si>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</si>
  <si>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</si>
  <si>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</si>
  <si>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</si>
  <si>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</si>
  <si>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</si>
  <si>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</si>
  <si>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</si>
  <si>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</si>
  <si>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</si>
  <si>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</si>
  <si>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</si>
  <si>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</si>
  <si>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</si>
  <si>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</si>
  <si>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</si>
  <si>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</si>
  <si>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</si>
  <si>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</si>
  <si>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</si>
  <si>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</si>
  <si>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</si>
  <si>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</si>
  <si>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</si>
  <si>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</si>
  <si>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</si>
  <si>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</si>
  <si>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</si>
  <si>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</si>
  <si>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</si>
  <si>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NaOH (26-37)
氫氧化鈉</t>
  </si>
  <si>
    <t>Zn  鋅 (26-37)
(1 pcs Zn=25kg)</t>
  </si>
  <si>
    <t>Nồng độ acid loãng (12)
稀酸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</si>
  <si>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</si>
  <si>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</si>
  <si>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</si>
  <si>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</si>
  <si>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</si>
  <si>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</si>
  <si>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</si>
  <si>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</si>
  <si>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</si>
  <si>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</si>
  <si>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</si>
  <si>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</si>
  <si>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</si>
  <si>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</si>
  <si>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</si>
  <si>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</si>
  <si>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</si>
  <si>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</si>
  <si>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</si>
  <si>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</si>
  <si>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</si>
  <si>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</si>
  <si>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</si>
  <si>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</si>
  <si>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</si>
  <si>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</si>
  <si>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</si>
  <si>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</si>
  <si>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</si>
  <si>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</si>
  <si>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</si>
  <si>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</si>
  <si>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</si>
  <si>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</si>
  <si>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bồn xi Zn-Niken
 Zn-Niken 鍍鋅槽溫度</t>
  </si>
  <si>
    <t>Zn (bồn Zn-Niken)</t>
  </si>
  <si>
    <t>NaOH (bồn Zn-Niken)</t>
  </si>
  <si>
    <t>PH</t>
  </si>
  <si>
    <t>Nhiệt độ bồn màu Cr2O3 (Niken)
三價鉻 溫度</t>
  </si>
  <si>
    <t>鋅鎳合金電鍍槽
Zn-Niken Plating</t>
  </si>
  <si>
    <t xml:space="preserve"> Noàng ñoä   Cr2O3 (Niken)
三價鉻</t>
  </si>
  <si>
    <t>Đơn vị
單位</t>
  </si>
  <si>
    <t>tiêu chuẩn khống chế để bổ sung</t>
  </si>
  <si>
    <t>L.Yen</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</si>
  <si>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</si>
  <si>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</si>
  <si>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</si>
  <si>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</si>
  <si>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</si>
  <si>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</si>
  <si>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</si>
  <si>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</si>
  <si>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</si>
  <si>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</si>
  <si>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</si>
  <si>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</si>
  <si>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</si>
  <si>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</si>
  <si>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</si>
  <si>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</si>
  <si>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</si>
  <si>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</si>
  <si>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</si>
  <si>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</si>
  <si>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</si>
  <si>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</si>
  <si>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</si>
  <si>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</si>
  <si>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</si>
  <si>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</si>
  <si>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</si>
  <si>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</si>
  <si>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</si>
  <si>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</si>
  <si>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</si>
  <si>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</si>
  <si>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</si>
  <si>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</si>
  <si>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</si>
  <si>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</si>
  <si>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</si>
  <si>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</si>
  <si>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</si>
  <si>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</si>
  <si>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</si>
  <si>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</si>
  <si>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</si>
  <si>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</si>
  <si>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</si>
  <si>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</si>
  <si>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</si>
  <si>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</si>
  <si>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</si>
  <si>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</si>
  <si>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</si>
  <si>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</si>
  <si>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</si>
  <si>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</si>
  <si>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</si>
  <si>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</si>
  <si>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</si>
  <si>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</si>
  <si>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</si>
  <si>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</si>
  <si>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</si>
  <si>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</si>
  <si>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</si>
  <si>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</si>
  <si>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</si>
  <si>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 xml:space="preserve">Zn-Niken Plating-        NaOH </t>
  </si>
  <si>
    <t>Zn-Niken Plating-          Zn</t>
  </si>
  <si>
    <t>Cr2O3   三價鉻Ni-       PH</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</si>
  <si>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</si>
  <si>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</si>
  <si>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</si>
  <si>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</si>
  <si>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</si>
  <si>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</si>
  <si>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</si>
  <si>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</si>
  <si>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</si>
  <si>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</si>
  <si>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</si>
  <si>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</si>
  <si>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</si>
  <si>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</si>
  <si>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</si>
  <si>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</si>
  <si>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</si>
  <si>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</si>
  <si>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</si>
  <si>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</si>
  <si>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</si>
  <si>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</si>
  <si>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</si>
  <si>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</si>
  <si>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</si>
  <si>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 xml:space="preserve">pha mới máy G: 200 lít dẻo +5 lít bóng </t>
  </si>
  <si>
    <t xml:space="preserve">chất bóng: </t>
  </si>
  <si>
    <t>lít</t>
  </si>
  <si>
    <t xml:space="preserve">chất dẻo: </t>
  </si>
  <si>
    <t>Haïng muïc kieåm tra bôm thuoác töï ñoäng 藥液自動添加</t>
  </si>
  <si>
    <t>XT</t>
  </si>
  <si>
    <t>chất mềm (250 base)
開缸劑</t>
  </si>
  <si>
    <t>chaát boùng (250 brightener)
光亮劑</t>
  </si>
  <si>
    <t>300-360</t>
  </si>
  <si>
    <t>30-50</t>
  </si>
  <si>
    <t>CT-21A</t>
  </si>
  <si>
    <t>CT-21B</t>
  </si>
  <si>
    <t>EC-508A</t>
  </si>
  <si>
    <t>EC-508B</t>
  </si>
  <si>
    <t>Nồng độ   Cr2O3 （K)
三價鉻
FINIDIP 124</t>
  </si>
  <si>
    <t>開缸劑
250 Base</t>
  </si>
  <si>
    <t>光亮劑
250 Brightener</t>
  </si>
  <si>
    <t>ml/1000AH</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</si>
  <si>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</si>
  <si>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</si>
  <si>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</si>
  <si>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</si>
  <si>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</si>
  <si>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</si>
  <si>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</si>
  <si>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</si>
  <si>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</si>
  <si>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</si>
  <si>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</si>
  <si>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</si>
  <si>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</si>
  <si>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</si>
  <si>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</si>
  <si>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</si>
  <si>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</si>
  <si>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</si>
  <si>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</si>
  <si>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</si>
  <si>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</si>
  <si>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</si>
  <si>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</si>
  <si>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</si>
  <si>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</si>
  <si>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</si>
  <si>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</si>
  <si>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</si>
  <si>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</si>
  <si>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</si>
  <si>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</si>
  <si>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</si>
  <si>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</si>
  <si>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</si>
  <si>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</si>
  <si>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</si>
  <si>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</si>
  <si>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</si>
  <si>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</si>
  <si>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</si>
  <si>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</si>
  <si>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</si>
  <si>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</si>
  <si>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</si>
  <si>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</si>
  <si>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</si>
  <si>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</si>
  <si>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</si>
  <si>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</si>
  <si>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</si>
  <si>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</si>
  <si>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</si>
  <si>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</si>
  <si>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</si>
  <si>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</si>
  <si>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</si>
  <si>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</si>
  <si>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</si>
  <si>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</si>
  <si>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</si>
  <si>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</si>
  <si>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</si>
  <si>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</si>
  <si>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</si>
  <si>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</si>
  <si>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</si>
  <si>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</si>
  <si>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</si>
  <si>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</si>
  <si>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</si>
  <si>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</si>
  <si>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XTNI-NAOH</t>
  </si>
  <si>
    <t>XTNI-CR3PH</t>
  </si>
  <si>
    <t>XTNI-TEMBX</t>
  </si>
  <si>
    <t>XT-TEMCR3NI</t>
  </si>
  <si>
    <t>XT-TEMBX</t>
  </si>
  <si>
    <t>1E-TEMBX</t>
  </si>
  <si>
    <t>1F-TEMBX</t>
  </si>
  <si>
    <t>Hạng mục kiểm tra nồng độ
化驗檢查項目</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</si>
  <si>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</si>
  <si>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</si>
  <si>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</si>
  <si>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</si>
  <si>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</si>
  <si>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</si>
  <si>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</si>
  <si>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</si>
  <si>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</si>
  <si>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</si>
  <si>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</si>
  <si>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</si>
  <si>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</si>
  <si>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</si>
  <si>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</si>
  <si>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</si>
  <si>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</si>
  <si>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</si>
  <si>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</si>
  <si>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</si>
  <si>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</si>
  <si>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</si>
  <si>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</si>
  <si>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</si>
  <si>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</si>
  <si>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</si>
  <si>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</si>
  <si>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</si>
  <si>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</si>
  <si>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</si>
  <si>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</si>
  <si>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</si>
  <si>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</si>
  <si>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</si>
  <si>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</si>
  <si>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</si>
  <si>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</si>
  <si>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</si>
  <si>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</si>
  <si>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</si>
  <si>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</si>
  <si>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</si>
  <si>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</si>
  <si>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</si>
  <si>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</si>
  <si>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</si>
  <si>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</si>
  <si>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</si>
  <si>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</si>
  <si>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</si>
  <si>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</si>
  <si>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</si>
  <si>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</si>
  <si>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</si>
  <si>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</si>
  <si>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</si>
  <si>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</si>
  <si>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</si>
  <si>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</si>
  <si>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</si>
  <si>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</si>
  <si>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</si>
  <si>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</si>
  <si>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</si>
  <si>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</si>
  <si>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</si>
  <si>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</si>
  <si>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</si>
  <si>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</si>
  <si>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</si>
  <si>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</si>
  <si>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</si>
  <si>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</si>
  <si>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</si>
  <si>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</si>
  <si>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</si>
  <si>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</si>
  <si>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</si>
  <si>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</si>
  <si>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</si>
  <si>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</si>
  <si>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</si>
  <si>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</si>
  <si>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</si>
  <si>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</si>
  <si>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</si>
  <si>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</si>
  <si>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</si>
  <si>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</si>
  <si>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</si>
  <si>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</si>
  <si>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</si>
  <si>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</si>
  <si>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</si>
  <si>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</si>
  <si>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</si>
  <si>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</si>
  <si>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</si>
  <si>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</si>
  <si>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</si>
  <si>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</si>
  <si>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</si>
  <si>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</si>
  <si>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</si>
  <si>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</si>
  <si>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</si>
  <si>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</si>
  <si>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</si>
  <si>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</si>
  <si>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</si>
  <si>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</si>
  <si>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</si>
  <si>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</si>
  <si>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</si>
  <si>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</si>
  <si>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</si>
  <si>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</si>
  <si>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</si>
  <si>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</si>
  <si>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</si>
  <si>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</si>
  <si>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</si>
  <si>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</si>
  <si>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</si>
  <si>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</si>
  <si>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</si>
  <si>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</si>
  <si>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</si>
  <si>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</si>
  <si>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</si>
  <si>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</si>
  <si>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</si>
  <si>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</si>
  <si>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</si>
  <si>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</si>
  <si>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</si>
  <si>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</si>
  <si>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</si>
  <si>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</si>
  <si>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</si>
  <si>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</si>
  <si>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</si>
  <si>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</si>
  <si>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</si>
  <si>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</si>
  <si>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</si>
  <si>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</si>
  <si>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</si>
  <si>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</si>
  <si>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</si>
  <si>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</si>
  <si>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</si>
  <si>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</si>
  <si>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</si>
  <si>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生產線別：XI ĐEN - epoxy</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</si>
  <si>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</si>
  <si>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</si>
  <si>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</si>
  <si>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</si>
  <si>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</si>
  <si>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</si>
  <si>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</si>
  <si>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</si>
  <si>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</si>
  <si>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</si>
  <si>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</si>
  <si>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</si>
  <si>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</si>
  <si>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</si>
  <si>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</si>
  <si>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</si>
  <si>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</si>
  <si>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</si>
  <si>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</si>
  <si>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</si>
  <si>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</si>
  <si>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</si>
  <si>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</si>
  <si>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</si>
  <si>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</si>
  <si>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</si>
  <si>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</si>
  <si>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</si>
  <si>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</si>
  <si>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</si>
  <si>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</si>
  <si>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</si>
  <si>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</si>
  <si>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</si>
  <si>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</si>
  <si>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</si>
  <si>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</si>
  <si>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</si>
  <si>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</si>
  <si>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</si>
  <si>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</si>
  <si>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</si>
  <si>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</si>
  <si>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</si>
  <si>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</si>
  <si>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</si>
  <si>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</si>
  <si>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</si>
  <si>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</si>
  <si>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</si>
  <si>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</si>
  <si>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</si>
  <si>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</si>
  <si>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</si>
  <si>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</si>
  <si>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</si>
  <si>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</si>
  <si>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</si>
  <si>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</si>
  <si>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</si>
  <si>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</si>
  <si>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</si>
  <si>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</si>
  <si>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</si>
  <si>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</si>
  <si>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</si>
  <si>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</si>
  <si>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</si>
  <si>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</si>
  <si>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</si>
  <si>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</si>
  <si>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</si>
  <si>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</si>
  <si>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</si>
  <si>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</si>
  <si>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</si>
  <si>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</si>
  <si>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</si>
  <si>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</si>
  <si>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DC-GAY07</t>
  </si>
  <si>
    <t xml:space="preserve"> 染色Màu- Gey-07</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</si>
  <si>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</si>
  <si>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</si>
  <si>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</si>
  <si>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</si>
  <si>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</si>
  <si>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</si>
  <si>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</si>
  <si>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</si>
  <si>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</si>
  <si>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</si>
  <si>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</si>
  <si>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</si>
  <si>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</si>
  <si>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</si>
  <si>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</si>
  <si>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</si>
  <si>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</si>
  <si>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</si>
  <si>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</si>
  <si>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</si>
  <si>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</si>
  <si>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</si>
  <si>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</si>
  <si>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</si>
  <si>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</si>
  <si>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</si>
  <si>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</si>
  <si>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</si>
  <si>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</si>
  <si>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</si>
  <si>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</si>
  <si>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</si>
  <si>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</si>
  <si>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</si>
  <si>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</si>
  <si>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</si>
  <si>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</si>
  <si>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</si>
  <si>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8" type="noConversion"/>
  </si>
  <si>
    <t>Yen</t>
    <phoneticPr fontId="8" type="noConversion"/>
  </si>
  <si>
    <t>NO</t>
    <phoneticPr fontId="8"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</si>
  <si>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</si>
  <si>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</si>
  <si>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</si>
  <si>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</si>
  <si>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</si>
  <si>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</si>
  <si>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8" type="noConversion"/>
  </si>
  <si>
    <t>Noàng ñoä  axit HCl (1)</t>
  </si>
  <si>
    <t>%</t>
    <phoneticPr fontId="8" type="noConversion"/>
  </si>
  <si>
    <t>10~15%  
(12.5%)</t>
  </si>
  <si>
    <t>+</t>
    <phoneticPr fontId="8" type="noConversion"/>
  </si>
  <si>
    <t>IS18</t>
    <phoneticPr fontId="8" type="noConversion"/>
  </si>
  <si>
    <t>Noàng ñoä  axit HCl (2)</t>
  </si>
  <si>
    <r>
      <t xml:space="preserve">Muối axit Phosphoric 1
</t>
    </r>
    <r>
      <rPr>
        <sz val="9"/>
        <rFont val="細明體"/>
        <family val="3"/>
        <charset val="136"/>
      </rPr>
      <t>磷酸鹽 1</t>
    </r>
  </si>
  <si>
    <t>Tổng chua TA 
40~60 (50)</t>
  </si>
  <si>
    <t>+</t>
    <phoneticPr fontId="8" type="noConversion"/>
  </si>
  <si>
    <t>kg</t>
    <phoneticPr fontId="8" type="noConversion"/>
  </si>
  <si>
    <t>IS16</t>
    <phoneticPr fontId="8" type="noConversion"/>
  </si>
  <si>
    <t>tỷ lệ axit
5.2~7.8 (6.5)</t>
  </si>
  <si>
    <t>IS14</t>
    <phoneticPr fontId="8"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</si>
  <si>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</si>
  <si>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</si>
  <si>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</si>
  <si>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8" type="noConversion"/>
  </si>
  <si>
    <t>kg</t>
    <phoneticPr fontId="8" type="noConversion"/>
  </si>
  <si>
    <t>pH</t>
    <phoneticPr fontId="8" type="noConversion"/>
  </si>
  <si>
    <t>8.5~10</t>
  </si>
  <si>
    <r>
      <t xml:space="preserve">Haïng muïc kieåm tra nhieät ñoä </t>
    </r>
    <r>
      <rPr>
        <sz val="9"/>
        <rFont val="細明體"/>
        <family val="3"/>
        <charset val="136"/>
      </rPr>
      <t>檢查溫度</t>
    </r>
  </si>
  <si>
    <t>No</t>
    <phoneticPr fontId="8"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</si>
  <si>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</si>
  <si>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</si>
  <si>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</si>
  <si>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</si>
  <si>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</si>
  <si>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</si>
  <si>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</si>
  <si>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8" type="noConversion"/>
  </si>
  <si>
    <t>NO</t>
    <phoneticPr fontId="8" type="noConversion"/>
  </si>
  <si>
    <t>Q3-CXVN
-PC01-</t>
    <phoneticPr fontId="8" type="noConversion"/>
  </si>
  <si>
    <t>IS18</t>
    <phoneticPr fontId="8" type="noConversion"/>
  </si>
  <si>
    <t>IS19</t>
  </si>
  <si>
    <r>
      <t xml:space="preserve">Muối axit Phosphoric 
</t>
    </r>
    <r>
      <rPr>
        <sz val="9"/>
        <rFont val="細明體"/>
        <family val="3"/>
        <charset val="136"/>
      </rPr>
      <t>磷酸鹽</t>
    </r>
  </si>
  <si>
    <t>IS16</t>
    <phoneticPr fontId="8" type="noConversion"/>
  </si>
  <si>
    <t>IS14</t>
    <phoneticPr fontId="8" type="noConversion"/>
  </si>
  <si>
    <t>+</t>
    <phoneticPr fontId="8" type="noConversion"/>
  </si>
  <si>
    <t>kg</t>
    <phoneticPr fontId="8" type="noConversion"/>
  </si>
  <si>
    <t>No</t>
    <phoneticPr fontId="8" type="noConversion"/>
  </si>
  <si>
    <r>
      <t xml:space="preserve">laäp bieåu
 </t>
    </r>
    <r>
      <rPr>
        <sz val="11"/>
        <rFont val="細明體"/>
        <family val="3"/>
        <charset val="136"/>
      </rPr>
      <t>作成</t>
    </r>
  </si>
  <si>
    <t>Yen</t>
    <phoneticPr fontId="8" type="noConversion"/>
  </si>
  <si>
    <t>NO</t>
    <phoneticPr fontId="8"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</si>
  <si>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</si>
  <si>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</si>
  <si>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</si>
  <si>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</si>
  <si>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</si>
  <si>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</si>
  <si>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8" type="noConversion"/>
  </si>
  <si>
    <r>
      <t xml:space="preserve">Khử dầu
</t>
    </r>
    <r>
      <rPr>
        <sz val="10"/>
        <rFont val="細明體"/>
        <family val="3"/>
        <charset val="136"/>
      </rPr>
      <t>脫脂</t>
    </r>
  </si>
  <si>
    <t>Point</t>
    <phoneticPr fontId="8" type="noConversion"/>
  </si>
  <si>
    <t>+</t>
    <phoneticPr fontId="8" type="noConversion"/>
  </si>
  <si>
    <t>kg</t>
    <phoneticPr fontId="8" type="noConversion"/>
  </si>
  <si>
    <t>PC01-IS18</t>
    <phoneticPr fontId="8" type="noConversion"/>
  </si>
  <si>
    <t xml:space="preserve">Rua acid </t>
    <phoneticPr fontId="8" type="noConversion"/>
  </si>
  <si>
    <t>%</t>
    <phoneticPr fontId="8" type="noConversion"/>
  </si>
  <si>
    <t>+</t>
    <phoneticPr fontId="8" type="noConversion"/>
  </si>
  <si>
    <t>L</t>
    <phoneticPr fontId="8" type="noConversion"/>
  </si>
  <si>
    <t>PC01-IS15</t>
    <phoneticPr fontId="8" type="noConversion"/>
  </si>
  <si>
    <r>
      <t xml:space="preserve">Muối axit Phosphoric  </t>
    </r>
    <r>
      <rPr>
        <sz val="10"/>
        <rFont val="細明體"/>
        <family val="3"/>
        <charset val="136"/>
      </rPr>
      <t>磷酸鹽</t>
    </r>
  </si>
  <si>
    <t>PC01-IS16</t>
    <phoneticPr fontId="8" type="noConversion"/>
  </si>
  <si>
    <t>PC01-IS14</t>
    <phoneticPr fontId="8" type="noConversion"/>
  </si>
  <si>
    <r>
      <t xml:space="preserve">Xà bông
</t>
    </r>
    <r>
      <rPr>
        <sz val="10"/>
        <rFont val="細明體"/>
        <family val="3"/>
        <charset val="136"/>
      </rPr>
      <t>潤滑皂</t>
    </r>
  </si>
  <si>
    <t>PC01-IS22</t>
    <phoneticPr fontId="8" type="noConversion"/>
  </si>
  <si>
    <t>pH</t>
    <phoneticPr fontId="8" type="noConversion"/>
  </si>
  <si>
    <r>
      <t xml:space="preserve">Haïng muïc kieåm tra nhieät ñoä </t>
    </r>
    <r>
      <rPr>
        <sz val="14"/>
        <rFont val="細明體"/>
        <family val="3"/>
        <charset val="136"/>
      </rPr>
      <t>檢查溫度</t>
    </r>
  </si>
  <si>
    <t>No</t>
    <phoneticPr fontId="8"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</si>
  <si>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</si>
  <si>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</si>
  <si>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</si>
  <si>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</si>
  <si>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</si>
  <si>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</si>
  <si>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</si>
  <si>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</si>
  <si>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</si>
  <si>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</si>
  <si>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</si>
  <si>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8" type="noConversion"/>
  </si>
  <si>
    <t>kg</t>
    <phoneticPr fontId="8" type="noConversion"/>
  </si>
  <si>
    <t>%</t>
    <phoneticPr fontId="8" type="noConversion"/>
  </si>
  <si>
    <t>L</t>
    <phoneticPr fontId="8" type="noConversion"/>
  </si>
  <si>
    <r>
      <t xml:space="preserve">Muối axit Phosphoric  
</t>
    </r>
    <r>
      <rPr>
        <sz val="10"/>
        <rFont val="細明體"/>
        <family val="3"/>
        <charset val="136"/>
      </rPr>
      <t>磷酸鹽</t>
    </r>
  </si>
  <si>
    <t>Point</t>
    <phoneticPr fontId="8" type="noConversion"/>
  </si>
  <si>
    <t>pH</t>
    <phoneticPr fontId="8" type="noConversion"/>
  </si>
  <si>
    <t>No</t>
    <phoneticPr fontId="8" type="noConversion"/>
  </si>
  <si>
    <r>
      <t xml:space="preserve">Muối axit Phosphoric 
</t>
    </r>
    <r>
      <rPr>
        <sz val="10"/>
        <rFont val="細明體"/>
        <family val="3"/>
        <charset val="136"/>
      </rPr>
      <t>磷酸鹽</t>
    </r>
  </si>
  <si>
    <t>Q3-CXVN-</t>
    <phoneticPr fontId="8" type="noConversion"/>
  </si>
  <si>
    <t>PC01-IS15</t>
    <phoneticPr fontId="8" type="noConversion"/>
  </si>
  <si>
    <r>
      <t xml:space="preserve">Muối axit Phosphoric  (1)
</t>
    </r>
    <r>
      <rPr>
        <sz val="10"/>
        <rFont val="細明體"/>
        <family val="3"/>
        <charset val="136"/>
      </rPr>
      <t>磷酸鹽</t>
    </r>
  </si>
  <si>
    <t>PC01-IS16</t>
    <phoneticPr fontId="8" type="noConversion"/>
  </si>
  <si>
    <t>PC01-IS14</t>
    <phoneticPr fontId="8" type="noConversion"/>
  </si>
  <si>
    <r>
      <t>Muối axit Phosphoric  (2)
磷酸鹽</t>
    </r>
    <r>
      <rPr>
        <sz val="9"/>
        <rFont val="細明體"/>
        <family val="3"/>
        <charset val="136"/>
      </rPr>
      <t/>
    </r>
  </si>
  <si>
    <t>PC01-IS18</t>
    <phoneticPr fontId="8"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</si>
  <si>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</si>
  <si>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</si>
  <si>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</si>
  <si>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</si>
  <si>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</si>
  <si>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</si>
  <si>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</si>
  <si>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</si>
  <si>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</si>
  <si>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</si>
  <si>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</si>
  <si>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</si>
  <si>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</si>
  <si>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</si>
  <si>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</si>
  <si>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</si>
  <si>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</si>
  <si>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</si>
  <si>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</si>
  <si>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</si>
  <si>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1"/>
        <rFont val="細明體"/>
        <family val="3"/>
        <charset val="136"/>
      </rPr>
      <t>封孔</t>
    </r>
    <r>
      <rPr>
        <sz val="11"/>
        <rFont val="VNI-Times"/>
      </rPr>
      <t xml:space="preserve"> ñoùng loã 1 (HK-101A1)</t>
    </r>
  </si>
  <si>
    <r>
      <rPr>
        <sz val="11"/>
        <rFont val="細明體"/>
        <family val="3"/>
        <charset val="136"/>
      </rPr>
      <t>烘乾</t>
    </r>
    <r>
      <rPr>
        <sz val="11"/>
        <rFont val="VNI-Times"/>
      </rPr>
      <t xml:space="preserve"> maùy saáy</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</si>
  <si>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</si>
  <si>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</si>
  <si>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</si>
  <si>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</si>
  <si>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</si>
  <si>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</si>
  <si>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</si>
  <si>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</si>
  <si>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</si>
  <si>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</si>
  <si>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</si>
  <si>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</si>
  <si>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</si>
  <si>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</si>
  <si>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</si>
  <si>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</si>
  <si>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</si>
  <si>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</si>
  <si>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</si>
  <si>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</si>
  <si>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</si>
  <si>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</si>
  <si>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</si>
  <si>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</si>
  <si>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</si>
  <si>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</si>
  <si>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</si>
  <si>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</si>
  <si>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</si>
  <si>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</si>
  <si>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</si>
  <si>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</si>
  <si>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</si>
  <si>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</si>
  <si>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</si>
  <si>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</si>
  <si>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</si>
  <si>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</si>
  <si>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</si>
  <si>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</si>
  <si>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</si>
  <si>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</si>
  <si>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</si>
  <si>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</si>
  <si>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</si>
  <si>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</si>
  <si>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</si>
  <si>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</si>
  <si>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</si>
  <si>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</si>
  <si>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</si>
  <si>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</si>
  <si>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</si>
  <si>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</si>
  <si>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</si>
  <si>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</si>
  <si>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</si>
  <si>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</si>
  <si>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</si>
  <si>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</si>
  <si>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</si>
  <si>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</si>
  <si>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</si>
  <si>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</si>
  <si>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</si>
  <si>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</si>
  <si>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</si>
  <si>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</si>
  <si>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</si>
  <si>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</si>
  <si>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</si>
  <si>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</si>
  <si>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</si>
  <si>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</si>
  <si>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</si>
  <si>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</si>
  <si>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</si>
  <si>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</si>
  <si>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</si>
  <si>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</si>
  <si>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</si>
  <si>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</si>
  <si>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</si>
  <si>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</si>
  <si>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</si>
  <si>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</si>
  <si>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</si>
  <si>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</si>
  <si>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</si>
  <si>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</si>
  <si>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</si>
  <si>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</si>
  <si>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</si>
  <si>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</si>
  <si>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</si>
  <si>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</si>
  <si>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</si>
  <si>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</si>
  <si>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</si>
  <si>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</si>
  <si>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</si>
  <si>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</si>
  <si>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</si>
  <si>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</si>
  <si>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</si>
  <si>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</si>
  <si>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</si>
  <si>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</si>
  <si>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</si>
  <si>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</si>
  <si>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</si>
  <si>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</si>
  <si>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</si>
  <si>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</si>
  <si>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</si>
  <si>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</si>
  <si>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</si>
  <si>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</si>
  <si>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</si>
  <si>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</si>
  <si>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</si>
  <si>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</si>
  <si>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</si>
  <si>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</si>
  <si>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</si>
  <si>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</si>
  <si>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</si>
  <si>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</si>
  <si>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</si>
  <si>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</si>
  <si>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</si>
  <si>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</si>
  <si>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</si>
  <si>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</si>
  <si>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</si>
  <si>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</si>
  <si>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</si>
  <si>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</si>
  <si>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</si>
  <si>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</si>
  <si>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</si>
  <si>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7" type="noConversion"/>
  </si>
  <si>
    <t xml:space="preserve">Rua acid </t>
    <phoneticPr fontId="7" type="noConversion"/>
  </si>
  <si>
    <r>
      <t xml:space="preserve">BẢNG KIỂM TRA DUNG DỊCH MUỐI AXIT PHOSPHORIC   _ RL-F
XỬ LÝ LỚP VỎ BÊN NGOÀI  </t>
    </r>
    <r>
      <rPr>
        <b/>
        <sz val="12"/>
        <rFont val="細明體"/>
        <family val="3"/>
        <charset val="136"/>
      </rPr>
      <t>磷酸鹽皮膜處理液管理表</t>
    </r>
    <phoneticPr fontId="7" type="noConversion"/>
  </si>
  <si>
    <r>
      <t xml:space="preserve">Keát quaû kieåm tra
</t>
    </r>
    <r>
      <rPr>
        <sz val="9"/>
        <rFont val="細明體"/>
        <family val="3"/>
        <charset val="136"/>
      </rPr>
      <t>檢查結果</t>
    </r>
    <r>
      <rPr>
        <sz val="9"/>
        <rFont val="VNI-Times"/>
      </rPr>
      <t xml:space="preserve"> (RL-F)</t>
    </r>
    <phoneticPr fontId="7" type="noConversion"/>
  </si>
  <si>
    <t>+</t>
    <phoneticPr fontId="8" type="noConversion"/>
  </si>
  <si>
    <t>kg</t>
    <phoneticPr fontId="8" type="noConversion"/>
  </si>
  <si>
    <t>L</t>
    <phoneticPr fontId="8" type="noConversion"/>
  </si>
  <si>
    <r>
      <t xml:space="preserve">Khử dầu 
</t>
    </r>
    <r>
      <rPr>
        <sz val="10"/>
        <rFont val="細明體"/>
        <family val="3"/>
        <charset val="136"/>
      </rPr>
      <t>脫脂</t>
    </r>
    <phoneticPr fontId="7" type="noConversion"/>
  </si>
  <si>
    <r>
      <t xml:space="preserve">Muối axit Phosphoric 
</t>
    </r>
    <r>
      <rPr>
        <sz val="10"/>
        <rFont val="細明體"/>
        <family val="3"/>
        <charset val="136"/>
      </rPr>
      <t>磷酸鹽</t>
    </r>
    <r>
      <rPr>
        <sz val="9"/>
        <rFont val="細明體"/>
        <family val="3"/>
        <charset val="136"/>
      </rPr>
      <t/>
    </r>
    <phoneticPr fontId="7" type="noConversion"/>
  </si>
  <si>
    <r>
      <t xml:space="preserve">Khử dầu 
</t>
    </r>
    <r>
      <rPr>
        <sz val="10"/>
        <rFont val="細明體"/>
        <family val="3"/>
        <charset val="136"/>
      </rPr>
      <t>脫脂</t>
    </r>
    <phoneticPr fontId="7" type="noConversion"/>
  </si>
  <si>
    <t>IMPORT</t>
    <phoneticPr fontId="7" type="noConversion"/>
  </si>
  <si>
    <t>RLF-HCL1</t>
  </si>
  <si>
    <t>RLF-KD</t>
  </si>
  <si>
    <t>RLF-PP1TA</t>
  </si>
  <si>
    <t>RLF-PP1AX</t>
  </si>
  <si>
    <t>RLF-PP1PL</t>
  </si>
  <si>
    <t>RLF-XB</t>
  </si>
  <si>
    <t>RLF-XBPH</t>
  </si>
  <si>
    <t>1</t>
    <phoneticPr fontId="7" type="noConversion"/>
  </si>
  <si>
    <t>2</t>
    <phoneticPr fontId="7" type="noConversion"/>
  </si>
  <si>
    <t>3</t>
    <phoneticPr fontId="7" type="noConversion"/>
  </si>
  <si>
    <t>4</t>
    <phoneticPr fontId="7" type="noConversion"/>
  </si>
  <si>
    <t>5</t>
    <phoneticPr fontId="7" type="noConversion"/>
  </si>
  <si>
    <t>6</t>
    <phoneticPr fontId="7" type="noConversion"/>
  </si>
  <si>
    <t>7</t>
    <phoneticPr fontId="7" type="noConversion"/>
  </si>
  <si>
    <t>8</t>
    <phoneticPr fontId="7" type="noConversion"/>
  </si>
  <si>
    <t>khoảng thời gian
 Import</t>
    <phoneticPr fontId="7" type="noConversion"/>
  </si>
  <si>
    <r>
      <t>THỜI GIAN IMPORT CÁC CHUY</t>
    </r>
    <r>
      <rPr>
        <sz val="11"/>
        <color theme="1"/>
        <rFont val="細明體"/>
        <family val="3"/>
        <charset val="136"/>
      </rPr>
      <t>Ề</t>
    </r>
    <r>
      <rPr>
        <sz val="11"/>
        <color theme="1"/>
        <rFont val="Times New Roman"/>
        <family val="1"/>
      </rPr>
      <t>N</t>
    </r>
    <phoneticPr fontId="178" type="noConversion"/>
  </si>
  <si>
    <r>
      <t>chuy</t>
    </r>
    <r>
      <rPr>
        <sz val="11"/>
        <color theme="1"/>
        <rFont val="細明體"/>
        <family val="3"/>
        <charset val="136"/>
      </rPr>
      <t>ề</t>
    </r>
    <r>
      <rPr>
        <sz val="11"/>
        <color theme="1"/>
        <rFont val="Times New Roman"/>
        <family val="1"/>
      </rPr>
      <t>n</t>
    </r>
    <phoneticPr fontId="178" type="noConversion"/>
  </si>
  <si>
    <t>THỜI GIAN</t>
    <phoneticPr fontId="178" type="noConversion"/>
  </si>
  <si>
    <t>XI MẠ</t>
    <phoneticPr fontId="178" type="noConversion"/>
  </si>
  <si>
    <t>XL-001E</t>
    <phoneticPr fontId="178" type="noConversion"/>
  </si>
  <si>
    <t>8:15-8:45</t>
    <phoneticPr fontId="178" type="noConversion"/>
  </si>
  <si>
    <t>10:15-10:45</t>
    <phoneticPr fontId="178" type="noConversion"/>
  </si>
  <si>
    <t>15:00-15:30</t>
    <phoneticPr fontId="178" type="noConversion"/>
  </si>
  <si>
    <t>20:15-20:45</t>
    <phoneticPr fontId="178" type="noConversion"/>
  </si>
  <si>
    <t>22:15-22:45</t>
    <phoneticPr fontId="178" type="noConversion"/>
  </si>
  <si>
    <t>2:30-3:00</t>
    <phoneticPr fontId="178" type="noConversion"/>
  </si>
  <si>
    <t>4:30-5:00</t>
    <phoneticPr fontId="178" type="noConversion"/>
  </si>
  <si>
    <t>XL-001F</t>
    <phoneticPr fontId="178" type="noConversion"/>
  </si>
  <si>
    <t>XI TREO</t>
    <phoneticPr fontId="178" type="noConversion"/>
  </si>
  <si>
    <t>XT-001C</t>
    <phoneticPr fontId="178" type="noConversion"/>
  </si>
  <si>
    <t>RỬA LiỆU</t>
    <phoneticPr fontId="178" type="noConversion"/>
  </si>
  <si>
    <t>RL-E</t>
    <phoneticPr fontId="178" type="noConversion"/>
  </si>
  <si>
    <t>16:30-17:00</t>
    <phoneticPr fontId="178" type="noConversion"/>
  </si>
  <si>
    <t>RL-F</t>
    <phoneticPr fontId="178" type="noConversion"/>
  </si>
  <si>
    <t>RL-C</t>
    <phoneticPr fontId="178" type="noConversion"/>
  </si>
  <si>
    <t>DƯƠNG CỰC</t>
    <phoneticPr fontId="178" type="noConversion"/>
  </si>
  <si>
    <t>DC</t>
    <phoneticPr fontId="178" type="noConversion"/>
  </si>
  <si>
    <t>XI ĐEN</t>
    <phoneticPr fontId="178" type="noConversion"/>
  </si>
  <si>
    <t>XD</t>
    <phoneticPr fontId="178" type="noConversion"/>
  </si>
  <si>
    <t>tg import</t>
    <phoneticPr fontId="7"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</si>
  <si>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7" type="noConversion"/>
  </si>
  <si>
    <t>RL-G</t>
    <phoneticPr fontId="7" type="noConversion"/>
  </si>
  <si>
    <t>RL-F</t>
    <phoneticPr fontId="7" type="noConversion"/>
  </si>
  <si>
    <t>KHU DAU</t>
    <phoneticPr fontId="7" type="noConversion"/>
  </si>
  <si>
    <t>KHU DAU</t>
    <phoneticPr fontId="7" type="noConversion"/>
  </si>
  <si>
    <t>RL-G</t>
    <phoneticPr fontId="7" type="noConversion"/>
  </si>
  <si>
    <t>RL-F</t>
    <phoneticPr fontId="7"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</si>
  <si>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7" type="noConversion"/>
  </si>
  <si>
    <r>
      <t xml:space="preserve">Keát quaû kieåm tra
</t>
    </r>
    <r>
      <rPr>
        <sz val="10"/>
        <rFont val="細明體"/>
        <family val="3"/>
        <charset val="136"/>
      </rPr>
      <t>檢查結果</t>
    </r>
    <r>
      <rPr>
        <sz val="10"/>
        <rFont val="VNI-Times"/>
      </rPr>
      <t xml:space="preserve"> </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</si>
  <si>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</si>
  <si>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</si>
  <si>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r>
      <rPr>
        <sz val="9"/>
        <rFont val="VNI-Times"/>
      </rPr>
      <t xml:space="preserve"> (RL-E)</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</si>
  <si>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</si>
  <si>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</si>
  <si>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</si>
  <si>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</si>
  <si>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7" type="noConversion"/>
  </si>
  <si>
    <t>RLG-KD</t>
  </si>
  <si>
    <t>RLG-HCL1</t>
  </si>
  <si>
    <t>RLG-HCL1</t>
    <phoneticPr fontId="7" type="noConversion"/>
  </si>
  <si>
    <t>RLG-XB</t>
  </si>
  <si>
    <t>RLG-XBPH</t>
  </si>
  <si>
    <t>RLG-PPTA</t>
  </si>
  <si>
    <t>RLG-PPTA</t>
    <phoneticPr fontId="7"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</si>
  <si>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</si>
  <si>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</si>
  <si>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</si>
  <si>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</si>
  <si>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t>KQ bổ sung sau 1H</t>
    <phoneticPr fontId="7" type="noConversion"/>
  </si>
  <si>
    <t xml:space="preserve">濃度 </t>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</si>
  <si>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</si>
  <si>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</si>
  <si>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rPr>
        <sz val="11"/>
        <color rgb="FF0000FF"/>
        <rFont val="細明體"/>
        <family val="3"/>
        <charset val="136"/>
      </rPr>
      <t>濃度</t>
    </r>
    <r>
      <rPr>
        <sz val="11"/>
        <color rgb="FF0000FF"/>
        <rFont val="Times New Roman"/>
        <family val="1"/>
      </rPr>
      <t xml:space="preserve"> </t>
    </r>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</si>
  <si>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</si>
  <si>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</si>
  <si>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</si>
  <si>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</si>
  <si>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</si>
  <si>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7"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</si>
  <si>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</si>
  <si>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</si>
  <si>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</si>
  <si>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</si>
  <si>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</si>
  <si>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</si>
  <si>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</si>
  <si>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 xml:space="preserve">Noàng ñoä  axit ñaëc 1 (13,14)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</si>
  <si>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2 (15,16,17)
</t>
    </r>
    <r>
      <rPr>
        <sz val="11"/>
        <color theme="1"/>
        <rFont val="標楷體"/>
        <family val="4"/>
        <charset val="136"/>
      </rPr>
      <t>鹽酸</t>
    </r>
    <r>
      <rPr>
        <sz val="11"/>
        <color theme="1"/>
        <rFont val="VNI-Times"/>
      </rPr>
      <t xml:space="preserve"> </t>
    </r>
    <r>
      <rPr>
        <sz val="11"/>
        <color theme="1"/>
        <rFont val="標楷體"/>
        <family val="4"/>
        <charset val="136"/>
      </rPr>
      <t>濃度</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</si>
  <si>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</si>
  <si>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</si>
  <si>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</si>
  <si>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</si>
  <si>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</si>
  <si>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</si>
  <si>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</si>
  <si>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</si>
  <si>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</si>
  <si>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</si>
  <si>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</si>
  <si>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</si>
  <si>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</si>
  <si>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</si>
  <si>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</si>
  <si>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</si>
  <si>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7" type="noConversion"/>
  </si>
  <si>
    <t>8.5~10</t>
    <phoneticPr fontId="7" type="noConversion"/>
  </si>
  <si>
    <t>5~15
(10)</t>
    <phoneticPr fontId="7" type="noConversion"/>
  </si>
  <si>
    <t>\</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</si>
  <si>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</si>
  <si>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r>
      <t xml:space="preserve">Noàng ñoä  axit ñaëc 1 (13,14)
</t>
    </r>
    <r>
      <rPr>
        <sz val="11"/>
        <rFont val="標楷體"/>
        <family val="4"/>
        <charset val="136"/>
      </rPr>
      <t>鹽酸</t>
    </r>
    <r>
      <rPr>
        <sz val="11"/>
        <rFont val="VNI-Times"/>
      </rPr>
      <t xml:space="preserve"> </t>
    </r>
    <r>
      <rPr>
        <sz val="11"/>
        <rFont val="標楷體"/>
        <family val="4"/>
        <charset val="136"/>
      </rPr>
      <t>濃度</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</si>
  <si>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</si>
  <si>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</si>
  <si>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</si>
  <si>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</si>
  <si>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</si>
  <si>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</si>
  <si>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</si>
  <si>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kg</t>
    <phoneticPr fontId="7" type="noConversion"/>
  </si>
  <si>
    <t>CT-21A: 25kg/CT-21B: 5-10Lit</t>
    <phoneticPr fontId="7" type="noConversion"/>
  </si>
  <si>
    <t>EC-508A: 25kg/EC-508B:4-10Lit</t>
    <phoneticPr fontId="7"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</si>
  <si>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7" type="noConversion"/>
  </si>
  <si>
    <t>kg</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</si>
  <si>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</si>
  <si>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</si>
  <si>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t>
    <phoneticPr fontId="7" type="noConversion"/>
  </si>
  <si>
    <t>CHCl*VHCl=CNaOH*VNaOH</t>
  </si>
  <si>
    <t>CM=(10*C%*D)/M</t>
  </si>
  <si>
    <t>CNaOH=1N</t>
  </si>
  <si>
    <t>VHCl=1</t>
  </si>
  <si>
    <t>M=36.5</t>
  </si>
  <si>
    <t>=&gt;C%=(VNaOH*CNaOH*M)/(VHCl*10*D)</t>
  </si>
  <si>
    <t>CÁCH TÍNH</t>
    <phoneticPr fontId="7" type="noConversion"/>
  </si>
  <si>
    <t>D=1.16</t>
    <phoneticPr fontId="7" type="noConversion"/>
  </si>
  <si>
    <t xml:space="preserve">             =(VNaOH*1*36.5)/(1*10*1.16)</t>
    <phoneticPr fontId="7" type="noConversion"/>
  </si>
  <si>
    <t>PP HÓA NGHIỆM</t>
    <phoneticPr fontId="7"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</si>
  <si>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</si>
  <si>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7" type="noConversion"/>
  </si>
  <si>
    <t>NCC</t>
    <phoneticPr fontId="7" type="noConversion"/>
  </si>
  <si>
    <t>JASCO</t>
    <phoneticPr fontId="7" type="noConversion"/>
  </si>
  <si>
    <r>
      <t>D:\2. Data hoa nghiem\1. PP HÓA NGHIỆM CÁC BỒN-XLBM\HCL-</t>
    </r>
    <r>
      <rPr>
        <u/>
        <sz val="12"/>
        <color theme="10"/>
        <rFont val="Times New Roman"/>
        <family val="1"/>
      </rPr>
      <t>đ</t>
    </r>
    <r>
      <rPr>
        <u/>
        <sz val="12"/>
        <color theme="10"/>
        <rFont val="新細明體"/>
        <family val="1"/>
        <charset val="136"/>
      </rPr>
      <t>ặc, loãng-XM.pdf</t>
    </r>
  </si>
  <si>
    <r>
      <t>H</t>
    </r>
    <r>
      <rPr>
        <sz val="12"/>
        <rFont val="新細明體"/>
        <family val="1"/>
        <charset val="136"/>
      </rPr>
      <t>ALO</t>
    </r>
    <phoneticPr fontId="7" type="noConversion"/>
  </si>
  <si>
    <t>D:\2. Data hoa nghiem\1. PP HÓA NGHIỆM CÁC BỒN-XLBM\HCL hoạt hóa-xt,xm.pdf</t>
  </si>
  <si>
    <t>D:\2. Data hoa nghiem\1. PP HÓA NGHIỆM CÁC BỒN-XLBM\HNO3-XM.pdf</t>
  </si>
  <si>
    <t>CX</t>
    <phoneticPr fontId="7" type="noConversion"/>
  </si>
  <si>
    <r>
      <t>Z</t>
    </r>
    <r>
      <rPr>
        <sz val="12"/>
        <rFont val="新細明體"/>
        <family val="1"/>
        <charset val="136"/>
      </rPr>
      <t>N,JASCO</t>
    </r>
    <phoneticPr fontId="7" type="noConversion"/>
  </si>
  <si>
    <r>
      <rPr>
        <sz val="12"/>
        <rFont val="新細明體"/>
        <family val="1"/>
        <charset val="136"/>
      </rPr>
      <t>NAOH,</t>
    </r>
    <r>
      <rPr>
        <sz val="12"/>
        <rFont val="新細明體"/>
        <family val="1"/>
        <charset val="136"/>
      </rPr>
      <t>H</t>
    </r>
    <r>
      <rPr>
        <sz val="12"/>
        <rFont val="新細明體"/>
        <family val="1"/>
        <charset val="136"/>
      </rPr>
      <t>ALO</t>
    </r>
    <phoneticPr fontId="7" type="noConversion"/>
  </si>
  <si>
    <t>D:\2. Data hoa nghiem\1. PP HÓA NGHIỆM CÁC BỒN-XLBM\HNO3-XT.pdf</t>
  </si>
  <si>
    <t>D:\2. Data hoa nghiem\1. PP HÓA NGHIỆM CÁC BỒN-XLBM\HCL đặc, loãng-XT.pdf</t>
  </si>
  <si>
    <t>D:\2. Data hoa nghiem\1. PP HÓA NGHIỆM CÁC BỒN-XLBM\JASCO-CR3+XT,XL-1E.pdf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</si>
  <si>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</si>
  <si>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</si>
  <si>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</si>
  <si>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</si>
  <si>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</si>
  <si>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</si>
  <si>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</si>
  <si>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</si>
  <si>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</si>
  <si>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</si>
  <si>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</si>
  <si>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</si>
  <si>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7" type="noConversion"/>
  </si>
  <si>
    <t>25.09.2022 XT tất cả đổi hóa chất Halo</t>
    <phoneticPr fontId="7" type="noConversion"/>
  </si>
  <si>
    <t>MÀU NIKEN-PH</t>
    <phoneticPr fontId="7" type="noConversion"/>
  </si>
  <si>
    <t>Rua acid (1)</t>
    <phoneticPr fontId="8" type="noConversion"/>
  </si>
  <si>
    <t>pH                     8~10</t>
    <phoneticPr fontId="8" type="noConversion"/>
  </si>
  <si>
    <t>RUA LIEU  G</t>
    <phoneticPr fontId="8" type="noConversion"/>
  </si>
  <si>
    <t>khu dau</t>
    <phoneticPr fontId="8" type="noConversion"/>
  </si>
  <si>
    <t>RUA LIEU  F</t>
    <phoneticPr fontId="8" type="noConversion"/>
  </si>
  <si>
    <t>MANG LOA</t>
    <phoneticPr fontId="8" type="noConversion"/>
  </si>
  <si>
    <t>xà bông 1</t>
    <phoneticPr fontId="8" type="noConversion"/>
  </si>
  <si>
    <t>HNO3</t>
    <phoneticPr fontId="8" type="noConversion"/>
  </si>
  <si>
    <t>đóng lỗ 1 (HK-101A1)</t>
    <phoneticPr fontId="8" type="noConversion"/>
  </si>
  <si>
    <t>đóng lỗ 2 (HK-101A1)</t>
    <phoneticPr fontId="8" type="noConversion"/>
  </si>
  <si>
    <t>Quy đổi nồng độ acid HCl 32% đậm đặc từ %V/V sang nồng độ %</t>
    <phoneticPr fontId="7"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</si>
  <si>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</si>
  <si>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</si>
  <si>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7" type="noConversion"/>
  </si>
  <si>
    <t>100%V/V</t>
    <phoneticPr fontId="7"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</si>
  <si>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</si>
  <si>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</si>
  <si>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7" type="noConversion"/>
  </si>
  <si>
    <t>30%V/V</t>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</si>
  <si>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</si>
  <si>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7" type="noConversion"/>
  </si>
  <si>
    <r>
      <t xml:space="preserve">HCl Đặc </t>
    </r>
    <r>
      <rPr>
        <sz val="11"/>
        <rFont val="細明體"/>
        <family val="3"/>
        <charset val="136"/>
      </rPr>
      <t>濃酸洗</t>
    </r>
    <phoneticPr fontId="7" type="noConversion"/>
  </si>
  <si>
    <t>60%V/V</t>
    <phoneticPr fontId="7" type="noConversion"/>
  </si>
  <si>
    <t>100%V/V</t>
    <phoneticPr fontId="7" type="noConversion"/>
  </si>
  <si>
    <r>
      <t>HCl Loãng</t>
    </r>
    <r>
      <rPr>
        <sz val="11"/>
        <rFont val="細明體"/>
        <family val="3"/>
        <charset val="136"/>
      </rPr>
      <t>弱酸洗</t>
    </r>
    <phoneticPr fontId="7" type="noConversion"/>
  </si>
  <si>
    <t>HCl hoat hoa</t>
    <phoneticPr fontId="7" type="noConversion"/>
  </si>
  <si>
    <r>
      <t>HNO</t>
    </r>
    <r>
      <rPr>
        <vertAlign val="subscript"/>
        <sz val="11"/>
        <rFont val="VNI-Times"/>
      </rPr>
      <t>3</t>
    </r>
    <r>
      <rPr>
        <sz val="11"/>
        <rFont val="VNI-Times"/>
      </rPr>
      <t xml:space="preserve"> </t>
    </r>
    <r>
      <rPr>
        <sz val="11"/>
        <rFont val="細明體"/>
        <family val="3"/>
        <charset val="136"/>
      </rPr>
      <t>硝酸中和</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</si>
  <si>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</si>
  <si>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</si>
  <si>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r>
      <t>Xà bông (2)</t>
    </r>
    <r>
      <rPr>
        <sz val="11"/>
        <rFont val="細明體"/>
        <family val="3"/>
        <charset val="136"/>
      </rPr>
      <t>脫脂</t>
    </r>
  </si>
  <si>
    <r>
      <t>NaOH</t>
    </r>
    <r>
      <rPr>
        <sz val="11"/>
        <rFont val="細明體"/>
        <family val="3"/>
        <charset val="136"/>
      </rPr>
      <t>氫氧化鈉</t>
    </r>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</si>
  <si>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</si>
  <si>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</si>
  <si>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t>Zn</t>
    <phoneticPr fontId="7" type="noConversion"/>
  </si>
  <si>
    <t>HCl Loãng (%)</t>
    <phoneticPr fontId="7" type="noConversion"/>
  </si>
  <si>
    <r>
      <t>HNO</t>
    </r>
    <r>
      <rPr>
        <vertAlign val="subscript"/>
        <sz val="11"/>
        <rFont val="VNI-Times"/>
      </rPr>
      <t>3</t>
    </r>
    <r>
      <rPr>
        <sz val="11"/>
        <rFont val="VNI-Times"/>
      </rPr>
      <t xml:space="preserve"> (%)</t>
    </r>
    <phoneticPr fontId="7" type="noConversion"/>
  </si>
  <si>
    <t>Niken (bồn Zn-Niken)</t>
    <phoneticPr fontId="7" type="noConversion"/>
  </si>
  <si>
    <t xml:space="preserve">PP HÓA NGHIỆM </t>
    <phoneticPr fontId="7"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</si>
  <si>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</si>
  <si>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</si>
  <si>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</si>
  <si>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</si>
  <si>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</si>
  <si>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7" type="noConversion"/>
  </si>
  <si>
    <t>RLG-KD</t>
    <phoneticPr fontId="7" type="noConversion"/>
  </si>
  <si>
    <t>RLG-HCL1</t>
    <phoneticPr fontId="7" type="noConversion"/>
  </si>
  <si>
    <t>RLG-PPTA</t>
    <phoneticPr fontId="7" type="noConversion"/>
  </si>
  <si>
    <t>RLG-PPAX</t>
    <phoneticPr fontId="7" type="noConversion"/>
  </si>
  <si>
    <t>RLG-PPPL</t>
    <phoneticPr fontId="7" type="noConversion"/>
  </si>
  <si>
    <t>RLG-XB</t>
    <phoneticPr fontId="7" type="noConversion"/>
  </si>
  <si>
    <t>RLG-XBPH</t>
    <phoneticPr fontId="7" type="noConversion"/>
  </si>
  <si>
    <t>RLG-TEMKD</t>
    <phoneticPr fontId="7" type="noConversion"/>
  </si>
  <si>
    <r>
      <t>55~65</t>
    </r>
    <r>
      <rPr>
        <vertAlign val="superscript"/>
        <sz val="12"/>
        <color theme="1"/>
        <rFont val="Times New Roman"/>
        <family val="1"/>
      </rPr>
      <t>O</t>
    </r>
    <r>
      <rPr>
        <sz val="12"/>
        <color theme="1"/>
        <rFont val="Times New Roman"/>
        <family val="1"/>
      </rPr>
      <t>C</t>
    </r>
  </si>
  <si>
    <t>RLG-TEMPP</t>
    <phoneticPr fontId="7" type="noConversion"/>
  </si>
  <si>
    <t>RLG-XB</t>
    <phoneticPr fontId="7"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</si>
  <si>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7" type="noConversion"/>
  </si>
  <si>
    <t xml:space="preserve">PP HÓA NGHIỆM </t>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</si>
  <si>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</si>
  <si>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</si>
  <si>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</si>
  <si>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</si>
  <si>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</si>
  <si>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</si>
  <si>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</si>
  <si>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</si>
  <si>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</si>
  <si>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</si>
  <si>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</si>
  <si>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</si>
  <si>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</si>
  <si>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t>L</t>
    <phoneticPr fontId="7" type="noConversion"/>
  </si>
  <si>
    <r>
      <rPr>
        <sz val="12"/>
        <color theme="1"/>
        <rFont val="細明體"/>
        <family val="3"/>
        <charset val="136"/>
      </rPr>
      <t>陽極處理槽</t>
    </r>
    <r>
      <rPr>
        <sz val="12"/>
        <color theme="1"/>
        <rFont val="Times New Roman"/>
        <family val="1"/>
      </rPr>
      <t xml:space="preserve">  dương cực  H2SO4 (18)</t>
    </r>
    <phoneticPr fontId="7" type="noConversion"/>
  </si>
  <si>
    <r>
      <rPr>
        <sz val="12"/>
        <color theme="1"/>
        <rFont val="細明體"/>
        <family val="3"/>
        <charset val="136"/>
      </rPr>
      <t>陽極處理槽</t>
    </r>
    <r>
      <rPr>
        <sz val="12"/>
        <color theme="1"/>
        <rFont val="Times New Roman"/>
        <family val="1"/>
      </rPr>
      <t xml:space="preserve"> dương cực Al3+ (18)</t>
    </r>
    <phoneticPr fontId="7" type="noConversion"/>
  </si>
  <si>
    <r>
      <rPr>
        <sz val="12"/>
        <color theme="1"/>
        <rFont val="細明體"/>
        <family val="3"/>
        <charset val="136"/>
      </rPr>
      <t>陽極處理槽</t>
    </r>
    <r>
      <rPr>
        <sz val="12"/>
        <color theme="1"/>
        <rFont val="Times New Roman"/>
        <family val="1"/>
      </rPr>
      <t xml:space="preserve">  dương cực  H2SO4 (19)</t>
    </r>
    <phoneticPr fontId="7" type="noConversion"/>
  </si>
  <si>
    <r>
      <rPr>
        <sz val="12"/>
        <color theme="1"/>
        <rFont val="細明體"/>
        <family val="3"/>
        <charset val="136"/>
      </rPr>
      <t>陽極處理槽</t>
    </r>
    <r>
      <rPr>
        <sz val="12"/>
        <color theme="1"/>
        <rFont val="Times New Roman"/>
        <family val="1"/>
      </rPr>
      <t xml:space="preserve"> dương cực Al3+ (19)</t>
    </r>
    <phoneticPr fontId="7" type="noConversion"/>
  </si>
  <si>
    <r>
      <rPr>
        <sz val="12"/>
        <color theme="1"/>
        <rFont val="細明體"/>
        <family val="3"/>
        <charset val="136"/>
      </rPr>
      <t>陽極處理槽</t>
    </r>
    <r>
      <rPr>
        <sz val="12"/>
        <color theme="1"/>
        <rFont val="Times New Roman"/>
        <family val="1"/>
      </rPr>
      <t xml:space="preserve">  dương cực  H2SO4 (20)</t>
    </r>
    <phoneticPr fontId="7" type="noConversion"/>
  </si>
  <si>
    <r>
      <rPr>
        <sz val="12"/>
        <color theme="1"/>
        <rFont val="細明體"/>
        <family val="3"/>
        <charset val="136"/>
      </rPr>
      <t>陽極處理槽</t>
    </r>
    <r>
      <rPr>
        <sz val="12"/>
        <color theme="1"/>
        <rFont val="Times New Roman"/>
        <family val="1"/>
      </rPr>
      <t xml:space="preserve"> dương cực Al3+ (20)</t>
    </r>
    <phoneticPr fontId="7"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</si>
  <si>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</si>
  <si>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7"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</si>
  <si>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</si>
  <si>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7"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</si>
  <si>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7" type="noConversion"/>
  </si>
  <si>
    <r>
      <t>42~47ºC
(44±2</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</si>
  <si>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</si>
  <si>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7" type="noConversion"/>
  </si>
  <si>
    <r>
      <t>55~65</t>
    </r>
    <r>
      <rPr>
        <vertAlign val="superscript"/>
        <sz val="10"/>
        <color theme="1"/>
        <rFont val="VNI-Times"/>
      </rPr>
      <t>O</t>
    </r>
    <r>
      <rPr>
        <sz val="10"/>
        <color theme="1"/>
        <rFont val="VNI-Times"/>
      </rPr>
      <t>C</t>
    </r>
  </si>
  <si>
    <t>..\..\..\2. Data hoa nghiem\1. PP HÓA NGHIỆM CÁC BỒN-XLBM\JASCO-Phương pháp phân tích ZN-Ni-XT.pdf</t>
  </si>
  <si>
    <r>
      <t xml:space="preserve">chất bóng (250 brightener)
</t>
    </r>
    <r>
      <rPr>
        <sz val="11"/>
        <color theme="1"/>
        <rFont val="細明體"/>
        <family val="3"/>
        <charset val="136"/>
      </rPr>
      <t>光亮劑</t>
    </r>
    <phoneticPr fontId="7"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</si>
  <si>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7"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</si>
  <si>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7" type="noConversion"/>
  </si>
  <si>
    <r>
      <t xml:space="preserve">chất bóng (250 brightener)
</t>
    </r>
    <r>
      <rPr>
        <sz val="11"/>
        <color theme="1"/>
        <rFont val="細明體"/>
        <family val="3"/>
        <charset val="136"/>
      </rPr>
      <t>光亮劑</t>
    </r>
    <phoneticPr fontId="7" type="noConversion"/>
  </si>
  <si>
    <t>dm</t>
    <phoneticPr fontId="7" type="noConversion"/>
  </si>
  <si>
    <t>90% thể tích bồn</t>
    <phoneticPr fontId="7"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</si>
  <si>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</si>
  <si>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</si>
  <si>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</si>
  <si>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</si>
  <si>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</si>
  <si>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</si>
  <si>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7" type="noConversion"/>
  </si>
  <si>
    <t>1. hàng sạch đã rửa acid</t>
    <phoneticPr fontId="7" type="noConversion"/>
  </si>
  <si>
    <t>2. pha 1,7 lít nước + 300ml niken hóa+ nhúng 11 phút</t>
    <phoneticPr fontId="7" type="noConversion"/>
  </si>
  <si>
    <t>3. xịt +sấy</t>
    <phoneticPr fontId="7" type="noConversion"/>
  </si>
  <si>
    <r>
      <t>thể tích chuy</t>
    </r>
    <r>
      <rPr>
        <sz val="11"/>
        <color rgb="FF0000FF"/>
        <rFont val="新細明體"/>
        <family val="2"/>
        <charset val="134"/>
      </rPr>
      <t>ề</t>
    </r>
    <r>
      <rPr>
        <sz val="11"/>
        <color rgb="FF0000FF"/>
        <rFont val="Times New Roman"/>
        <family val="1"/>
      </rPr>
      <t>n RỬA LiỆU RL-G, RL-F</t>
    </r>
    <phoneticPr fontId="7" type="noConversion"/>
  </si>
  <si>
    <t>khử dầu</t>
    <phoneticPr fontId="7" type="noConversion"/>
  </si>
  <si>
    <t>acid</t>
    <phoneticPr fontId="7" type="noConversion"/>
  </si>
  <si>
    <t>photphas</t>
    <phoneticPr fontId="7" type="noConversion"/>
  </si>
  <si>
    <t>xà bông</t>
    <phoneticPr fontId="7" type="noConversion"/>
  </si>
  <si>
    <t xml:space="preserve">rộng </t>
    <phoneticPr fontId="7" type="noConversion"/>
  </si>
  <si>
    <t>dm</t>
    <phoneticPr fontId="7" type="noConversion"/>
  </si>
  <si>
    <t>dài</t>
    <phoneticPr fontId="7" type="noConversion"/>
  </si>
  <si>
    <t>cao</t>
    <phoneticPr fontId="7"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</si>
  <si>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7" type="noConversion"/>
  </si>
  <si>
    <r>
      <t>thêm chất bóng thì mi</t>
    </r>
    <r>
      <rPr>
        <sz val="11"/>
        <color rgb="FF0000FF"/>
        <rFont val="細明體"/>
        <family val="3"/>
        <charset val="136"/>
      </rPr>
      <t>ế</t>
    </r>
    <r>
      <rPr>
        <sz val="11"/>
        <color rgb="FF0000FF"/>
        <rFont val="Times New Roman"/>
        <family val="1"/>
      </rPr>
      <t>ng hucell độ dày tăng</t>
    </r>
    <phoneticPr fontId="7" type="noConversion"/>
  </si>
  <si>
    <t>kg</t>
    <phoneticPr fontId="7" type="noConversion"/>
  </si>
  <si>
    <t>L</t>
    <phoneticPr fontId="7" type="noConversion"/>
  </si>
  <si>
    <t>* pha mới màu halo xt (nồng độ 6%): 11 thung</t>
    <phoneticPr fontId="7" type="noConversion"/>
  </si>
  <si>
    <t>* pha mới màu jasco xt (nồng độ 12%): 6 thùng 173A+11 thùng 174H</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</si>
  <si>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</si>
  <si>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</si>
  <si>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</si>
  <si>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</si>
  <si>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</si>
  <si>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</si>
  <si>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</si>
  <si>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7" type="noConversion"/>
  </si>
  <si>
    <t>NCC</t>
    <phoneticPr fontId="7" type="noConversion"/>
  </si>
  <si>
    <t>JASCO</t>
    <phoneticPr fontId="7" type="noConversion"/>
  </si>
  <si>
    <t>HALO</t>
    <phoneticPr fontId="7" type="noConversion"/>
  </si>
  <si>
    <t>JASCO</t>
    <phoneticPr fontId="7" type="noConversion"/>
  </si>
  <si>
    <t>NCC</t>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</si>
  <si>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</si>
  <si>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</si>
  <si>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</si>
  <si>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kg</t>
    <phoneticPr fontId="7" type="noConversion"/>
  </si>
  <si>
    <t>+</t>
    <phoneticPr fontId="7" type="noConversion"/>
  </si>
  <si>
    <t>L</t>
    <phoneticPr fontId="7" type="noConversion"/>
  </si>
  <si>
    <t>L</t>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</si>
  <si>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</si>
  <si>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</si>
  <si>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</si>
  <si>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</si>
  <si>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</si>
  <si>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</si>
  <si>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</si>
  <si>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</si>
  <si>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7" type="noConversion"/>
  </si>
  <si>
    <t>L</t>
    <phoneticPr fontId="7" type="noConversion"/>
  </si>
  <si>
    <t>\</t>
    <phoneticPr fontId="7" type="noConversion"/>
  </si>
  <si>
    <t>8.5~10</t>
    <phoneticPr fontId="7"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</si>
  <si>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</si>
  <si>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</si>
  <si>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7" type="noConversion"/>
  </si>
  <si>
    <t>RLG-PPAX</t>
    <phoneticPr fontId="7" type="noConversion"/>
  </si>
  <si>
    <t>RLG-PPPL</t>
    <phoneticPr fontId="7" type="noConversion"/>
  </si>
  <si>
    <t>RLG-XB</t>
    <phoneticPr fontId="7" type="noConversion"/>
  </si>
  <si>
    <t>RLG-XBPH</t>
    <phoneticPr fontId="7" type="noConversion"/>
  </si>
  <si>
    <t>8.5~10</t>
    <phoneticPr fontId="7" type="noConversion"/>
  </si>
  <si>
    <t>RLG-TEMKD</t>
    <phoneticPr fontId="7" type="noConversion"/>
  </si>
  <si>
    <r>
      <t>55~65</t>
    </r>
    <r>
      <rPr>
        <vertAlign val="superscript"/>
        <sz val="12"/>
        <rFont val="Times New Roman"/>
        <family val="1"/>
      </rPr>
      <t>O</t>
    </r>
    <r>
      <rPr>
        <sz val="12"/>
        <rFont val="Times New Roman"/>
        <family val="1"/>
      </rPr>
      <t>C</t>
    </r>
  </si>
  <si>
    <t>RLG-TEMPP</t>
    <phoneticPr fontId="7" type="noConversion"/>
  </si>
  <si>
    <t>RLG-XB</t>
    <phoneticPr fontId="7"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</si>
  <si>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</si>
  <si>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</si>
  <si>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</si>
  <si>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</si>
  <si>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</si>
  <si>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</si>
  <si>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</si>
  <si>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</si>
  <si>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</si>
  <si>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</si>
  <si>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</si>
  <si>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</si>
  <si>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r>
      <rPr>
        <sz val="12"/>
        <rFont val="細明體"/>
        <family val="3"/>
        <charset val="136"/>
      </rPr>
      <t>陽極處理槽</t>
    </r>
    <r>
      <rPr>
        <sz val="12"/>
        <rFont val="Times New Roman"/>
        <family val="1"/>
      </rPr>
      <t xml:space="preserve">  dương cực  H2SO4 (18)</t>
    </r>
    <phoneticPr fontId="7" type="noConversion"/>
  </si>
  <si>
    <r>
      <rPr>
        <sz val="12"/>
        <rFont val="細明體"/>
        <family val="3"/>
        <charset val="136"/>
      </rPr>
      <t>陽極處理槽</t>
    </r>
    <r>
      <rPr>
        <sz val="12"/>
        <rFont val="Times New Roman"/>
        <family val="1"/>
      </rPr>
      <t xml:space="preserve"> dương cực Al3+ (18)</t>
    </r>
    <phoneticPr fontId="7" type="noConversion"/>
  </si>
  <si>
    <r>
      <rPr>
        <sz val="12"/>
        <rFont val="細明體"/>
        <family val="3"/>
        <charset val="136"/>
      </rPr>
      <t>陽極處理槽</t>
    </r>
    <r>
      <rPr>
        <sz val="12"/>
        <rFont val="Times New Roman"/>
        <family val="1"/>
      </rPr>
      <t xml:space="preserve">  dương cực  H2SO4 (19)</t>
    </r>
    <phoneticPr fontId="7" type="noConversion"/>
  </si>
  <si>
    <r>
      <rPr>
        <sz val="12"/>
        <rFont val="細明體"/>
        <family val="3"/>
        <charset val="136"/>
      </rPr>
      <t>陽極處理槽</t>
    </r>
    <r>
      <rPr>
        <sz val="12"/>
        <rFont val="Times New Roman"/>
        <family val="1"/>
      </rPr>
      <t xml:space="preserve"> dương cực Al3+ (19)</t>
    </r>
    <phoneticPr fontId="7" type="noConversion"/>
  </si>
  <si>
    <r>
      <rPr>
        <sz val="12"/>
        <rFont val="細明體"/>
        <family val="3"/>
        <charset val="136"/>
      </rPr>
      <t>陽極處理槽</t>
    </r>
    <r>
      <rPr>
        <sz val="12"/>
        <rFont val="Times New Roman"/>
        <family val="1"/>
      </rPr>
      <t xml:space="preserve">  dương cực  H2SO4 (20)</t>
    </r>
    <phoneticPr fontId="7" type="noConversion"/>
  </si>
  <si>
    <r>
      <rPr>
        <sz val="12"/>
        <rFont val="細明體"/>
        <family val="3"/>
        <charset val="136"/>
      </rPr>
      <t>陽極處理槽</t>
    </r>
    <r>
      <rPr>
        <sz val="12"/>
        <rFont val="Times New Roman"/>
        <family val="1"/>
      </rPr>
      <t xml:space="preserve"> dương cực Al3+ (20)</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</si>
  <si>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</si>
  <si>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</si>
  <si>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7" type="noConversion"/>
  </si>
  <si>
    <t xml:space="preserve">Type sample </t>
    <phoneticPr fontId="178" type="noConversion"/>
  </si>
  <si>
    <t xml:space="preserve">Test Item </t>
    <phoneticPr fontId="178" type="noConversion"/>
  </si>
  <si>
    <t>Unit</t>
    <phoneticPr fontId="178" type="noConversion"/>
  </si>
  <si>
    <t xml:space="preserve"> Result</t>
    <phoneticPr fontId="178" type="noConversion"/>
  </si>
  <si>
    <r>
      <t>Zn</t>
    </r>
    <r>
      <rPr>
        <vertAlign val="superscript"/>
        <sz val="11"/>
        <color theme="1"/>
        <rFont val="Times New Roman"/>
        <family val="1"/>
      </rPr>
      <t>2+</t>
    </r>
    <phoneticPr fontId="178" type="noConversion"/>
  </si>
  <si>
    <t>g/l</t>
    <phoneticPr fontId="178" type="noConversion"/>
  </si>
  <si>
    <t>NaOH</t>
    <phoneticPr fontId="178"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</si>
  <si>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8" type="noConversion"/>
  </si>
  <si>
    <t>Fe</t>
    <phoneticPr fontId="178" type="noConversion"/>
  </si>
  <si>
    <t>&lt;5</t>
  </si>
  <si>
    <t>ppm</t>
    <phoneticPr fontId="178" type="noConversion"/>
  </si>
  <si>
    <t>Cu</t>
    <phoneticPr fontId="178" type="noConversion"/>
  </si>
  <si>
    <t>Cr</t>
    <phoneticPr fontId="178" type="noConversion"/>
  </si>
  <si>
    <t>Pb</t>
    <phoneticPr fontId="178" type="noConversion"/>
  </si>
  <si>
    <t>Màu K (5U109A)</t>
    <phoneticPr fontId="178" type="noConversion"/>
  </si>
  <si>
    <t>%</t>
    <phoneticPr fontId="178" type="noConversion"/>
  </si>
  <si>
    <t>pH</t>
    <phoneticPr fontId="178" type="noConversion"/>
  </si>
  <si>
    <t>/</t>
    <phoneticPr fontId="178" type="noConversion"/>
  </si>
  <si>
    <t>(2.1±0.1 )</t>
  </si>
  <si>
    <t>Zn</t>
    <phoneticPr fontId="178" type="noConversion"/>
  </si>
  <si>
    <t>Lanthane 318</t>
    <phoneticPr fontId="178" type="noConversion"/>
  </si>
  <si>
    <t>Finidip 124</t>
    <phoneticPr fontId="178" type="noConversion"/>
  </si>
  <si>
    <r>
      <t>Ni</t>
    </r>
    <r>
      <rPr>
        <vertAlign val="superscript"/>
        <sz val="11"/>
        <color theme="1"/>
        <rFont val="Times New Roman"/>
        <family val="1"/>
      </rPr>
      <t>2+</t>
    </r>
    <phoneticPr fontId="178" type="noConversion"/>
  </si>
  <si>
    <t xml:space="preserve"> MẪU GỬI  NHÀ CUNG ỨNG</t>
    <phoneticPr fontId="178" type="noConversion"/>
  </si>
  <si>
    <t>Cr2O3 (TR173AH)</t>
    <phoneticPr fontId="178" type="noConversion"/>
  </si>
  <si>
    <t>&lt;80</t>
    <phoneticPr fontId="178" type="noConversion"/>
  </si>
  <si>
    <r>
      <rPr>
        <sz val="10"/>
        <rFont val="細明體"/>
        <family val="3"/>
        <charset val="136"/>
      </rPr>
      <t>＜</t>
    </r>
    <r>
      <rPr>
        <sz val="10"/>
        <rFont val="Times New Roman"/>
        <family val="1"/>
      </rPr>
      <t>5</t>
    </r>
    <phoneticPr fontId="178" type="noConversion"/>
  </si>
  <si>
    <t>Màu Ni (988C1)</t>
    <phoneticPr fontId="7" type="noConversion"/>
  </si>
  <si>
    <t>Màu Ni (988S1)</t>
    <phoneticPr fontId="7" type="noConversion"/>
  </si>
  <si>
    <t>ml/l</t>
    <phoneticPr fontId="7" type="noConversion"/>
  </si>
  <si>
    <t>50-100</t>
    <phoneticPr fontId="7" type="noConversion"/>
  </si>
  <si>
    <t>15-35</t>
    <phoneticPr fontId="7" type="noConversion"/>
  </si>
  <si>
    <t>Standards</t>
    <phoneticPr fontId="178" type="noConversion"/>
  </si>
  <si>
    <r>
      <rPr>
        <sz val="10"/>
        <rFont val="細明體"/>
        <family val="3"/>
        <charset val="136"/>
      </rPr>
      <t>＜</t>
    </r>
    <r>
      <rPr>
        <sz val="10"/>
        <rFont val="Times New Roman"/>
        <family val="1"/>
      </rPr>
      <t>70g/L</t>
    </r>
    <phoneticPr fontId="178" type="noConversion"/>
  </si>
  <si>
    <t>1-1.8</t>
    <phoneticPr fontId="210" type="noConversion"/>
  </si>
  <si>
    <t>Màu K (5U109A)
 (XL-1E)</t>
    <phoneticPr fontId="178" type="noConversion"/>
  </si>
  <si>
    <t>Akaline Zinc 
(XL-1F)</t>
    <phoneticPr fontId="178" type="noConversion"/>
  </si>
  <si>
    <t>Akaline Zinc 
(XT-0C)</t>
    <phoneticPr fontId="178" type="noConversion"/>
  </si>
  <si>
    <t>Nickel Zinc 
(XT-0C)</t>
    <phoneticPr fontId="178" type="noConversion"/>
  </si>
  <si>
    <t>Màu K (5U109A)
 (XT-0C)</t>
    <phoneticPr fontId="178" type="noConversion"/>
  </si>
  <si>
    <t>Màu Ni 
(XT-0C)</t>
    <phoneticPr fontId="7" type="noConversion"/>
  </si>
  <si>
    <t>NCC</t>
    <phoneticPr fontId="7" type="noConversion"/>
  </si>
  <si>
    <t>HALO</t>
    <phoneticPr fontId="7" type="noConversion"/>
  </si>
  <si>
    <t>JASCO</t>
    <phoneticPr fontId="7" type="noConversion"/>
  </si>
  <si>
    <t>JASCO</t>
    <phoneticPr fontId="7" type="noConversion"/>
  </si>
  <si>
    <t>Màu (I) (Lanthane 318)
(XL-1F)</t>
    <phoneticPr fontId="178" type="noConversion"/>
  </si>
  <si>
    <t>Màu (K) (Finidip 124)
 (XL-1F)</t>
    <phoneticPr fontId="178" type="noConversion"/>
  </si>
  <si>
    <t>Màu (I) (TR173AH) 
 (XT-0C)</t>
    <phoneticPr fontId="178" type="noConversion"/>
  </si>
  <si>
    <t>Màu (I) (TR173AH) 
(XL-1E)</t>
    <phoneticPr fontId="178" type="noConversion"/>
  </si>
  <si>
    <t>Na2CO3</t>
    <phoneticPr fontId="7" type="noConversion"/>
  </si>
  <si>
    <t>1E</t>
    <phoneticPr fontId="7" type="noConversion"/>
  </si>
  <si>
    <t>1F</t>
    <phoneticPr fontId="7" type="noConversion"/>
  </si>
  <si>
    <t>XT</t>
    <phoneticPr fontId="7" type="noConversion"/>
  </si>
  <si>
    <t>JASCO</t>
    <phoneticPr fontId="7" type="noConversion"/>
  </si>
  <si>
    <t>HALO</t>
    <phoneticPr fontId="7" type="noConversion"/>
  </si>
  <si>
    <t>Akaline Zinc 
(XL-1E)</t>
    <phoneticPr fontId="178" type="noConversion"/>
  </si>
  <si>
    <t>XL-1F</t>
    <phoneticPr fontId="7" type="noConversion"/>
  </si>
  <si>
    <t>XT-0C</t>
    <phoneticPr fontId="7" type="noConversion"/>
  </si>
  <si>
    <t>XL-1E</t>
    <phoneticPr fontId="7"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</si>
  <si>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8" type="noConversion"/>
  </si>
  <si>
    <r>
      <rPr>
        <sz val="10"/>
        <rFont val="細明體"/>
        <family val="3"/>
        <charset val="136"/>
      </rPr>
      <t>＜</t>
    </r>
    <r>
      <rPr>
        <sz val="10"/>
        <rFont val="Times New Roman"/>
        <family val="1"/>
      </rPr>
      <t>70g/L</t>
    </r>
    <phoneticPr fontId="178" type="noConversion"/>
  </si>
  <si>
    <t>g/l</t>
    <phoneticPr fontId="178" type="noConversion"/>
  </si>
  <si>
    <t>..\..\..\2. Data hoa nghiem\1. PP HÓA NGHIỆM CÁC BỒN-XLBM\NA2CO3-HALO.pdf</t>
  </si>
  <si>
    <t>\</t>
    <phoneticPr fontId="7" type="noConversion"/>
  </si>
  <si>
    <t>L</t>
    <phoneticPr fontId="7" type="noConversion"/>
  </si>
  <si>
    <r>
      <t xml:space="preserve">Đơn vị
</t>
    </r>
    <r>
      <rPr>
        <sz val="12"/>
        <rFont val="細明體"/>
        <family val="3"/>
        <charset val="136"/>
      </rPr>
      <t>單位</t>
    </r>
    <phoneticPr fontId="7"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</si>
  <si>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</si>
  <si>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CT-21A: 25kg/CT-21B: 7-10L</t>
    <phoneticPr fontId="7" type="noConversion"/>
  </si>
  <si>
    <t>EC-508A: 25kg/EC-508B:6-10L</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</si>
  <si>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</si>
  <si>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</si>
  <si>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t>\</t>
    <phoneticPr fontId="7"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</si>
  <si>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7"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</si>
  <si>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</si>
  <si>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</si>
  <si>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</si>
  <si>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7"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</si>
  <si>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7" type="noConversion"/>
  </si>
  <si>
    <t xml:space="preserve">Test Item </t>
    <phoneticPr fontId="178" type="noConversion"/>
  </si>
  <si>
    <t>Unit</t>
    <phoneticPr fontId="178"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</si>
  <si>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</si>
  <si>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</si>
  <si>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</si>
  <si>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</si>
  <si>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</si>
  <si>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</si>
  <si>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7"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</si>
  <si>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7" type="noConversion"/>
  </si>
  <si>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</si>
  <si>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</si>
  <si>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</si>
  <si>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</si>
  <si>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</si>
  <si>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</si>
  <si>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</si>
  <si>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</si>
  <si>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</si>
  <si>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</si>
  <si>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Giới hạn kiểm soát
管控值</t>
  </si>
  <si>
    <r>
      <t xml:space="preserve">Phạm vi kiểm soát
</t>
    </r>
    <r>
      <rPr>
        <sz val="12"/>
        <rFont val="細明體"/>
        <family val="3"/>
        <charset val="136"/>
      </rPr>
      <t>範圍值</t>
    </r>
  </si>
  <si>
    <t>(1.8±0.1)</t>
  </si>
  <si>
    <t>(2.3±0.1 )</t>
  </si>
  <si>
    <t>(12±2%)</t>
  </si>
  <si>
    <t>(2.0 ±0.2 )</t>
  </si>
  <si>
    <t>(4.3±0.2)</t>
  </si>
  <si>
    <r>
      <t xml:space="preserve">Đơn vị
</t>
    </r>
    <r>
      <rPr>
        <sz val="12"/>
        <rFont val="細明體"/>
        <family val="3"/>
        <charset val="136"/>
      </rPr>
      <t>單位</t>
    </r>
  </si>
  <si>
    <t>Phạm vi kiểm soát
範圍值</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</si>
  <si>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</si>
  <si>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</si>
  <si>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1.6~2.2</t>
  </si>
  <si>
    <t>2~2.5</t>
  </si>
  <si>
    <t>1.8~2.4</t>
  </si>
  <si>
    <t>2.0~2.4</t>
  </si>
  <si>
    <t>8~16 %</t>
  </si>
  <si>
    <t>3.0-4.5</t>
  </si>
  <si>
    <t>ghi chú: tô màu các ô</t>
  </si>
  <si>
    <t>2. nằm ngoài giới hạn kiểm soát là màu vàng</t>
  </si>
  <si>
    <t>1. nằm ngoài phạm vi kiểm soát là màu cam (cận dưới), xanh (cận trên)</t>
  </si>
  <si>
    <t>(34±2)</t>
  </si>
  <si>
    <t>20~30</t>
  </si>
  <si>
    <t>(60±5)</t>
  </si>
  <si>
    <t>(140±5)</t>
  </si>
  <si>
    <t>(6±0.5)</t>
  </si>
  <si>
    <t>(45±5)</t>
  </si>
  <si>
    <t>(30±5)</t>
  </si>
  <si>
    <t>(6±1)</t>
  </si>
  <si>
    <t>(50±5)</t>
  </si>
  <si>
    <t>(70±5)</t>
  </si>
  <si>
    <t>(10±3)</t>
  </si>
  <si>
    <t>(70±10)</t>
  </si>
  <si>
    <t>(14±2)</t>
  </si>
  <si>
    <t>(22±5)</t>
  </si>
  <si>
    <t>(7.5±1)</t>
  </si>
  <si>
    <t>60~80</t>
  </si>
  <si>
    <t>130 - 150</t>
  </si>
  <si>
    <t xml:space="preserve">12~18 </t>
  </si>
  <si>
    <t>5~15</t>
  </si>
  <si>
    <t>0.5~1.5</t>
  </si>
  <si>
    <t>55~65</t>
  </si>
  <si>
    <t>50~70</t>
  </si>
  <si>
    <t xml:space="preserve">6~10 </t>
  </si>
  <si>
    <t>5~8</t>
  </si>
  <si>
    <t>30-38</t>
  </si>
  <si>
    <t>40~60</t>
  </si>
  <si>
    <t>135~ 145</t>
  </si>
  <si>
    <t>40~50</t>
  </si>
  <si>
    <t>20~40</t>
  </si>
  <si>
    <t>5~6</t>
  </si>
  <si>
    <t>35~45</t>
  </si>
  <si>
    <t>24~28</t>
  </si>
  <si>
    <t>5~10</t>
  </si>
  <si>
    <t>8~12</t>
  </si>
  <si>
    <t>Hiện trường xác nhận
 現場確認</t>
  </si>
  <si>
    <t>3.XT-C TT(CA2)</t>
  </si>
  <si>
    <t>2. XL-1F TT(CA2)</t>
  </si>
  <si>
    <t>1. XL-1E TT(CA2)</t>
  </si>
  <si>
    <t>Ghi chú</t>
  </si>
  <si>
    <t>Trang 1/2</t>
  </si>
  <si>
    <t>Trang 2/2</t>
  </si>
  <si>
    <t>CT-21A: 25kg/CT-21B: 5-10Lit</t>
  </si>
  <si>
    <t>4.ZN-NI tt(CA1)</t>
  </si>
  <si>
    <t>4.ZN-NI tt(CA2)</t>
  </si>
  <si>
    <t>1. XL-1E TT(CA1)</t>
  </si>
  <si>
    <t>2. XL-1F TT(CA1)</t>
  </si>
  <si>
    <t>3.XT-C TT(CA1)</t>
  </si>
  <si>
    <t>PP HÓA NGHIỆM
FILE WORD</t>
  </si>
  <si>
    <t>Nộng độ sau BS 1h
(g/l, %)</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</si>
  <si>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</si>
  <si>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</si>
  <si>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</si>
  <si>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</si>
  <si>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</si>
  <si>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</si>
  <si>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</si>
  <si>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</si>
  <si>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</si>
  <si>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</si>
  <si>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</si>
  <si>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</si>
  <si>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</si>
  <si>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</si>
  <si>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</si>
  <si>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Người xác nhận
驗證者</t>
  </si>
  <si>
    <t>Nồng độ xác nhận
確認濃度</t>
  </si>
  <si>
    <t>Thực tế bổ sung
實際補充量</t>
  </si>
  <si>
    <t>Nộng độ hóa nghiệm化驗濃度</t>
  </si>
  <si>
    <t>Hạng mục項目</t>
  </si>
  <si>
    <t>Thời gian hóa nghiệm化驗時間</t>
  </si>
  <si>
    <t>BẢNG GHI CHÉP BỔ SUNG HÓA CHẤT  化藥液添加記錄表 (XT- 001C)</t>
  </si>
  <si>
    <t>BS-XT</t>
  </si>
  <si>
    <t>Đơn vị nồng độ
單位濃度</t>
  </si>
  <si>
    <t>Đơn vị BS
單位補充</t>
  </si>
  <si>
    <t>%VV</t>
  </si>
  <si>
    <t>lượng yêu cầu BS
要求補充量</t>
  </si>
  <si>
    <t>TỔNG
lượng yêu cầu BS</t>
  </si>
  <si>
    <t>TỔNG
Thực tế bổ sung</t>
  </si>
  <si>
    <t>3.RL G tt</t>
  </si>
  <si>
    <t>QC- E</t>
  </si>
  <si>
    <t>4.Zn Ni.kh</t>
  </si>
  <si>
    <t>3.RL G</t>
  </si>
  <si>
    <t>4.RL F tt</t>
  </si>
  <si>
    <t>QC-1F</t>
  </si>
  <si>
    <t>4.RL F</t>
  </si>
  <si>
    <t>QC- XT</t>
  </si>
  <si>
    <t>PT TAP CHAT</t>
  </si>
  <si>
    <t>210~290
(250±40)</t>
  </si>
  <si>
    <t>120~150
(135±15)</t>
  </si>
  <si>
    <r>
      <t>55~65ºC
(55±3</t>
    </r>
    <r>
      <rPr>
        <vertAlign val="superscript"/>
        <sz val="12"/>
        <color theme="1"/>
        <rFont val="Times New Roman"/>
        <family val="1"/>
      </rPr>
      <t>o</t>
    </r>
    <r>
      <rPr>
        <sz val="12"/>
        <color theme="1"/>
        <rFont val="Times New Roman"/>
        <family val="1"/>
      </rPr>
      <t>C)</t>
    </r>
  </si>
  <si>
    <t>5.5~6.0</t>
  </si>
  <si>
    <r>
      <t>45~60ºC
(50±2</t>
    </r>
    <r>
      <rPr>
        <vertAlign val="superscript"/>
        <sz val="12"/>
        <color theme="1"/>
        <rFont val="Times New Roman"/>
        <family val="1"/>
      </rPr>
      <t>o</t>
    </r>
    <r>
      <rPr>
        <sz val="12"/>
        <color theme="1"/>
        <rFont val="Times New Roman"/>
        <family val="1"/>
      </rPr>
      <t>C)</t>
    </r>
  </si>
  <si>
    <r>
      <t>45~65ºC
(55±8</t>
    </r>
    <r>
      <rPr>
        <vertAlign val="superscript"/>
        <sz val="10"/>
        <color theme="1"/>
        <rFont val="Times New Roman"/>
        <family val="1"/>
      </rPr>
      <t>o</t>
    </r>
    <r>
      <rPr>
        <sz val="10"/>
        <color theme="1"/>
        <rFont val="Times New Roman"/>
        <family val="1"/>
      </rPr>
      <t>C)</t>
    </r>
  </si>
  <si>
    <r>
      <t>18~25ºC
(22±2</t>
    </r>
    <r>
      <rPr>
        <vertAlign val="superscript"/>
        <sz val="10"/>
        <color theme="1"/>
        <rFont val="Times New Roman"/>
        <family val="1"/>
      </rPr>
      <t>o</t>
    </r>
    <r>
      <rPr>
        <sz val="10"/>
        <color theme="1"/>
        <rFont val="Times New Roman"/>
        <family val="1"/>
      </rPr>
      <t>C)</t>
    </r>
  </si>
  <si>
    <r>
      <t>100~110ºC
(100±5</t>
    </r>
    <r>
      <rPr>
        <vertAlign val="superscript"/>
        <sz val="10"/>
        <color theme="1"/>
        <rFont val="Times New Roman"/>
        <family val="1"/>
      </rPr>
      <t>o</t>
    </r>
    <r>
      <rPr>
        <sz val="10"/>
        <color theme="1"/>
        <rFont val="Times New Roman"/>
        <family val="1"/>
      </rPr>
      <t>C)</t>
    </r>
  </si>
  <si>
    <t>Tổng chua TA 全酸
40~60 (50)</t>
  </si>
  <si>
    <t>QC-ML</t>
  </si>
  <si>
    <t>QC-XĐ</t>
  </si>
  <si>
    <t>Phạm vi kiểm soát 範圍值</t>
  </si>
  <si>
    <t>Giới hạn kiểm soát 管控值</t>
  </si>
  <si>
    <t>&lt;100</t>
  </si>
  <si>
    <r>
      <rPr>
        <sz val="10"/>
        <rFont val="細明體"/>
        <family val="3"/>
        <charset val="136"/>
      </rPr>
      <t>＜</t>
    </r>
    <r>
      <rPr>
        <sz val="10"/>
        <rFont val="Times New Roman"/>
        <family val="1"/>
      </rPr>
      <t>10000</t>
    </r>
  </si>
  <si>
    <r>
      <rPr>
        <sz val="10"/>
        <rFont val="細明體"/>
        <family val="3"/>
        <charset val="136"/>
      </rPr>
      <t>＜</t>
    </r>
    <r>
      <rPr>
        <sz val="10"/>
        <rFont val="Times New Roman"/>
        <family val="1"/>
      </rPr>
      <t>70</t>
    </r>
  </si>
  <si>
    <r>
      <rPr>
        <sz val="10"/>
        <rFont val="細明體"/>
        <family val="3"/>
        <charset val="136"/>
      </rPr>
      <t>＜</t>
    </r>
    <r>
      <rPr>
        <sz val="10"/>
        <rFont val="Times New Roman"/>
        <family val="1"/>
      </rPr>
      <t>80</t>
    </r>
  </si>
  <si>
    <r>
      <rPr>
        <sz val="10"/>
        <rFont val="細明體"/>
        <family val="3"/>
        <charset val="136"/>
      </rPr>
      <t>＜</t>
    </r>
    <r>
      <rPr>
        <sz val="10"/>
        <rFont val="Times New Roman"/>
        <family val="1"/>
      </rPr>
      <t>5</t>
    </r>
  </si>
  <si>
    <t>＜</t>
  </si>
  <si>
    <t>&lt;500</t>
  </si>
  <si>
    <r>
      <rPr>
        <sz val="10"/>
        <rFont val="細明體"/>
        <family val="3"/>
        <charset val="136"/>
      </rPr>
      <t>＜</t>
    </r>
    <r>
      <rPr>
        <sz val="10"/>
        <rFont val="Times New Roman"/>
        <family val="1"/>
      </rPr>
      <t>7000</t>
    </r>
  </si>
  <si>
    <t>＜5</t>
  </si>
  <si>
    <r>
      <rPr>
        <sz val="10"/>
        <rFont val="細明體"/>
        <family val="3"/>
        <charset val="136"/>
      </rPr>
      <t>＜</t>
    </r>
    <r>
      <rPr>
        <sz val="10"/>
        <rFont val="Times New Roman"/>
        <family val="1"/>
      </rPr>
      <t>15000</t>
    </r>
  </si>
  <si>
    <r>
      <rPr>
        <sz val="10"/>
        <rFont val="細明體"/>
        <family val="3"/>
        <charset val="136"/>
      </rPr>
      <t>＜</t>
    </r>
    <r>
      <rPr>
        <sz val="10"/>
        <rFont val="Times New Roman"/>
        <family val="1"/>
      </rPr>
      <t>12000</t>
    </r>
  </si>
  <si>
    <t>&lt;40</t>
  </si>
  <si>
    <r>
      <rPr>
        <sz val="10"/>
        <rFont val="細明體"/>
        <family val="3"/>
        <charset val="136"/>
      </rPr>
      <t>＜</t>
    </r>
    <r>
      <rPr>
        <sz val="10"/>
        <rFont val="Times New Roman"/>
        <family val="1"/>
      </rPr>
      <t>6000</t>
    </r>
  </si>
  <si>
    <t xml:space="preserve">PP HÓA NGHIỆM </t>
  </si>
  <si>
    <t>MÀU JASCO</t>
  </si>
  <si>
    <t>MÀU HALO</t>
  </si>
  <si>
    <t>3.XT-C kh.mau JASCO</t>
  </si>
  <si>
    <t>3.XT-C kh.mau HALO</t>
  </si>
  <si>
    <t>NG.YEN</t>
  </si>
  <si>
    <t>CA 1:</t>
  </si>
  <si>
    <t>ĐỢT 1</t>
  </si>
  <si>
    <t>ĐỢT 2</t>
  </si>
  <si>
    <t>ĐỢT 3</t>
  </si>
  <si>
    <t>RL</t>
  </si>
  <si>
    <t>XL</t>
  </si>
  <si>
    <t>XĐ</t>
  </si>
  <si>
    <t>HUCELL</t>
  </si>
  <si>
    <t>CA 2:</t>
  </si>
  <si>
    <t>THỜI GIAN GỬI BC LÊN LINE</t>
  </si>
  <si>
    <t xml:space="preserve">Nồng độ 
濃度 </t>
  </si>
  <si>
    <t>Y/C BS
要求補充量</t>
  </si>
  <si>
    <r>
      <t xml:space="preserve">Thêm hóa chất 
</t>
    </r>
    <r>
      <rPr>
        <b/>
        <sz val="10"/>
        <color rgb="FF0000FF"/>
        <rFont val="Times New Roman"/>
        <family val="1"/>
      </rPr>
      <t>CÓ</t>
    </r>
    <r>
      <rPr>
        <sz val="10"/>
        <rFont val="Times New Roman"/>
        <family val="1"/>
      </rPr>
      <t>(có bổ sung)</t>
    </r>
  </si>
  <si>
    <t>(40±3)</t>
  </si>
  <si>
    <t>(26±2)</t>
  </si>
  <si>
    <t>(25±5)</t>
  </si>
  <si>
    <t>BẢNG GHI CHÉP BỔ SUNG HÓA CHẤT  化藥液添加記錄表 (XT- 001C) Zn-Ni</t>
  </si>
  <si>
    <r>
      <t xml:space="preserve">BAÙO CAÙO KEÁT QUAÛ HOÙA NGHIEÄM HAÈNG NGAØY Zn-Ni
 </t>
    </r>
    <r>
      <rPr>
        <sz val="14"/>
        <rFont val="細明體"/>
        <family val="3"/>
        <charset val="136"/>
      </rPr>
      <t>吊電化驗結果報告</t>
    </r>
  </si>
  <si>
    <r>
      <t>55~65ºC
(60±3</t>
    </r>
    <r>
      <rPr>
        <vertAlign val="superscript"/>
        <sz val="12"/>
        <color theme="1"/>
        <rFont val="Times New Roman"/>
        <family val="1"/>
      </rPr>
      <t>o</t>
    </r>
    <r>
      <rPr>
        <sz val="12"/>
        <color theme="1"/>
        <rFont val="Times New Roman"/>
        <family val="1"/>
      </rPr>
      <t>C)</t>
    </r>
  </si>
  <si>
    <r>
      <t>42~47ºC
(44.5±2</t>
    </r>
    <r>
      <rPr>
        <vertAlign val="superscript"/>
        <sz val="12"/>
        <color theme="1"/>
        <rFont val="Times New Roman"/>
        <family val="1"/>
      </rPr>
      <t>o</t>
    </r>
    <r>
      <rPr>
        <sz val="12"/>
        <color theme="1"/>
        <rFont val="Times New Roman"/>
        <family val="1"/>
      </rPr>
      <t>C)</t>
    </r>
  </si>
  <si>
    <r>
      <t>55~65ºC
(60±3</t>
    </r>
    <r>
      <rPr>
        <vertAlign val="superscript"/>
        <sz val="10"/>
        <color theme="1"/>
        <rFont val="Times New Roman"/>
        <family val="1"/>
      </rPr>
      <t>o</t>
    </r>
    <r>
      <rPr>
        <sz val="10"/>
        <color theme="1"/>
        <rFont val="Times New Roman"/>
        <family val="1"/>
      </rPr>
      <t>C)</t>
    </r>
  </si>
  <si>
    <r>
      <t>42~47ºC
(44.5±2</t>
    </r>
    <r>
      <rPr>
        <vertAlign val="superscript"/>
        <sz val="10"/>
        <color theme="1"/>
        <rFont val="Times New Roman"/>
        <family val="1"/>
      </rPr>
      <t>o</t>
    </r>
    <r>
      <rPr>
        <sz val="10"/>
        <color theme="1"/>
        <rFont val="Times New Roman"/>
        <family val="1"/>
      </rPr>
      <t>C)</t>
    </r>
  </si>
  <si>
    <t>07:15</t>
  </si>
  <si>
    <t>11:15</t>
  </si>
  <si>
    <t>15:15</t>
  </si>
  <si>
    <t>19:15</t>
  </si>
  <si>
    <t>23:15</t>
  </si>
  <si>
    <t>03:15</t>
  </si>
  <si>
    <t>13:30</t>
  </si>
  <si>
    <t>17:00</t>
  </si>
  <si>
    <t>21:00</t>
  </si>
  <si>
    <t>02:00</t>
  </si>
  <si>
    <t>05:00</t>
  </si>
  <si>
    <t>7:15</t>
  </si>
  <si>
    <t>17:30</t>
  </si>
  <si>
    <t>05:30</t>
  </si>
  <si>
    <t>Trang</t>
  </si>
  <si>
    <t>9:15-9:45</t>
  </si>
  <si>
    <t>11:15-11:45</t>
  </si>
  <si>
    <t>16:00-16:30</t>
  </si>
  <si>
    <t>17:30-18:00</t>
  </si>
  <si>
    <t>21:15-21:45</t>
  </si>
  <si>
    <t>23:15-23:45</t>
  </si>
  <si>
    <t>3:30-4:00</t>
  </si>
  <si>
    <t>5:30-6:00</t>
  </si>
  <si>
    <t>Nộng độ sau BS 1h</t>
  </si>
  <si>
    <r>
      <t>生產線別：無氰鹼滾電E線</t>
    </r>
    <r>
      <rPr>
        <sz val="16"/>
        <rFont val="Times New Roman"/>
        <family val="1"/>
      </rPr>
      <t xml:space="preserve"> (XL-001E)  </t>
    </r>
  </si>
  <si>
    <r>
      <t>生產線別：無氰鹼滾電F線</t>
    </r>
    <r>
      <rPr>
        <sz val="16"/>
        <rFont val="Times New Roman"/>
        <family val="1"/>
      </rPr>
      <t xml:space="preserve"> (XL-001F)  </t>
    </r>
  </si>
  <si>
    <r>
      <t xml:space="preserve">生產線別：無氰鹼吊電C線 </t>
    </r>
    <r>
      <rPr>
        <sz val="16"/>
        <rFont val="Times New Roman"/>
        <family val="1"/>
      </rPr>
      <t>(XT-000C)</t>
    </r>
  </si>
  <si>
    <t>Xà bông (1)脫脂 
 CT-21A</t>
  </si>
  <si>
    <t>Xà bông (2)脫脂 
 CT-21A</t>
  </si>
  <si>
    <t>điện giải(1)+電解 
EC-508A</t>
  </si>
  <si>
    <t>EC-508A: 25kg/EC-508B:4-10Lit</t>
  </si>
  <si>
    <t xml:space="preserve">điện giải (2)+電解 
EC-508A
 </t>
  </si>
  <si>
    <t xml:space="preserve"> Xà bông  脫脂 (2,3,4)
CT-21A</t>
  </si>
  <si>
    <t>Xà bông  脫脂  (5,6)
CT-21A</t>
  </si>
  <si>
    <t>Điện giải  電解 (8)
EC-508A</t>
  </si>
  <si>
    <t>Điện giải  電解  (20,21)
EC-508A</t>
  </si>
  <si>
    <t>CT-21A: 25kg/CT-21B: 7-10L</t>
  </si>
  <si>
    <t>Nhiệt độ bồn màu Cr2O3 (Niken) 三價鉻 溫度</t>
  </si>
  <si>
    <r>
      <t xml:space="preserve">Phạm vi kiểm soát
</t>
    </r>
    <r>
      <rPr>
        <sz val="12"/>
        <color theme="1"/>
        <rFont val="細明體"/>
        <family val="3"/>
        <charset val="136"/>
      </rPr>
      <t>範圍值</t>
    </r>
  </si>
  <si>
    <t>ml/
1000AH</t>
  </si>
  <si>
    <t>EC-508A: 25kg/EC-508B:6-10L</t>
  </si>
  <si>
    <r>
      <t xml:space="preserve">đánh </t>
    </r>
    <r>
      <rPr>
        <sz val="12"/>
        <color rgb="FFC00000"/>
        <rFont val="Times New Roman"/>
        <family val="1"/>
      </rPr>
      <t>Thứ,</t>
    </r>
    <r>
      <rPr>
        <sz val="12"/>
        <color theme="1"/>
        <rFont val="Times New Roman"/>
        <family val="1"/>
      </rPr>
      <t xml:space="preserve"> '</t>
    </r>
    <r>
      <rPr>
        <sz val="12"/>
        <color rgb="FFC00000"/>
        <rFont val="Times New Roman"/>
        <family val="1"/>
      </rPr>
      <t>năm/tháng/ngày</t>
    </r>
    <r>
      <rPr>
        <sz val="12"/>
        <color theme="1"/>
        <rFont val="Times New Roman"/>
        <family val="1"/>
      </rPr>
      <t xml:space="preserve"> 
vào ô bên</t>
    </r>
  </si>
  <si>
    <t xml:space="preserve">Zn-Niken Plating- NaOH </t>
  </si>
  <si>
    <r>
      <rPr>
        <sz val="16"/>
        <color theme="1"/>
        <rFont val="細明體"/>
        <family val="3"/>
        <charset val="136"/>
      </rPr>
      <t>生產線別：</t>
    </r>
    <r>
      <rPr>
        <sz val="16"/>
        <color theme="1"/>
        <rFont val="Times New Roman"/>
        <family val="1"/>
      </rPr>
      <t>XI ĐEN - epoxy</t>
    </r>
  </si>
  <si>
    <t>1.6~2.1</t>
  </si>
  <si>
    <t xml:space="preserve"> XT-000C  </t>
  </si>
  <si>
    <t>TIEU CHUAN</t>
  </si>
  <si>
    <t>7:00</t>
  </si>
  <si>
    <t>11:00</t>
  </si>
  <si>
    <t>CÓ (có BS thực tế) 實際補充量</t>
  </si>
  <si>
    <r>
      <t xml:space="preserve">Nhiệt độ nước nóng siêm âm
</t>
    </r>
    <r>
      <rPr>
        <sz val="12"/>
        <rFont val="細明體"/>
        <family val="3"/>
        <charset val="136"/>
      </rPr>
      <t>超音波熱水洗槽</t>
    </r>
    <r>
      <rPr>
        <sz val="12"/>
        <rFont val="Times New Roman"/>
        <family val="1"/>
      </rPr>
      <t>(39)</t>
    </r>
  </si>
  <si>
    <t xml:space="preserve"> </t>
  </si>
  <si>
    <t>Zn-Ni</t>
  </si>
  <si>
    <r>
      <t>BAÙO CAÙO KEÁT QUAÛ HOÙA NGHIEÄM HAÈNG NGAØY- Zn-Ni  (XT- 000C)</t>
    </r>
    <r>
      <rPr>
        <u/>
        <sz val="16"/>
        <rFont val="VNI-Times"/>
      </rPr>
      <t xml:space="preserve">
</t>
    </r>
    <r>
      <rPr>
        <sz val="16"/>
        <rFont val="VNI-Times"/>
      </rPr>
      <t xml:space="preserve"> </t>
    </r>
    <r>
      <rPr>
        <sz val="16"/>
        <rFont val="標楷體"/>
        <family val="4"/>
        <charset val="136"/>
      </rPr>
      <t>吊電化驗結果報告 - Zn-Ni(XT-000C)</t>
    </r>
  </si>
  <si>
    <t>STOP</t>
  </si>
  <si>
    <r>
      <t>40~60
(50</t>
    </r>
    <r>
      <rPr>
        <sz val="12"/>
        <rFont val="Calibri"/>
        <family val="2"/>
      </rPr>
      <t>±5)</t>
    </r>
  </si>
  <si>
    <t/>
  </si>
  <si>
    <t>XM</t>
  </si>
  <si>
    <t>(7±1)</t>
  </si>
  <si>
    <t>(5.5± 0.5)</t>
  </si>
  <si>
    <t>BÁO CÁO KẾT QUẢ HÓA NGHIỆM HÀNG NGÀY 报告每日化学测试结果</t>
  </si>
  <si>
    <t>13:00</t>
  </si>
  <si>
    <t>(90±5)</t>
  </si>
  <si>
    <t>(15±5)</t>
  </si>
  <si>
    <t>10~20</t>
  </si>
  <si>
    <t>Ghi chú  筆記</t>
  </si>
  <si>
    <t>(135 ± 5)</t>
  </si>
  <si>
    <t>130~140</t>
  </si>
  <si>
    <t>(8.5±1)</t>
  </si>
  <si>
    <t>chưa cài màu</t>
  </si>
  <si>
    <t>(30±4)</t>
  </si>
  <si>
    <t>(10±2)</t>
  </si>
  <si>
    <t>(140±7)</t>
  </si>
  <si>
    <t>20~35</t>
  </si>
  <si>
    <t>(2±0.2 )</t>
  </si>
  <si>
    <t>30~40</t>
  </si>
  <si>
    <t>(34±3)</t>
  </si>
  <si>
    <t>80~100</t>
  </si>
  <si>
    <t>(60±10)</t>
  </si>
  <si>
    <t>22~35</t>
  </si>
  <si>
    <t>(50±10)</t>
  </si>
  <si>
    <t>22~28</t>
  </si>
  <si>
    <t>(25±3)</t>
  </si>
  <si>
    <t>(1±0.4)</t>
  </si>
  <si>
    <t>0.126=(0.1*6.301)/5 
CNaOH=0.1
VHCL=5</t>
  </si>
  <si>
    <t>đổi QC ngày 11.11.2023 tất cả 3 chuyền</t>
  </si>
  <si>
    <t>IS16</t>
  </si>
  <si>
    <t>IS17</t>
  </si>
  <si>
    <t xml:space="preserve">40~50 </t>
  </si>
  <si>
    <t>(2±0.1)</t>
  </si>
  <si>
    <t>(22±5) =17~27</t>
  </si>
  <si>
    <t>7~10</t>
  </si>
  <si>
    <t>(1±0.4)=0.6~1.4</t>
  </si>
  <si>
    <t>(2.2±0.1)</t>
  </si>
  <si>
    <t>1.8~2.2</t>
  </si>
  <si>
    <t>Nồng độ   Cr2O3 （K) 三價鉻</t>
  </si>
  <si>
    <t>JASCO</t>
  </si>
  <si>
    <t>..\..\..\2. Data hoa nghiem\1. PP HÓA NGHIỆM CÁC BỒN-XLBM\MÀU K JASCO-tiêu chuẩn tác nghiệp hyprotech.pdf</t>
  </si>
  <si>
    <t xml:space="preserve">NaOH: </t>
  </si>
  <si>
    <t xml:space="preserve">Zn: </t>
  </si>
  <si>
    <r>
      <t>chất m</t>
    </r>
    <r>
      <rPr>
        <sz val="11"/>
        <color rgb="FF0000FF"/>
        <rFont val="新細明體"/>
        <family val="2"/>
        <charset val="134"/>
      </rPr>
      <t>ề</t>
    </r>
    <r>
      <rPr>
        <sz val="11"/>
        <color rgb="FF0000FF"/>
        <rFont val="Times New Roman"/>
        <family val="1"/>
      </rPr>
      <t xml:space="preserve">m(dẻo): </t>
    </r>
  </si>
  <si>
    <t xml:space="preserve">chát bóng: </t>
  </si>
  <si>
    <t xml:space="preserve">chất khử tạp: </t>
  </si>
  <si>
    <t>30-40 mL/L</t>
  </si>
  <si>
    <t>0.2 mL/L</t>
  </si>
  <si>
    <t>0.5-1 mL/L</t>
  </si>
  <si>
    <t>nhiệt độ:</t>
  </si>
  <si>
    <r>
      <t xml:space="preserve">22-28 </t>
    </r>
    <r>
      <rPr>
        <vertAlign val="superscript"/>
        <sz val="11"/>
        <color rgb="FF0000FF"/>
        <rFont val="Times New Roman"/>
        <family val="1"/>
      </rPr>
      <t>O</t>
    </r>
    <r>
      <rPr>
        <sz val="11"/>
        <color rgb="FF0000FF"/>
        <rFont val="Times New Roman"/>
        <family val="1"/>
      </rPr>
      <t>C</t>
    </r>
  </si>
  <si>
    <t>7 - 10 g/L</t>
  </si>
  <si>
    <t>135 -150  g/L</t>
  </si>
  <si>
    <t>V=m/D, 
D=1.51: TRỌNG LƯƠNG RIÊNG</t>
  </si>
  <si>
    <t>khi phân tích tạp Fe cao thì cho H2O2 vào để khử tạp Fe</t>
  </si>
  <si>
    <t>nếu  xi amoni thì thêm H2O2 hàng ngày</t>
  </si>
  <si>
    <t>(2.1±0.1)</t>
  </si>
  <si>
    <t xml:space="preserve">  Cr2O3 （K) (49)
三價鉻 FINIDIP 124</t>
  </si>
  <si>
    <t>Màu (I)  (Lanthane 318)
 (XT-0C)</t>
  </si>
  <si>
    <t>Màu (K) (Finidip 124)
 (XT-0C)</t>
  </si>
  <si>
    <r>
      <t>Zn</t>
    </r>
    <r>
      <rPr>
        <vertAlign val="superscript"/>
        <sz val="11"/>
        <color theme="1"/>
        <rFont val="Times New Roman"/>
        <family val="1"/>
      </rPr>
      <t>2+</t>
    </r>
  </si>
  <si>
    <t>BỔ SUNG CR3+ JASCO</t>
  </si>
  <si>
    <t xml:space="preserve"> Noàng ñoä   Cr2O3  (45,46)-JASCO</t>
  </si>
  <si>
    <t>HCl Đặc 13</t>
  </si>
  <si>
    <t>HCl Đặc 14</t>
  </si>
  <si>
    <t>HCl Đặc  15,16,17</t>
  </si>
  <si>
    <t>Nồng độ acid đặc (13)
鹽酸 濃度</t>
  </si>
  <si>
    <t>Nồng độ acid đặc (14)
鹽酸 濃度</t>
  </si>
  <si>
    <r>
      <t xml:space="preserve">Noàng ñoä  axit ñaëc  (14)
</t>
    </r>
    <r>
      <rPr>
        <sz val="11"/>
        <rFont val="標楷體"/>
        <family val="4"/>
        <charset val="136"/>
      </rPr>
      <t>鹽酸</t>
    </r>
    <r>
      <rPr>
        <sz val="11"/>
        <rFont val="VNI-Times"/>
      </rPr>
      <t xml:space="preserve"> </t>
    </r>
    <r>
      <rPr>
        <sz val="11"/>
        <rFont val="標楷體"/>
        <family val="4"/>
        <charset val="136"/>
      </rPr>
      <t>濃度</t>
    </r>
  </si>
  <si>
    <r>
      <t xml:space="preserve">Noàng ñoä  axit ñaëc (13)
</t>
    </r>
    <r>
      <rPr>
        <sz val="11"/>
        <rFont val="標楷體"/>
        <family val="4"/>
        <charset val="136"/>
      </rPr>
      <t>鹽酸</t>
    </r>
    <r>
      <rPr>
        <sz val="11"/>
        <rFont val="VNI-Times"/>
      </rPr>
      <t xml:space="preserve"> </t>
    </r>
    <r>
      <rPr>
        <sz val="11"/>
        <rFont val="標楷體"/>
        <family val="4"/>
        <charset val="136"/>
      </rPr>
      <t>濃度</t>
    </r>
  </si>
  <si>
    <r>
      <t xml:space="preserve">Noàng ñoä  axit ñaëc  (15,16,17)
</t>
    </r>
    <r>
      <rPr>
        <sz val="11"/>
        <rFont val="標楷體"/>
        <family val="4"/>
        <charset val="136"/>
      </rPr>
      <t>鹽酸</t>
    </r>
    <r>
      <rPr>
        <sz val="11"/>
        <rFont val="VNI-Times"/>
      </rPr>
      <t xml:space="preserve"> </t>
    </r>
    <r>
      <rPr>
        <sz val="11"/>
        <rFont val="標楷體"/>
        <family val="4"/>
        <charset val="136"/>
      </rPr>
      <t>濃度</t>
    </r>
  </si>
  <si>
    <t>thời gian pha mới bồn màu</t>
  </si>
  <si>
    <t>I</t>
  </si>
  <si>
    <t>K</t>
  </si>
  <si>
    <t>1E</t>
  </si>
  <si>
    <t>1F</t>
  </si>
  <si>
    <t>MÀU NI</t>
  </si>
  <si>
    <t>Pha mới: 2024/01/02</t>
  </si>
  <si>
    <r>
      <rPr>
        <sz val="12"/>
        <color rgb="FF0000FF"/>
        <rFont val="Times New Roman"/>
        <family val="1"/>
      </rPr>
      <t>Pha mới: 2024/01/02</t>
    </r>
    <r>
      <rPr>
        <sz val="12"/>
        <rFont val="Times New Roman"/>
        <family val="1"/>
      </rPr>
      <t xml:space="preserve"> </t>
    </r>
  </si>
  <si>
    <r>
      <rPr>
        <sz val="12"/>
        <color rgb="FF0000FF"/>
        <rFont val="Times New Roman"/>
        <family val="1"/>
      </rPr>
      <t>Pha mới: 2023/12/24</t>
    </r>
    <r>
      <rPr>
        <sz val="12"/>
        <rFont val="Times New Roman"/>
        <family val="1"/>
      </rPr>
      <t xml:space="preserve"> </t>
    </r>
  </si>
  <si>
    <r>
      <rPr>
        <sz val="12"/>
        <color rgb="FF0000FF"/>
        <rFont val="Times New Roman"/>
        <family val="1"/>
      </rPr>
      <t>Pha mới: 2023/12/02</t>
    </r>
    <r>
      <rPr>
        <sz val="12"/>
        <rFont val="Times New Roman"/>
        <family val="1"/>
      </rPr>
      <t xml:space="preserve"> </t>
    </r>
  </si>
  <si>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</si>
  <si>
    <t>Pha mới: 2023/12/08</t>
  </si>
  <si>
    <t>Cr2O3   三價鉻Ni-       PH
Pha mới: 2023/02/07</t>
  </si>
  <si>
    <t>45~60ºC
(50±2oC)</t>
  </si>
  <si>
    <t>Pha mới: 2024/01/07</t>
  </si>
  <si>
    <t>Thứ 3,</t>
  </si>
  <si>
    <t>2024/01/09</t>
  </si>
  <si>
    <t>KO SX</t>
  </si>
  <si>
    <t>15:00</t>
  </si>
  <si>
    <t>có</t>
  </si>
  <si>
    <t>ok</t>
  </si>
  <si>
    <t>1/9/2024  9:45:00 AM</t>
  </si>
  <si>
    <t>1/9/2024  11:45:00 AM</t>
  </si>
  <si>
    <t>1/9/2024  4:30:00 PM</t>
  </si>
  <si>
    <t>1/9/2024  6:00:00 PM</t>
  </si>
  <si>
    <t>1/9/2024  9:45:00 PM</t>
  </si>
  <si>
    <t>1/9/2024  4:00:00 AM</t>
  </si>
  <si>
    <t>1/9/2024  6:00:00 AM</t>
  </si>
  <si>
    <t>/</t>
  </si>
</sst>
</file>

<file path=xl/styles.xml><?xml version="1.0" encoding="utf-8"?>
<styleSheet xmlns="http://schemas.openxmlformats.org/spreadsheetml/2006/main">
  <numFmts count="31">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
    <numFmt numFmtId="181" formatCode="dd/mm/yy"/>
    <numFmt numFmtId="182" formatCode="_(* #,##0.0_);_(* \(#,##0.0\);_(* &quot;-&quot;_);_(@_)"/>
    <numFmt numFmtId="183" formatCode="_(* #,##0.00_);_(* \(#,##0.00\);_(* &quot;-&quot;_);_(@_)"/>
    <numFmt numFmtId="184" formatCode="0.0;[Red]0.0"/>
    <numFmt numFmtId="185" formatCode="0.00;[Red]0.00"/>
    <numFmt numFmtId="186" formatCode="0;[Red]0"/>
    <numFmt numFmtId="187" formatCode="_(* #,##0_);_(* \(#,##0\);_(* &quot;-&quot;??_);_(@_)"/>
    <numFmt numFmtId="188" formatCode="m/d/yy;@"/>
    <numFmt numFmtId="189" formatCode="m/d/yy\ h:mm;@"/>
    <numFmt numFmtId="190" formatCode="0;_퐀"/>
    <numFmt numFmtId="191" formatCode="_ * #,##0.0_ ;_ * \-#,##0.0_ ;_ * &quot;-&quot;??_ ;_ @_ "/>
    <numFmt numFmtId="192" formatCode="0.0;_퐀"/>
  </numFmts>
  <fonts count="245">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3"/>
      <name val="Times New Roman"/>
      <family val="1"/>
    </font>
    <font>
      <sz val="8"/>
      <name val="Times New Roman"/>
      <family val="1"/>
    </font>
    <font>
      <b/>
      <sz val="26"/>
      <name val="Times New Roman"/>
      <family val="1"/>
    </font>
    <font>
      <sz val="11"/>
      <color rgb="FF0000FF"/>
      <name val="新細明體"/>
      <family val="2"/>
      <charset val="134"/>
    </font>
    <font>
      <u/>
      <sz val="12"/>
      <color theme="1"/>
      <name val="新細明體"/>
      <family val="1"/>
      <charset val="136"/>
    </font>
    <font>
      <vertAlign val="subscript"/>
      <sz val="12"/>
      <color rgb="FF0000FF"/>
      <name val="Times New Roman"/>
      <family val="1"/>
    </font>
    <font>
      <sz val="12"/>
      <color rgb="FF0000FF"/>
      <name val="細明體"/>
      <family val="3"/>
      <charset val="136"/>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b/>
      <sz val="12"/>
      <color theme="0"/>
      <name val="Times New Roman"/>
      <family val="1"/>
    </font>
    <font>
      <sz val="11"/>
      <color theme="0"/>
      <name val="Times New Roman"/>
      <family val="1"/>
    </font>
    <font>
      <vertAlign val="superscript"/>
      <sz val="12"/>
      <color rgb="FF0000FF"/>
      <name val="Times New Roman"/>
      <family val="1"/>
    </font>
    <font>
      <sz val="10"/>
      <color theme="0"/>
      <name val="Times New Roman"/>
      <family val="1"/>
    </font>
    <font>
      <b/>
      <sz val="10"/>
      <color rgb="FF0000FF"/>
      <name val="Times New Roman"/>
      <family val="1"/>
    </font>
    <font>
      <sz val="11"/>
      <color rgb="FF000000"/>
      <name val="Calibri"/>
      <family val="2"/>
    </font>
    <font>
      <vertAlign val="superscript"/>
      <sz val="10"/>
      <color theme="1"/>
      <name val="Times New Roman"/>
      <family val="1"/>
    </font>
    <font>
      <sz val="36"/>
      <color rgb="FF0000FF"/>
      <name val="Times New Roman"/>
      <family val="1"/>
    </font>
    <font>
      <sz val="10"/>
      <color theme="0" tint="-4.9989318521683403E-2"/>
      <name val="Times New Roman"/>
      <family val="1"/>
    </font>
    <font>
      <sz val="11"/>
      <color theme="0"/>
      <name val="Calibri"/>
      <family val="2"/>
      <scheme val="minor"/>
    </font>
    <font>
      <sz val="12"/>
      <name val="Wingdings"/>
      <charset val="2"/>
    </font>
    <font>
      <sz val="24"/>
      <name val="Times New Roman"/>
      <family val="1"/>
    </font>
    <font>
      <sz val="16"/>
      <name val="Wingdings"/>
      <charset val="2"/>
    </font>
    <font>
      <b/>
      <sz val="14"/>
      <name val="Wingdings"/>
      <charset val="2"/>
    </font>
    <font>
      <b/>
      <sz val="24"/>
      <color rgb="FF0000FF"/>
      <name val="Times New Roman"/>
      <family val="1"/>
    </font>
    <font>
      <sz val="26"/>
      <color rgb="FF0000FF"/>
      <name val="Times New Roman"/>
      <family val="1"/>
    </font>
    <font>
      <sz val="16"/>
      <color rgb="FF0000FF"/>
      <name val="Times New Roman"/>
      <family val="1"/>
    </font>
    <font>
      <sz val="16"/>
      <name val="新細明體"/>
      <family val="1"/>
      <charset val="136"/>
    </font>
    <font>
      <sz val="16"/>
      <color theme="1"/>
      <name val="細明體"/>
      <family val="3"/>
      <charset val="136"/>
    </font>
    <font>
      <sz val="16"/>
      <color theme="1"/>
      <name val="新細明體"/>
      <family val="1"/>
      <charset val="136"/>
    </font>
    <font>
      <sz val="12"/>
      <color rgb="FF091EE7"/>
      <name val="Times New Roman"/>
      <family val="1"/>
    </font>
    <font>
      <sz val="12"/>
      <name val="Calibri"/>
      <family val="2"/>
    </font>
    <font>
      <sz val="10"/>
      <color theme="8" tint="-0.249977111117893"/>
      <name val="Times New Roman"/>
      <family val="1"/>
    </font>
    <font>
      <sz val="20"/>
      <color rgb="FFC00000"/>
      <name val="Times New Roman"/>
      <family val="1"/>
    </font>
    <font>
      <b/>
      <sz val="22"/>
      <color rgb="FFC00000"/>
      <name val="Times New Roman"/>
      <family val="1"/>
    </font>
    <font>
      <b/>
      <sz val="18"/>
      <name val="VNI-Times"/>
    </font>
    <font>
      <vertAlign val="superscript"/>
      <sz val="11"/>
      <color rgb="FF0000FF"/>
      <name val="Times New Roman"/>
      <family val="1"/>
    </font>
    <font>
      <sz val="18"/>
      <name val="Times New Roman"/>
      <family val="1"/>
    </font>
  </fonts>
  <fills count="60">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
      <patternFill patternType="solid">
        <fgColor theme="9"/>
        <bgColor indexed="64"/>
      </patternFill>
    </fill>
    <fill>
      <patternFill patternType="solid">
        <fgColor theme="8" tint="-0.249977111117893"/>
        <bgColor indexed="64"/>
      </patternFill>
    </fill>
    <fill>
      <patternFill patternType="solid">
        <fgColor rgb="FF00FF00"/>
        <bgColor indexed="64"/>
      </patternFill>
    </fill>
    <fill>
      <patternFill patternType="solid">
        <fgColor theme="6"/>
        <bgColor indexed="64"/>
      </patternFill>
    </fill>
  </fills>
  <borders count="2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ck">
        <color rgb="FF0000FF"/>
      </right>
      <top/>
      <bottom/>
      <diagonal/>
    </border>
    <border>
      <left/>
      <right style="thick">
        <color rgb="FF0000FF"/>
      </right>
      <top/>
      <bottom/>
      <diagonal/>
    </border>
    <border>
      <left style="thin">
        <color indexed="64"/>
      </left>
      <right style="thin">
        <color rgb="FF0000FF"/>
      </right>
      <top style="thin">
        <color rgb="FF0000FF"/>
      </top>
      <bottom style="thin">
        <color rgb="FF0000FF"/>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indexed="64"/>
      </left>
      <right style="hair">
        <color indexed="64"/>
      </right>
      <top style="thin">
        <color indexed="64"/>
      </top>
      <bottom/>
      <diagonal/>
    </border>
    <border>
      <left style="thick">
        <color theme="0" tint="-0.14996795556505021"/>
      </left>
      <right style="medium">
        <color theme="0"/>
      </right>
      <top style="thick">
        <color theme="0" tint="-0.14996795556505021"/>
      </top>
      <bottom/>
      <diagonal/>
    </border>
    <border>
      <left style="thick">
        <color theme="0" tint="-0.14996795556505021"/>
      </left>
      <right style="medium">
        <color theme="0"/>
      </right>
      <top/>
      <bottom style="thin">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rgb="FF0000FF"/>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rgb="FF0000FF"/>
      </right>
      <top style="thin">
        <color indexed="64"/>
      </top>
      <bottom/>
      <diagonal/>
    </border>
    <border>
      <left style="thin">
        <color indexed="64"/>
      </left>
      <right style="medium">
        <color rgb="FF0000FF"/>
      </right>
      <top/>
      <bottom style="thin">
        <color indexed="64"/>
      </bottom>
      <diagonal/>
    </border>
    <border>
      <left style="thin">
        <color indexed="64"/>
      </left>
      <right style="medium">
        <color rgb="FF0000FF"/>
      </right>
      <top style="thin">
        <color indexed="64"/>
      </top>
      <bottom style="hair">
        <color indexed="64"/>
      </bottom>
      <diagonal/>
    </border>
    <border>
      <left style="thin">
        <color indexed="64"/>
      </left>
      <right style="medium">
        <color rgb="FF0000FF"/>
      </right>
      <top style="hair">
        <color indexed="64"/>
      </top>
      <bottom style="hair">
        <color indexed="64"/>
      </bottom>
      <diagonal/>
    </border>
    <border>
      <left style="thin">
        <color indexed="64"/>
      </left>
      <right style="medium">
        <color rgb="FF0000FF"/>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rgb="FF0000FF"/>
      </left>
      <right style="thin">
        <color indexed="64"/>
      </right>
      <top style="medium">
        <color rgb="FF0000FF"/>
      </top>
      <bottom style="medium">
        <color rgb="FF0000FF"/>
      </bottom>
      <diagonal/>
    </border>
    <border>
      <left style="thin">
        <color indexed="64"/>
      </left>
      <right style="thin">
        <color indexed="64"/>
      </right>
      <top style="medium">
        <color rgb="FF0000FF"/>
      </top>
      <bottom style="medium">
        <color rgb="FF0000FF"/>
      </bottom>
      <diagonal/>
    </border>
    <border>
      <left style="thin">
        <color indexed="64"/>
      </left>
      <right/>
      <top style="medium">
        <color rgb="FF0000FF"/>
      </top>
      <bottom style="medium">
        <color rgb="FF0000FF"/>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9"/>
      </left>
      <right style="thin">
        <color indexed="64"/>
      </right>
      <top/>
      <bottom style="thin">
        <color indexed="64"/>
      </bottom>
      <diagonal/>
    </border>
    <border>
      <left style="thin">
        <color indexed="64"/>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hair">
        <color indexed="64"/>
      </right>
      <top style="medium">
        <color rgb="FFFF0000"/>
      </top>
      <bottom style="thin">
        <color indexed="64"/>
      </bottom>
      <diagonal/>
    </border>
    <border>
      <left/>
      <right/>
      <top style="medium">
        <color rgb="FFFF0000"/>
      </top>
      <bottom style="thin">
        <color indexed="64"/>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hair">
        <color indexed="64"/>
      </right>
      <top style="thin">
        <color indexed="64"/>
      </top>
      <bottom style="medium">
        <color rgb="FFFF0000"/>
      </bottom>
      <diagonal/>
    </border>
    <border>
      <left style="thin">
        <color indexed="64"/>
      </left>
      <right/>
      <top style="thin">
        <color indexed="64"/>
      </top>
      <bottom style="medium">
        <color rgb="FFFF0000"/>
      </bottom>
      <diagonal/>
    </border>
    <border>
      <left style="hair">
        <color indexed="64"/>
      </left>
      <right/>
      <top style="thin">
        <color indexed="64"/>
      </top>
      <bottom/>
      <diagonal/>
    </border>
    <border>
      <left style="medium">
        <color rgb="FFFF0000"/>
      </left>
      <right/>
      <top style="medium">
        <color rgb="FFFF0000"/>
      </top>
      <bottom style="thin">
        <color indexed="64"/>
      </bottom>
      <diagonal/>
    </border>
    <border>
      <left style="thin">
        <color indexed="64"/>
      </left>
      <right style="medium">
        <color rgb="FF0000FF"/>
      </right>
      <top style="medium">
        <color rgb="FFFF0000"/>
      </top>
      <bottom style="thin">
        <color indexed="64"/>
      </bottom>
      <diagonal/>
    </border>
    <border>
      <left style="hair">
        <color indexed="64"/>
      </left>
      <right style="hair">
        <color indexed="64"/>
      </right>
      <top style="medium">
        <color rgb="FFFF0000"/>
      </top>
      <bottom style="thin">
        <color indexed="64"/>
      </bottom>
      <diagonal/>
    </border>
    <border>
      <left style="hair">
        <color indexed="64"/>
      </left>
      <right style="thin">
        <color indexed="64"/>
      </right>
      <top style="medium">
        <color rgb="FFFF0000"/>
      </top>
      <bottom style="thin">
        <color indexed="64"/>
      </bottom>
      <diagonal/>
    </border>
    <border>
      <left style="hair">
        <color indexed="64"/>
      </left>
      <right style="medium">
        <color rgb="FFFF0000"/>
      </right>
      <top style="medium">
        <color rgb="FFFF0000"/>
      </top>
      <bottom style="thin">
        <color indexed="64"/>
      </bottom>
      <diagonal/>
    </border>
    <border>
      <left style="medium">
        <color rgb="FFFF0000"/>
      </left>
      <right/>
      <top/>
      <bottom style="thin">
        <color indexed="64"/>
      </bottom>
      <diagonal/>
    </border>
    <border>
      <left style="hair">
        <color indexed="64"/>
      </left>
      <right style="medium">
        <color rgb="FFFF0000"/>
      </right>
      <top style="thin">
        <color indexed="64"/>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medium">
        <color rgb="FF0000FF"/>
      </right>
      <top style="thin">
        <color indexed="64"/>
      </top>
      <bottom style="medium">
        <color rgb="FFFF0000"/>
      </bottom>
      <diagonal/>
    </border>
    <border>
      <left style="hair">
        <color indexed="64"/>
      </left>
      <right style="hair">
        <color indexed="64"/>
      </right>
      <top style="thin">
        <color indexed="64"/>
      </top>
      <bottom style="medium">
        <color rgb="FFFF0000"/>
      </bottom>
      <diagonal/>
    </border>
    <border>
      <left style="hair">
        <color indexed="64"/>
      </left>
      <right style="thin">
        <color indexed="64"/>
      </right>
      <top style="thin">
        <color indexed="64"/>
      </top>
      <bottom style="medium">
        <color rgb="FFFF0000"/>
      </bottom>
      <diagonal/>
    </border>
    <border>
      <left style="hair">
        <color indexed="64"/>
      </left>
      <right/>
      <top style="thin">
        <color indexed="64"/>
      </top>
      <bottom style="medium">
        <color rgb="FFFF0000"/>
      </bottom>
      <diagonal/>
    </border>
    <border>
      <left style="hair">
        <color indexed="64"/>
      </left>
      <right style="medium">
        <color rgb="FFFF0000"/>
      </right>
      <top style="thin">
        <color indexed="64"/>
      </top>
      <bottom style="medium">
        <color rgb="FFFF0000"/>
      </bottom>
      <diagonal/>
    </border>
    <border>
      <left style="medium">
        <color rgb="FF0000FF"/>
      </left>
      <right style="thin">
        <color indexed="64"/>
      </right>
      <top style="thin">
        <color indexed="64"/>
      </top>
      <bottom style="thin">
        <color indexed="64"/>
      </bottom>
      <diagonal/>
    </border>
    <border>
      <left/>
      <right style="medium">
        <color rgb="FF0000FF"/>
      </right>
      <top style="thin">
        <color indexed="64"/>
      </top>
      <bottom style="thin">
        <color indexed="64"/>
      </bottom>
      <diagonal/>
    </border>
    <border>
      <left style="thin">
        <color indexed="64"/>
      </left>
      <right style="medium">
        <color rgb="FF0000FF"/>
      </right>
      <top style="thin">
        <color indexed="64"/>
      </top>
      <bottom style="thin">
        <color theme="1"/>
      </bottom>
      <diagonal/>
    </border>
    <border>
      <left style="thin">
        <color indexed="64"/>
      </left>
      <right style="thin">
        <color indexed="64"/>
      </right>
      <top/>
      <bottom style="hair">
        <color indexed="64"/>
      </bottom>
      <diagonal/>
    </border>
    <border>
      <left/>
      <right style="hair">
        <color indexed="64"/>
      </right>
      <top style="thin">
        <color indexed="64"/>
      </top>
      <bottom/>
      <diagonal/>
    </border>
    <border>
      <left style="thin">
        <color rgb="FFFF0000"/>
      </left>
      <right/>
      <top style="thin">
        <color rgb="FFFF0000"/>
      </top>
      <bottom/>
      <diagonal/>
    </border>
    <border>
      <left/>
      <right/>
      <top style="thin">
        <color rgb="FFFF0000"/>
      </top>
      <bottom/>
      <diagonal/>
    </border>
    <border>
      <left/>
      <right style="thin">
        <color indexed="64"/>
      </right>
      <top style="thin">
        <color rgb="FFFF0000"/>
      </top>
      <bottom/>
      <diagonal/>
    </border>
    <border>
      <left style="thin">
        <color indexed="64"/>
      </left>
      <right style="thin">
        <color indexed="64"/>
      </right>
      <top style="thin">
        <color rgb="FFFF0000"/>
      </top>
      <bottom style="thin">
        <color indexed="64"/>
      </bottom>
      <diagonal/>
    </border>
    <border>
      <left style="thin">
        <color indexed="64"/>
      </left>
      <right style="medium">
        <color rgb="FF0000FF"/>
      </right>
      <top style="thin">
        <color rgb="FFFF0000"/>
      </top>
      <bottom style="thin">
        <color indexed="64"/>
      </bottom>
      <diagonal/>
    </border>
    <border>
      <left/>
      <right style="hair">
        <color indexed="64"/>
      </right>
      <top style="thin">
        <color rgb="FFFF0000"/>
      </top>
      <bottom style="thin">
        <color indexed="64"/>
      </bottom>
      <diagonal/>
    </border>
    <border>
      <left style="thin">
        <color indexed="64"/>
      </left>
      <right/>
      <top style="thin">
        <color rgb="FFFF0000"/>
      </top>
      <bottom style="thin">
        <color indexed="64"/>
      </bottom>
      <diagonal/>
    </border>
    <border>
      <left style="thin">
        <color indexed="9"/>
      </left>
      <right style="thin">
        <color indexed="64"/>
      </right>
      <top style="thin">
        <color rgb="FFFF0000"/>
      </top>
      <bottom style="thin">
        <color indexed="64"/>
      </bottom>
      <diagonal/>
    </border>
    <border>
      <left/>
      <right/>
      <top style="thin">
        <color rgb="FFFF0000"/>
      </top>
      <bottom style="thin">
        <color indexed="64"/>
      </bottom>
      <diagonal/>
    </border>
    <border>
      <left style="thin">
        <color indexed="64"/>
      </left>
      <right style="hair">
        <color indexed="64"/>
      </right>
      <top style="thin">
        <color rgb="FFFF0000"/>
      </top>
      <bottom style="hair">
        <color indexed="64"/>
      </bottom>
      <diagonal/>
    </border>
    <border>
      <left style="hair">
        <color indexed="64"/>
      </left>
      <right style="hair">
        <color indexed="64"/>
      </right>
      <top style="thin">
        <color rgb="FFFF0000"/>
      </top>
      <bottom style="hair">
        <color indexed="64"/>
      </bottom>
      <diagonal/>
    </border>
    <border>
      <left style="hair">
        <color indexed="64"/>
      </left>
      <right style="thin">
        <color indexed="64"/>
      </right>
      <top style="thin">
        <color rgb="FFFF0000"/>
      </top>
      <bottom style="hair">
        <color indexed="64"/>
      </bottom>
      <diagonal/>
    </border>
    <border>
      <left style="thin">
        <color indexed="64"/>
      </left>
      <right style="hair">
        <color indexed="64"/>
      </right>
      <top style="thin">
        <color rgb="FFFF0000"/>
      </top>
      <bottom style="thin">
        <color indexed="64"/>
      </bottom>
      <diagonal/>
    </border>
    <border>
      <left style="thin">
        <color indexed="64"/>
      </left>
      <right style="thin">
        <color rgb="FFFF0000"/>
      </right>
      <top style="thin">
        <color rgb="FFFF0000"/>
      </top>
      <bottom style="thin">
        <color indexed="64"/>
      </bottom>
      <diagonal/>
    </border>
    <border>
      <left style="thin">
        <color rgb="FFFF0000"/>
      </left>
      <right/>
      <top/>
      <bottom style="thin">
        <color rgb="FFFF0000"/>
      </bottom>
      <diagonal/>
    </border>
    <border>
      <left/>
      <right/>
      <top/>
      <bottom style="thin">
        <color rgb="FFFF0000"/>
      </bottom>
      <diagonal/>
    </border>
    <border>
      <left/>
      <right style="thin">
        <color indexed="64"/>
      </right>
      <top/>
      <bottom style="thin">
        <color rgb="FFFF0000"/>
      </bottom>
      <diagonal/>
    </border>
    <border>
      <left style="thin">
        <color indexed="64"/>
      </left>
      <right style="thin">
        <color indexed="64"/>
      </right>
      <top style="thin">
        <color indexed="64"/>
      </top>
      <bottom style="thin">
        <color rgb="FFFF0000"/>
      </bottom>
      <diagonal/>
    </border>
    <border>
      <left style="thin">
        <color indexed="64"/>
      </left>
      <right style="medium">
        <color rgb="FF0000FF"/>
      </right>
      <top style="thin">
        <color indexed="64"/>
      </top>
      <bottom style="thin">
        <color rgb="FFFF0000"/>
      </bottom>
      <diagonal/>
    </border>
    <border>
      <left/>
      <right style="hair">
        <color indexed="64"/>
      </right>
      <top style="thin">
        <color indexed="64"/>
      </top>
      <bottom style="thin">
        <color rgb="FFFF0000"/>
      </bottom>
      <diagonal/>
    </border>
    <border>
      <left style="thin">
        <color indexed="64"/>
      </left>
      <right/>
      <top style="thin">
        <color indexed="64"/>
      </top>
      <bottom style="thin">
        <color rgb="FFFF0000"/>
      </bottom>
      <diagonal/>
    </border>
    <border>
      <left style="thin">
        <color indexed="9"/>
      </left>
      <right style="thin">
        <color indexed="64"/>
      </right>
      <top style="thin">
        <color indexed="64"/>
      </top>
      <bottom style="thin">
        <color rgb="FFFF0000"/>
      </bottom>
      <diagonal/>
    </border>
    <border>
      <left/>
      <right/>
      <top style="thin">
        <color indexed="64"/>
      </top>
      <bottom style="thin">
        <color rgb="FFFF0000"/>
      </bottom>
      <diagonal/>
    </border>
    <border>
      <left style="thin">
        <color indexed="64"/>
      </left>
      <right style="hair">
        <color indexed="64"/>
      </right>
      <top style="hair">
        <color indexed="64"/>
      </top>
      <bottom style="thin">
        <color rgb="FFFF0000"/>
      </bottom>
      <diagonal/>
    </border>
    <border>
      <left style="hair">
        <color indexed="64"/>
      </left>
      <right style="hair">
        <color indexed="64"/>
      </right>
      <top style="hair">
        <color indexed="64"/>
      </top>
      <bottom style="thin">
        <color rgb="FFFF0000"/>
      </bottom>
      <diagonal/>
    </border>
    <border>
      <left style="hair">
        <color indexed="64"/>
      </left>
      <right style="thin">
        <color indexed="64"/>
      </right>
      <top style="hair">
        <color indexed="64"/>
      </top>
      <bottom style="thin">
        <color rgb="FFFF0000"/>
      </bottom>
      <diagonal/>
    </border>
    <border>
      <left style="thin">
        <color indexed="64"/>
      </left>
      <right style="hair">
        <color indexed="64"/>
      </right>
      <top style="thin">
        <color indexed="64"/>
      </top>
      <bottom style="thin">
        <color rgb="FFFF0000"/>
      </bottom>
      <diagonal/>
    </border>
    <border>
      <left style="thin">
        <color indexed="64"/>
      </left>
      <right style="thin">
        <color rgb="FFFF0000"/>
      </right>
      <top style="thin">
        <color indexed="64"/>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indexed="64"/>
      </right>
      <top style="thin">
        <color rgb="FFFF0000"/>
      </top>
      <bottom style="thin">
        <color rgb="FFFF0000"/>
      </bottom>
      <diagonal/>
    </border>
    <border>
      <left style="thin">
        <color indexed="64"/>
      </left>
      <right style="thin">
        <color indexed="64"/>
      </right>
      <top style="thin">
        <color rgb="FFFF0000"/>
      </top>
      <bottom style="thin">
        <color rgb="FFFF0000"/>
      </bottom>
      <diagonal/>
    </border>
    <border>
      <left style="thin">
        <color indexed="64"/>
      </left>
      <right style="medium">
        <color rgb="FF0000FF"/>
      </right>
      <top style="thin">
        <color rgb="FFFF0000"/>
      </top>
      <bottom style="thin">
        <color rgb="FFFF0000"/>
      </bottom>
      <diagonal/>
    </border>
    <border>
      <left/>
      <right style="hair">
        <color indexed="64"/>
      </right>
      <top style="thin">
        <color rgb="FFFF0000"/>
      </top>
      <bottom style="thin">
        <color rgb="FFFF0000"/>
      </bottom>
      <diagonal/>
    </border>
    <border>
      <left style="hair">
        <color indexed="64"/>
      </left>
      <right style="hair">
        <color indexed="64"/>
      </right>
      <top style="thin">
        <color rgb="FFFF0000"/>
      </top>
      <bottom style="thin">
        <color rgb="FFFF0000"/>
      </bottom>
      <diagonal/>
    </border>
    <border>
      <left style="thin">
        <color indexed="64"/>
      </left>
      <right style="hair">
        <color indexed="64"/>
      </right>
      <top style="thin">
        <color rgb="FFFF0000"/>
      </top>
      <bottom style="thin">
        <color rgb="FFFF0000"/>
      </bottom>
      <diagonal/>
    </border>
    <border>
      <left style="thin">
        <color indexed="64"/>
      </left>
      <right/>
      <top style="thin">
        <color rgb="FFFF0000"/>
      </top>
      <bottom style="thin">
        <color rgb="FFFF0000"/>
      </bottom>
      <diagonal/>
    </border>
    <border>
      <left style="hair">
        <color indexed="64"/>
      </left>
      <right style="thin">
        <color rgb="FFFF0000"/>
      </right>
      <top style="thin">
        <color rgb="FFFF0000"/>
      </top>
      <bottom style="thin">
        <color rgb="FFFF0000"/>
      </bottom>
      <diagonal/>
    </border>
    <border>
      <left/>
      <right style="thin">
        <color indexed="64"/>
      </right>
      <top style="thin">
        <color rgb="FFFF0000"/>
      </top>
      <bottom style="thin">
        <color indexed="64"/>
      </bottom>
      <diagonal/>
    </border>
    <border>
      <left style="thin">
        <color rgb="FFFF0000"/>
      </left>
      <right/>
      <top/>
      <bottom/>
      <diagonal/>
    </border>
    <border>
      <left style="thin">
        <color indexed="64"/>
      </left>
      <right style="thin">
        <color rgb="FFFF0000"/>
      </right>
      <top style="thin">
        <color indexed="64"/>
      </top>
      <bottom style="thin">
        <color indexed="64"/>
      </bottom>
      <diagonal/>
    </border>
    <border>
      <left style="thin">
        <color rgb="FFFF0000"/>
      </left>
      <right/>
      <top style="thin">
        <color indexed="64"/>
      </top>
      <bottom style="thin">
        <color rgb="FFFF0000"/>
      </bottom>
      <diagonal/>
    </border>
    <border>
      <left/>
      <right style="thin">
        <color indexed="64"/>
      </right>
      <top style="thin">
        <color indexed="64"/>
      </top>
      <bottom style="thin">
        <color rgb="FFFF0000"/>
      </bottom>
      <diagonal/>
    </border>
  </borders>
  <cellStyleXfs count="105">
    <xf numFmtId="0" fontId="0" fillId="0" borderId="0">
      <alignment vertical="center"/>
    </xf>
    <xf numFmtId="165" fontId="6" fillId="0" borderId="0" applyFont="0" applyFill="0" applyBorder="0" applyAlignment="0" applyProtection="0">
      <alignment vertical="center"/>
    </xf>
    <xf numFmtId="164" fontId="46" fillId="0" borderId="0" applyFont="0" applyFill="0" applyBorder="0" applyAlignment="0" applyProtection="0"/>
    <xf numFmtId="0" fontId="6" fillId="0" borderId="0">
      <alignment vertical="center"/>
    </xf>
    <xf numFmtId="0" fontId="47" fillId="0" borderId="0">
      <alignment vertical="center"/>
    </xf>
    <xf numFmtId="0" fontId="48" fillId="0" borderId="0">
      <alignment vertical="center"/>
    </xf>
    <xf numFmtId="0" fontId="46" fillId="0" borderId="0"/>
    <xf numFmtId="9" fontId="6" fillId="0" borderId="0" applyFont="0" applyFill="0" applyBorder="0" applyAlignment="0" applyProtection="0">
      <alignment vertical="center"/>
    </xf>
    <xf numFmtId="0" fontId="49" fillId="0" borderId="0">
      <alignment vertical="center"/>
    </xf>
    <xf numFmtId="0" fontId="20" fillId="2" borderId="0" applyNumberFormat="0" applyBorder="0" applyAlignment="0" applyProtection="0">
      <alignment vertical="center"/>
    </xf>
    <xf numFmtId="0" fontId="16" fillId="2" borderId="0" applyNumberFormat="0" applyBorder="0" applyAlignment="0" applyProtection="0">
      <alignment vertical="center"/>
    </xf>
    <xf numFmtId="0" fontId="19" fillId="3" borderId="0" applyNumberFormat="0" applyBorder="0" applyAlignment="0" applyProtection="0">
      <alignment vertical="center"/>
    </xf>
    <xf numFmtId="0" fontId="15" fillId="3" borderId="0" applyNumberFormat="0" applyBorder="0" applyAlignment="0" applyProtection="0">
      <alignment vertical="center"/>
    </xf>
    <xf numFmtId="0" fontId="22" fillId="0" borderId="0">
      <alignment vertical="center"/>
    </xf>
    <xf numFmtId="9" fontId="6" fillId="0" borderId="0" applyFont="0" applyFill="0" applyBorder="0" applyAlignment="0" applyProtection="0">
      <alignment vertical="center"/>
    </xf>
    <xf numFmtId="0" fontId="78" fillId="0" borderId="0">
      <alignment vertical="center"/>
    </xf>
    <xf numFmtId="0" fontId="6" fillId="0" borderId="0">
      <alignment vertical="center"/>
    </xf>
    <xf numFmtId="0" fontId="79" fillId="0" borderId="0">
      <alignment vertical="center"/>
    </xf>
    <xf numFmtId="9" fontId="80" fillId="0" borderId="0" applyFont="0" applyFill="0" applyBorder="0" applyAlignment="0" applyProtection="0">
      <alignment vertical="center"/>
    </xf>
    <xf numFmtId="0" fontId="81" fillId="15" borderId="0" applyNumberFormat="0" applyBorder="0" applyAlignment="0" applyProtection="0">
      <alignment vertical="center"/>
    </xf>
    <xf numFmtId="0" fontId="6" fillId="0" borderId="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2" fillId="16" borderId="0" applyNumberFormat="0" applyBorder="0" applyAlignment="0" applyProtection="0">
      <alignment vertical="center"/>
    </xf>
    <xf numFmtId="0" fontId="82" fillId="17" borderId="0" applyNumberFormat="0" applyBorder="0" applyAlignment="0" applyProtection="0">
      <alignment vertical="center"/>
    </xf>
    <xf numFmtId="0" fontId="82" fillId="15"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18" borderId="0" applyNumberFormat="0" applyBorder="0" applyAlignment="0" applyProtection="0">
      <alignment vertical="center"/>
    </xf>
    <xf numFmtId="0" fontId="82" fillId="21" borderId="0" applyNumberFormat="0" applyBorder="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4" fillId="25"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0" fillId="0" borderId="0">
      <alignment vertical="center"/>
    </xf>
    <xf numFmtId="0" fontId="6" fillId="0" borderId="0">
      <alignment vertical="center"/>
    </xf>
    <xf numFmtId="0" fontId="80" fillId="29" borderId="29" applyNumberFormat="0" applyFont="0" applyAlignment="0" applyProtection="0">
      <alignment vertical="center"/>
    </xf>
    <xf numFmtId="0" fontId="85" fillId="0" borderId="30" applyNumberFormat="0" applyFill="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7" fillId="17"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0" applyNumberFormat="0" applyFill="0" applyAlignment="0" applyProtection="0">
      <alignment vertical="center"/>
    </xf>
    <xf numFmtId="0" fontId="80" fillId="29" borderId="29" applyNumberFormat="0" applyFont="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33" borderId="0" applyNumberFormat="0" applyBorder="0" applyAlignment="0" applyProtection="0">
      <alignment vertical="center"/>
    </xf>
    <xf numFmtId="0" fontId="89" fillId="0" borderId="31" applyNumberFormat="0" applyFill="0" applyAlignment="0" applyProtection="0">
      <alignment vertical="center"/>
    </xf>
    <xf numFmtId="0" fontId="90" fillId="0" borderId="31" applyNumberFormat="0" applyFill="0" applyAlignment="0" applyProtection="0">
      <alignment vertical="center"/>
    </xf>
    <xf numFmtId="0" fontId="5" fillId="0" borderId="0"/>
    <xf numFmtId="43" fontId="5" fillId="0" borderId="0" applyFont="0" applyFill="0" applyBorder="0" applyAlignment="0" applyProtection="0"/>
    <xf numFmtId="0" fontId="99" fillId="0" borderId="0" applyNumberFormat="0" applyFill="0" applyBorder="0" applyAlignment="0" applyProtection="0">
      <alignment vertical="top"/>
      <protection locked="0"/>
    </xf>
    <xf numFmtId="0" fontId="11" fillId="0" borderId="0"/>
    <xf numFmtId="0" fontId="22" fillId="0" borderId="0"/>
    <xf numFmtId="0" fontId="49" fillId="0" borderId="0">
      <alignment vertical="center"/>
    </xf>
    <xf numFmtId="0" fontId="6" fillId="0" borderId="0">
      <alignment vertical="center"/>
    </xf>
    <xf numFmtId="0" fontId="159" fillId="0" borderId="0"/>
    <xf numFmtId="0" fontId="80" fillId="0" borderId="0">
      <alignment vertical="center"/>
    </xf>
    <xf numFmtId="0" fontId="6" fillId="0" borderId="0"/>
    <xf numFmtId="0" fontId="87" fillId="2" borderId="0" applyNumberFormat="0" applyBorder="0" applyAlignment="0" applyProtection="0">
      <alignment vertical="center"/>
    </xf>
    <xf numFmtId="0" fontId="179" fillId="0" borderId="0" applyNumberFormat="0" applyFill="0" applyBorder="0" applyAlignment="0" applyProtection="0">
      <alignment vertical="center"/>
    </xf>
    <xf numFmtId="0" fontId="180" fillId="0" borderId="71" applyNumberFormat="0" applyFill="0" applyAlignment="0" applyProtection="0">
      <alignment vertical="center"/>
    </xf>
    <xf numFmtId="0" fontId="181" fillId="0" borderId="72" applyNumberFormat="0" applyFill="0" applyAlignment="0" applyProtection="0">
      <alignment vertical="center"/>
    </xf>
    <xf numFmtId="0" fontId="182" fillId="0" borderId="73" applyNumberFormat="0" applyFill="0" applyAlignment="0" applyProtection="0">
      <alignment vertical="center"/>
    </xf>
    <xf numFmtId="0" fontId="182" fillId="0" borderId="0" applyNumberFormat="0" applyFill="0" applyBorder="0" applyAlignment="0" applyProtection="0">
      <alignment vertical="center"/>
    </xf>
    <xf numFmtId="0" fontId="183" fillId="46" borderId="74" applyNumberFormat="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47" borderId="75" applyNumberFormat="0" applyAlignment="0" applyProtection="0">
      <alignment vertical="center"/>
    </xf>
    <xf numFmtId="0" fontId="187" fillId="48" borderId="75" applyNumberFormat="0" applyAlignment="0" applyProtection="0">
      <alignment vertical="center"/>
    </xf>
    <xf numFmtId="0" fontId="188" fillId="47" borderId="76" applyNumberFormat="0" applyAlignment="0" applyProtection="0">
      <alignment vertical="center"/>
    </xf>
    <xf numFmtId="0" fontId="189" fillId="49" borderId="0" applyNumberFormat="0" applyBorder="0" applyAlignment="0" applyProtection="0">
      <alignment vertical="center"/>
    </xf>
  </cellStyleXfs>
  <cellXfs count="3629">
    <xf numFmtId="0" fontId="0" fillId="0" borderId="0" xfId="0">
      <alignment vertical="center"/>
    </xf>
    <xf numFmtId="0" fontId="24"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vertical="center" wrapText="1" shrinkToFit="1"/>
    </xf>
    <xf numFmtId="170" fontId="24" fillId="0" borderId="5" xfId="8" applyNumberFormat="1" applyFont="1" applyFill="1" applyBorder="1" applyAlignment="1" applyProtection="1">
      <alignment vertical="center"/>
    </xf>
    <xf numFmtId="170" fontId="24" fillId="0" borderId="6" xfId="8" applyNumberFormat="1" applyFont="1" applyFill="1" applyBorder="1" applyAlignment="1" applyProtection="1">
      <alignment vertical="center"/>
    </xf>
    <xf numFmtId="0" fontId="10" fillId="0" borderId="0" xfId="0" applyFont="1" applyFill="1" applyAlignment="1" applyProtection="1">
      <alignment horizontal="center" vertical="center"/>
    </xf>
    <xf numFmtId="0" fontId="10" fillId="0" borderId="0" xfId="0" applyFont="1" applyAlignment="1" applyProtection="1">
      <alignment horizontal="center" vertical="center"/>
    </xf>
    <xf numFmtId="0" fontId="10" fillId="0" borderId="7" xfId="0" applyFont="1" applyBorder="1" applyAlignment="1" applyProtection="1">
      <alignment vertical="center" wrapText="1"/>
    </xf>
    <xf numFmtId="0" fontId="24" fillId="0" borderId="1" xfId="0" applyFont="1" applyBorder="1" applyAlignment="1" applyProtection="1">
      <alignment horizontal="center" vertical="center" wrapText="1"/>
    </xf>
    <xf numFmtId="0" fontId="26" fillId="0" borderId="1" xfId="0" applyFont="1" applyFill="1" applyBorder="1" applyAlignment="1" applyProtection="1">
      <alignment horizontal="center" vertical="center"/>
    </xf>
    <xf numFmtId="0" fontId="50" fillId="0" borderId="0" xfId="0" applyFont="1" applyFill="1" applyAlignment="1">
      <alignment horizontal="center" vertical="center"/>
    </xf>
    <xf numFmtId="0" fontId="50" fillId="0" borderId="1" xfId="0" applyNumberFormat="1" applyFont="1" applyFill="1" applyBorder="1" applyAlignment="1" applyProtection="1">
      <alignment horizontal="center" vertical="center" wrapText="1"/>
    </xf>
    <xf numFmtId="0" fontId="50" fillId="0" borderId="1" xfId="0" applyNumberFormat="1" applyFont="1" applyFill="1" applyBorder="1" applyAlignment="1">
      <alignment horizontal="center" vertical="center" wrapText="1"/>
    </xf>
    <xf numFmtId="0" fontId="24" fillId="0" borderId="0" xfId="8" applyFont="1" applyFill="1" applyAlignment="1" applyProtection="1">
      <alignment horizontal="center" vertical="center"/>
    </xf>
    <xf numFmtId="0" fontId="24" fillId="0" borderId="0" xfId="8" applyFont="1" applyFill="1" applyBorder="1" applyAlignment="1" applyProtection="1">
      <alignment horizontal="center" vertical="center"/>
    </xf>
    <xf numFmtId="167" fontId="24" fillId="0" borderId="5" xfId="8" applyNumberFormat="1" applyFont="1" applyFill="1" applyBorder="1" applyAlignment="1" applyProtection="1">
      <alignment horizontal="center" vertical="center"/>
    </xf>
    <xf numFmtId="166" fontId="24" fillId="0" borderId="1" xfId="8" applyNumberFormat="1" applyFont="1" applyFill="1" applyBorder="1" applyAlignment="1" applyProtection="1">
      <alignment horizontal="center" vertical="center"/>
    </xf>
    <xf numFmtId="0" fontId="24" fillId="0" borderId="0" xfId="0" applyFont="1" applyFill="1" applyAlignment="1" applyProtection="1">
      <alignment horizontal="center" vertical="center"/>
      <protection locked="0"/>
    </xf>
    <xf numFmtId="0" fontId="38" fillId="0" borderId="1" xfId="0" applyNumberFormat="1" applyFont="1" applyFill="1" applyBorder="1" applyAlignment="1" applyProtection="1">
      <alignment horizontal="center" vertical="center"/>
    </xf>
    <xf numFmtId="0" fontId="42" fillId="0" borderId="1" xfId="0" applyFont="1" applyFill="1" applyBorder="1" applyAlignment="1" applyProtection="1">
      <alignment horizontal="center" vertical="center"/>
    </xf>
    <xf numFmtId="9" fontId="38" fillId="0" borderId="1" xfId="0" applyNumberFormat="1" applyFont="1" applyFill="1" applyBorder="1" applyAlignment="1" applyProtection="1">
      <alignment horizontal="center" vertical="center"/>
    </xf>
    <xf numFmtId="0" fontId="30" fillId="0" borderId="1" xfId="8" applyFont="1" applyFill="1" applyBorder="1" applyAlignment="1" applyProtection="1">
      <alignment horizontal="center" vertical="center"/>
    </xf>
    <xf numFmtId="0" fontId="14" fillId="0" borderId="7" xfId="8" applyFont="1" applyFill="1" applyBorder="1" applyAlignment="1" applyProtection="1">
      <alignment horizontal="center" vertical="center" wrapText="1"/>
      <protection locked="0"/>
    </xf>
    <xf numFmtId="20" fontId="14" fillId="0" borderId="7" xfId="8" applyNumberFormat="1" applyFont="1" applyFill="1" applyBorder="1" applyAlignment="1" applyProtection="1">
      <alignment horizontal="center" vertical="center" wrapText="1"/>
      <protection locked="0"/>
    </xf>
    <xf numFmtId="0" fontId="24" fillId="0" borderId="7" xfId="8" applyFont="1" applyFill="1" applyBorder="1" applyAlignment="1" applyProtection="1">
      <alignment horizontal="center" vertical="center" wrapText="1"/>
      <protection locked="0"/>
    </xf>
    <xf numFmtId="177" fontId="24" fillId="0" borderId="6" xfId="8" applyNumberFormat="1" applyFont="1" applyFill="1" applyBorder="1" applyAlignment="1" applyProtection="1">
      <alignment horizontal="center" vertical="center"/>
    </xf>
    <xf numFmtId="0" fontId="10" fillId="0" borderId="7" xfId="0" applyFont="1" applyFill="1" applyBorder="1" applyAlignment="1" applyProtection="1">
      <alignment vertical="center" wrapText="1"/>
    </xf>
    <xf numFmtId="0" fontId="10" fillId="0" borderId="0" xfId="0" applyFont="1" applyFill="1" applyBorder="1" applyAlignment="1" applyProtection="1">
      <alignment horizontal="left" vertical="center" wrapText="1"/>
    </xf>
    <xf numFmtId="168" fontId="10" fillId="0" borderId="9" xfId="0" applyNumberFormat="1" applyFont="1" applyFill="1" applyBorder="1" applyAlignment="1" applyProtection="1">
      <alignment horizontal="center" vertical="center"/>
    </xf>
    <xf numFmtId="0" fontId="10" fillId="0" borderId="0" xfId="0" applyFont="1" applyFill="1" applyAlignment="1" applyProtection="1">
      <alignment horizontal="left" vertical="center"/>
    </xf>
    <xf numFmtId="0" fontId="14" fillId="0" borderId="0" xfId="0" applyFont="1" applyFill="1" applyAlignment="1" applyProtection="1">
      <alignment horizontal="center" vertical="center"/>
      <protection locked="0"/>
    </xf>
    <xf numFmtId="0" fontId="24" fillId="0" borderId="0" xfId="0" applyNumberFormat="1" applyFont="1" applyFill="1" applyAlignment="1" applyProtection="1">
      <alignment horizontal="center" vertical="center"/>
      <protection locked="0"/>
    </xf>
    <xf numFmtId="0" fontId="38" fillId="0" borderId="5" xfId="0" applyFont="1" applyFill="1" applyBorder="1" applyAlignment="1" applyProtection="1">
      <alignment vertical="center"/>
    </xf>
    <xf numFmtId="169" fontId="38" fillId="0" borderId="1" xfId="0" applyNumberFormat="1" applyFont="1" applyFill="1" applyBorder="1" applyAlignment="1">
      <alignment horizontal="center" vertical="center"/>
    </xf>
    <xf numFmtId="166" fontId="38" fillId="0" borderId="1" xfId="0" applyNumberFormat="1" applyFont="1" applyFill="1" applyBorder="1" applyAlignment="1">
      <alignment horizontal="center" vertical="center"/>
    </xf>
    <xf numFmtId="170" fontId="38" fillId="0" borderId="5" xfId="0" applyNumberFormat="1" applyFont="1" applyFill="1" applyBorder="1" applyAlignment="1" applyProtection="1">
      <alignment vertical="center"/>
      <protection locked="0"/>
    </xf>
    <xf numFmtId="167" fontId="38" fillId="0" borderId="14" xfId="0" applyNumberFormat="1" applyFont="1" applyFill="1" applyBorder="1" applyAlignment="1" applyProtection="1">
      <alignment horizontal="center" vertical="center"/>
      <protection locked="0"/>
    </xf>
    <xf numFmtId="166" fontId="38" fillId="0" borderId="5" xfId="0" applyNumberFormat="1" applyFont="1" applyFill="1" applyBorder="1" applyAlignment="1">
      <alignment horizontal="center" vertical="center"/>
    </xf>
    <xf numFmtId="168" fontId="38" fillId="0" borderId="6" xfId="0" applyNumberFormat="1" applyFont="1" applyFill="1" applyBorder="1" applyAlignment="1" applyProtection="1">
      <alignment horizontal="center" vertical="center"/>
    </xf>
    <xf numFmtId="168" fontId="38" fillId="0" borderId="1" xfId="0" applyNumberFormat="1" applyFont="1" applyFill="1" applyBorder="1" applyAlignment="1">
      <alignment horizontal="center" vertical="center"/>
    </xf>
    <xf numFmtId="171" fontId="38" fillId="0" borderId="6" xfId="0" applyNumberFormat="1" applyFont="1" applyFill="1" applyBorder="1" applyAlignment="1" applyProtection="1">
      <alignment horizontal="center" vertical="center"/>
    </xf>
    <xf numFmtId="0" fontId="38" fillId="0" borderId="0" xfId="0" applyFont="1" applyFill="1" applyBorder="1" applyAlignment="1">
      <alignment horizontal="center" vertical="center"/>
    </xf>
    <xf numFmtId="0" fontId="38"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xf>
    <xf numFmtId="176" fontId="24" fillId="0" borderId="6" xfId="8" applyNumberFormat="1"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NumberFormat="1"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xf>
    <xf numFmtId="0" fontId="50" fillId="0" borderId="1" xfId="0" applyFont="1" applyFill="1" applyBorder="1" applyAlignment="1">
      <alignment horizontal="center" vertical="center" wrapText="1"/>
    </xf>
    <xf numFmtId="0" fontId="24" fillId="0" borderId="7" xfId="8" applyFont="1" applyFill="1" applyBorder="1" applyAlignment="1" applyProtection="1">
      <alignment horizontal="center" vertical="center"/>
      <protection locked="0"/>
    </xf>
    <xf numFmtId="0" fontId="57" fillId="0" borderId="0" xfId="0" applyFont="1" applyFill="1" applyAlignment="1" applyProtection="1">
      <alignment horizontal="center" vertical="center" wrapText="1"/>
    </xf>
    <xf numFmtId="14" fontId="24" fillId="0" borderId="7" xfId="8" applyNumberFormat="1" applyFont="1" applyFill="1" applyBorder="1" applyAlignment="1" applyProtection="1">
      <alignment horizontal="center" vertical="center" wrapText="1"/>
      <protection locked="0"/>
    </xf>
    <xf numFmtId="0" fontId="24" fillId="0" borderId="0" xfId="0" applyFont="1" applyFill="1" applyBorder="1" applyAlignment="1" applyProtection="1">
      <alignment horizontal="center" vertical="center"/>
      <protection locked="0"/>
    </xf>
    <xf numFmtId="0" fontId="24" fillId="0" borderId="3" xfId="0" applyFont="1" applyFill="1" applyBorder="1" applyAlignment="1" applyProtection="1">
      <alignment vertical="center" wrapText="1"/>
    </xf>
    <xf numFmtId="169" fontId="38" fillId="0" borderId="1" xfId="0" applyNumberFormat="1" applyFont="1" applyFill="1" applyBorder="1" applyAlignment="1" applyProtection="1">
      <alignment horizontal="center" vertical="center"/>
    </xf>
    <xf numFmtId="167" fontId="62" fillId="0" borderId="5" xfId="0" applyNumberFormat="1" applyFont="1" applyFill="1" applyBorder="1" applyAlignment="1" applyProtection="1">
      <alignment horizontal="center" vertical="center"/>
    </xf>
    <xf numFmtId="177" fontId="38" fillId="0" borderId="14" xfId="0" applyNumberFormat="1" applyFont="1" applyFill="1" applyBorder="1" applyAlignment="1" applyProtection="1">
      <alignment horizontal="center" vertical="center"/>
    </xf>
    <xf numFmtId="166" fontId="38" fillId="0" borderId="1" xfId="0" applyNumberFormat="1" applyFont="1" applyFill="1" applyBorder="1" applyAlignment="1" applyProtection="1">
      <alignment horizontal="center" vertical="center"/>
    </xf>
    <xf numFmtId="176" fontId="38" fillId="0" borderId="14" xfId="0" applyNumberFormat="1" applyFont="1" applyFill="1" applyBorder="1" applyAlignment="1" applyProtection="1">
      <alignment horizontal="center" vertical="center"/>
    </xf>
    <xf numFmtId="167" fontId="58" fillId="0" borderId="5" xfId="0" applyNumberFormat="1" applyFont="1" applyFill="1" applyBorder="1" applyAlignment="1" applyProtection="1">
      <alignment horizontal="center" vertical="center"/>
    </xf>
    <xf numFmtId="170" fontId="38" fillId="0" borderId="1" xfId="0" applyNumberFormat="1" applyFont="1" applyFill="1" applyBorder="1" applyAlignment="1" applyProtection="1">
      <alignment horizontal="center" vertical="center"/>
    </xf>
    <xf numFmtId="173" fontId="38" fillId="0" borderId="1" xfId="7" applyNumberFormat="1" applyFont="1" applyFill="1" applyBorder="1" applyAlignment="1" applyProtection="1">
      <alignment horizontal="center" vertical="center"/>
    </xf>
    <xf numFmtId="0" fontId="64" fillId="0" borderId="0" xfId="0" applyFont="1" applyAlignment="1" applyProtection="1">
      <alignment vertical="center"/>
    </xf>
    <xf numFmtId="0" fontId="10" fillId="0" borderId="0" xfId="0" applyFont="1" applyBorder="1" applyAlignment="1" applyProtection="1">
      <alignment horizontal="center" vertical="center"/>
    </xf>
    <xf numFmtId="166" fontId="10" fillId="0" borderId="5" xfId="0" applyNumberFormat="1" applyFont="1" applyFill="1" applyBorder="1" applyAlignment="1" applyProtection="1">
      <alignment horizontal="right" vertical="center"/>
    </xf>
    <xf numFmtId="177" fontId="10" fillId="0" borderId="14" xfId="1" applyNumberFormat="1" applyFont="1" applyFill="1" applyBorder="1" applyAlignment="1" applyProtection="1">
      <alignment horizontal="center" vertical="center"/>
    </xf>
    <xf numFmtId="166" fontId="17" fillId="0" borderId="1" xfId="0" applyNumberFormat="1" applyFont="1" applyFill="1" applyBorder="1" applyAlignment="1" applyProtection="1">
      <alignment horizontal="center" vertical="center"/>
    </xf>
    <xf numFmtId="176" fontId="10" fillId="0" borderId="14" xfId="1" applyNumberFormat="1" applyFont="1" applyFill="1" applyBorder="1" applyAlignment="1" applyProtection="1">
      <alignment horizontal="center" vertical="center"/>
    </xf>
    <xf numFmtId="166" fontId="10" fillId="0" borderId="1" xfId="0" applyNumberFormat="1" applyFont="1" applyFill="1" applyBorder="1" applyAlignment="1" applyProtection="1">
      <alignment horizontal="center" vertical="center"/>
    </xf>
    <xf numFmtId="173" fontId="10" fillId="0" borderId="1" xfId="7" applyNumberFormat="1" applyFont="1" applyFill="1" applyBorder="1" applyAlignment="1" applyProtection="1">
      <alignment horizontal="center" vertical="center"/>
    </xf>
    <xf numFmtId="0" fontId="6"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protection locked="0"/>
    </xf>
    <xf numFmtId="0" fontId="14" fillId="0" borderId="1" xfId="0" applyFont="1" applyFill="1" applyBorder="1" applyAlignment="1" applyProtection="1">
      <alignment horizontal="center" vertical="center" wrapText="1"/>
    </xf>
    <xf numFmtId="0" fontId="10" fillId="0" borderId="3"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xf>
    <xf numFmtId="176" fontId="38" fillId="0" borderId="1" xfId="0" applyNumberFormat="1" applyFont="1" applyFill="1" applyBorder="1" applyAlignment="1" applyProtection="1">
      <alignment horizontal="center" vertical="center"/>
    </xf>
    <xf numFmtId="176" fontId="24" fillId="0" borderId="14"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57" fillId="0" borderId="0" xfId="0" applyFont="1" applyAlignment="1" applyProtection="1">
      <alignment vertical="center" wrapText="1"/>
    </xf>
    <xf numFmtId="0" fontId="38" fillId="0" borderId="5" xfId="0" quotePrefix="1" applyFont="1" applyFill="1" applyBorder="1" applyAlignment="1" applyProtection="1">
      <alignment vertical="center" wrapText="1"/>
    </xf>
    <xf numFmtId="0" fontId="38" fillId="0" borderId="4" xfId="0" quotePrefix="1" applyFont="1" applyFill="1" applyBorder="1" applyAlignment="1" applyProtection="1">
      <alignment vertical="center" wrapText="1"/>
    </xf>
    <xf numFmtId="0" fontId="38" fillId="0" borderId="6" xfId="0" applyFont="1" applyFill="1" applyBorder="1" applyAlignment="1" applyProtection="1">
      <alignment horizontal="center" vertical="center"/>
    </xf>
    <xf numFmtId="168" fontId="38" fillId="9" borderId="1" xfId="0" applyNumberFormat="1" applyFont="1" applyFill="1" applyBorder="1" applyAlignment="1">
      <alignment horizontal="center" vertical="center"/>
    </xf>
    <xf numFmtId="171" fontId="38" fillId="0" borderId="1" xfId="0" applyNumberFormat="1" applyFont="1" applyFill="1" applyBorder="1" applyAlignment="1">
      <alignment horizontal="center" vertical="center"/>
    </xf>
    <xf numFmtId="170" fontId="38" fillId="0" borderId="1" xfId="0" applyNumberFormat="1" applyFont="1" applyFill="1" applyBorder="1" applyAlignment="1" applyProtection="1">
      <alignment horizontal="center" vertical="center"/>
      <protection locked="0"/>
    </xf>
    <xf numFmtId="0" fontId="38" fillId="0" borderId="0" xfId="0" applyFont="1" applyFill="1" applyAlignment="1" applyProtection="1">
      <alignment horizontal="center" vertical="center"/>
    </xf>
    <xf numFmtId="0" fontId="38" fillId="0" borderId="0" xfId="0" applyFont="1" applyFill="1" applyBorder="1" applyAlignment="1" applyProtection="1">
      <alignment horizontal="center" vertical="center" wrapText="1"/>
    </xf>
    <xf numFmtId="0" fontId="38" fillId="0" borderId="5" xfId="0" applyFont="1" applyFill="1" applyBorder="1" applyAlignment="1" applyProtection="1">
      <alignment vertical="center" wrapText="1"/>
    </xf>
    <xf numFmtId="0" fontId="38" fillId="0" borderId="9" xfId="0"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wrapText="1"/>
    </xf>
    <xf numFmtId="0" fontId="38" fillId="0" borderId="1" xfId="8" applyFont="1" applyFill="1" applyBorder="1" applyAlignment="1" applyProtection="1">
      <alignment horizontal="center" vertical="center"/>
    </xf>
    <xf numFmtId="0" fontId="42" fillId="0" borderId="1" xfId="0" applyFont="1" applyFill="1" applyBorder="1" applyAlignment="1">
      <alignment horizontal="center" vertical="center"/>
    </xf>
    <xf numFmtId="0" fontId="38" fillId="0" borderId="9" xfId="0" applyNumberFormat="1" applyFont="1" applyFill="1" applyBorder="1" applyAlignment="1">
      <alignment horizontal="center" vertical="center" wrapText="1"/>
    </xf>
    <xf numFmtId="0" fontId="38" fillId="9" borderId="1" xfId="0" applyFont="1" applyFill="1" applyBorder="1" applyAlignment="1">
      <alignment horizontal="center" vertical="center"/>
    </xf>
    <xf numFmtId="0" fontId="38" fillId="0" borderId="6" xfId="0" applyNumberFormat="1" applyFont="1" applyFill="1" applyBorder="1" applyAlignment="1">
      <alignment horizontal="center" vertical="center" wrapText="1"/>
    </xf>
    <xf numFmtId="0" fontId="38" fillId="0" borderId="5" xfId="0" applyNumberFormat="1" applyFont="1" applyFill="1" applyBorder="1" applyAlignment="1">
      <alignment horizontal="center" vertical="center"/>
    </xf>
    <xf numFmtId="171" fontId="38" fillId="0" borderId="6" xfId="0" applyNumberFormat="1" applyFont="1" applyFill="1" applyBorder="1" applyAlignment="1">
      <alignment horizontal="center" vertical="center"/>
    </xf>
    <xf numFmtId="0" fontId="38" fillId="0" borderId="0" xfId="0" applyFont="1" applyFill="1" applyBorder="1" applyAlignment="1" applyProtection="1">
      <alignment horizontal="center" vertical="center" wrapText="1"/>
      <protection locked="0"/>
    </xf>
    <xf numFmtId="170" fontId="14" fillId="0" borderId="0" xfId="0" applyNumberFormat="1" applyFont="1" applyFill="1" applyAlignment="1">
      <alignment horizontal="center" vertical="center"/>
    </xf>
    <xf numFmtId="0" fontId="38" fillId="0" borderId="1" xfId="0" applyFont="1" applyFill="1" applyBorder="1" applyAlignment="1">
      <alignment horizontal="center" vertical="center" wrapText="1"/>
    </xf>
    <xf numFmtId="0" fontId="24" fillId="0" borderId="1" xfId="8" applyFont="1" applyFill="1" applyBorder="1" applyAlignment="1" applyProtection="1">
      <alignment horizontal="center" vertical="center"/>
    </xf>
    <xf numFmtId="167" fontId="24" fillId="0" borderId="1" xfId="8" applyNumberFormat="1"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4" fillId="0" borderId="5" xfId="0" applyFont="1" applyBorder="1" applyAlignment="1">
      <alignment horizontal="center" vertical="center"/>
    </xf>
    <xf numFmtId="0" fontId="24" fillId="0" borderId="5" xfId="0" applyFont="1" applyFill="1" applyBorder="1" applyAlignment="1">
      <alignment horizontal="center" vertical="center" wrapText="1"/>
    </xf>
    <xf numFmtId="20" fontId="0" fillId="6" borderId="0" xfId="0" applyNumberFormat="1" applyFill="1" applyBorder="1">
      <alignment vertical="center"/>
    </xf>
    <xf numFmtId="0" fontId="24"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8" fillId="6" borderId="13" xfId="0" applyFont="1" applyFill="1" applyBorder="1" applyAlignment="1">
      <alignment vertical="center"/>
    </xf>
    <xf numFmtId="0" fontId="38" fillId="6" borderId="8" xfId="0" applyFont="1" applyFill="1" applyBorder="1" applyAlignment="1">
      <alignment vertical="center"/>
    </xf>
    <xf numFmtId="0" fontId="38"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8" fillId="6" borderId="1" xfId="0" applyFont="1" applyFill="1" applyBorder="1" applyAlignment="1" applyProtection="1">
      <alignment horizontal="center" vertical="center"/>
    </xf>
    <xf numFmtId="0" fontId="62" fillId="6" borderId="1" xfId="0" applyFont="1" applyFill="1" applyBorder="1" applyAlignment="1" applyProtection="1">
      <alignment horizontal="center" vertical="center" wrapText="1"/>
    </xf>
    <xf numFmtId="0" fontId="24" fillId="6" borderId="1" xfId="0" applyFont="1" applyFill="1" applyBorder="1" applyAlignment="1" applyProtection="1">
      <alignment horizontal="center" vertical="center"/>
    </xf>
    <xf numFmtId="0" fontId="14" fillId="6" borderId="5" xfId="0" applyFont="1" applyFill="1" applyBorder="1" applyAlignment="1" applyProtection="1">
      <alignment horizontal="center" vertical="center" wrapText="1"/>
    </xf>
    <xf numFmtId="0" fontId="14" fillId="6" borderId="9" xfId="0" applyFont="1" applyFill="1" applyBorder="1" applyAlignment="1" applyProtection="1">
      <alignment horizontal="center" vertical="center" wrapText="1"/>
    </xf>
    <xf numFmtId="0" fontId="14"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2"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1" fillId="5" borderId="0" xfId="8" applyNumberFormat="1" applyFont="1" applyFill="1" applyBorder="1" applyAlignment="1" applyProtection="1">
      <alignment horizontal="center" vertical="center" wrapText="1"/>
      <protection locked="0"/>
    </xf>
    <xf numFmtId="0" fontId="24" fillId="0" borderId="4" xfId="0" applyFont="1" applyBorder="1" applyAlignment="1">
      <alignment horizontal="center" vertical="center"/>
    </xf>
    <xf numFmtId="0" fontId="14" fillId="6"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24" fillId="6" borderId="13" xfId="0" applyFont="1" applyFill="1" applyBorder="1" applyAlignment="1" applyProtection="1">
      <alignment horizontal="center" vertical="center"/>
    </xf>
    <xf numFmtId="0" fontId="24" fillId="6" borderId="11" xfId="0" applyFont="1" applyFill="1" applyBorder="1" applyAlignment="1" applyProtection="1">
      <alignment horizontal="center" vertical="center"/>
    </xf>
    <xf numFmtId="0" fontId="10" fillId="0" borderId="0" xfId="0" applyFont="1" applyBorder="1" applyAlignment="1" applyProtection="1">
      <alignment vertical="center" wrapText="1"/>
    </xf>
    <xf numFmtId="14" fontId="72" fillId="5" borderId="0" xfId="8" applyNumberFormat="1" applyFont="1" applyFill="1" applyBorder="1" applyAlignment="1" applyProtection="1">
      <alignment horizontal="center" vertical="center" wrapText="1"/>
      <protection locked="0"/>
    </xf>
    <xf numFmtId="175" fontId="10" fillId="0" borderId="0" xfId="0" applyNumberFormat="1" applyFont="1" applyFill="1" applyBorder="1" applyAlignment="1" applyProtection="1">
      <alignment vertical="center" wrapText="1"/>
    </xf>
    <xf numFmtId="14" fontId="24" fillId="0" borderId="0" xfId="8" applyNumberFormat="1" applyFont="1" applyFill="1" applyBorder="1" applyAlignment="1" applyProtection="1">
      <alignment vertical="center" wrapText="1"/>
      <protection locked="0"/>
    </xf>
    <xf numFmtId="0" fontId="14" fillId="0" borderId="0" xfId="8" applyFont="1" applyFill="1" applyBorder="1" applyAlignment="1" applyProtection="1">
      <alignment horizontal="center" vertical="center" wrapText="1"/>
      <protection locked="0"/>
    </xf>
    <xf numFmtId="20" fontId="14" fillId="0" borderId="0" xfId="8" applyNumberFormat="1"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14" fontId="24" fillId="0" borderId="0" xfId="8" applyNumberFormat="1" applyFont="1" applyFill="1" applyBorder="1" applyAlignment="1" applyProtection="1">
      <alignment horizontal="center" vertical="center" wrapText="1"/>
      <protection locked="0"/>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24" fillId="0" borderId="0" xfId="0" applyFont="1" applyBorder="1" applyAlignment="1">
      <alignment horizontal="center" vertical="center"/>
    </xf>
    <xf numFmtId="0" fontId="24" fillId="0" borderId="13" xfId="8" applyFont="1" applyFill="1" applyBorder="1" applyAlignment="1" applyProtection="1">
      <alignment horizontal="center" vertical="center"/>
    </xf>
    <xf numFmtId="14" fontId="24" fillId="0" borderId="8" xfId="8" applyNumberFormat="1" applyFont="1" applyFill="1" applyBorder="1" applyAlignment="1" applyProtection="1">
      <alignment horizontal="center" vertical="center" wrapText="1"/>
    </xf>
    <xf numFmtId="0" fontId="24"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8" fillId="6" borderId="24" xfId="0" applyFont="1" applyFill="1" applyBorder="1" applyAlignment="1">
      <alignment vertical="center"/>
    </xf>
    <xf numFmtId="0" fontId="38"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4"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8" fillId="6" borderId="1" xfId="0" applyFont="1" applyFill="1" applyBorder="1" applyAlignment="1">
      <alignment horizontal="center" vertical="center"/>
    </xf>
    <xf numFmtId="0" fontId="18" fillId="0" borderId="0" xfId="0" applyFont="1" applyFill="1" applyAlignment="1">
      <alignment horizontal="left" vertical="center"/>
    </xf>
    <xf numFmtId="0" fontId="38" fillId="4" borderId="0" xfId="0" applyFont="1" applyFill="1" applyAlignment="1" applyProtection="1">
      <alignment horizontal="center" vertical="center"/>
    </xf>
    <xf numFmtId="0" fontId="38" fillId="0" borderId="9" xfId="8" applyFont="1" applyFill="1" applyBorder="1" applyAlignment="1" applyProtection="1">
      <alignment horizontal="center" vertical="center"/>
    </xf>
    <xf numFmtId="0" fontId="38" fillId="14" borderId="1" xfId="0" applyFont="1" applyFill="1" applyBorder="1" applyAlignment="1">
      <alignment horizontal="center" vertical="center"/>
    </xf>
    <xf numFmtId="171" fontId="38" fillId="14" borderId="1" xfId="0" applyNumberFormat="1" applyFont="1" applyFill="1" applyBorder="1" applyAlignment="1">
      <alignment horizontal="center" vertical="center"/>
    </xf>
    <xf numFmtId="170" fontId="38" fillId="14" borderId="5" xfId="0" applyNumberFormat="1" applyFont="1" applyFill="1" applyBorder="1" applyAlignment="1" applyProtection="1">
      <alignment vertical="center"/>
      <protection locked="0"/>
    </xf>
    <xf numFmtId="0" fontId="38" fillId="14" borderId="1" xfId="0" applyFont="1" applyFill="1" applyBorder="1" applyAlignment="1">
      <alignment horizontal="center" vertical="center" wrapText="1"/>
    </xf>
    <xf numFmtId="0" fontId="17" fillId="0" borderId="1" xfId="0" applyFont="1" applyFill="1" applyBorder="1" applyAlignment="1" applyProtection="1">
      <alignment horizontal="center" vertical="center"/>
    </xf>
    <xf numFmtId="0" fontId="38" fillId="14" borderId="4" xfId="0" applyFont="1" applyFill="1" applyBorder="1" applyAlignment="1">
      <alignment horizontal="left" vertical="center" wrapText="1"/>
    </xf>
    <xf numFmtId="168" fontId="38" fillId="0" borderId="5" xfId="0" applyNumberFormat="1" applyFont="1" applyFill="1" applyBorder="1" applyAlignment="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1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170" fontId="38" fillId="0" borderId="9" xfId="0" applyNumberFormat="1" applyFont="1" applyFill="1" applyBorder="1" applyAlignment="1" applyProtection="1">
      <alignment vertical="center"/>
      <protection locked="0"/>
    </xf>
    <xf numFmtId="170" fontId="38" fillId="0" borderId="6" xfId="0" applyNumberFormat="1" applyFont="1" applyFill="1" applyBorder="1" applyAlignment="1" applyProtection="1">
      <alignment horizontal="center" vertical="center"/>
      <protection locked="0"/>
    </xf>
    <xf numFmtId="0" fontId="52" fillId="0" borderId="0" xfId="0" applyFont="1" applyFill="1" applyAlignment="1" applyProtection="1">
      <alignment horizontal="center" vertical="center"/>
      <protection locked="0"/>
    </xf>
    <xf numFmtId="0" fontId="68" fillId="0" borderId="0" xfId="0" applyFont="1" applyFill="1" applyAlignment="1" applyProtection="1">
      <alignment horizontal="center" vertical="center"/>
      <protection locked="0"/>
    </xf>
    <xf numFmtId="0" fontId="50" fillId="0" borderId="1" xfId="0" applyFont="1" applyFill="1" applyBorder="1" applyAlignment="1" applyProtection="1">
      <alignment horizontal="center" vertical="center" wrapText="1"/>
      <protection locked="0"/>
    </xf>
    <xf numFmtId="0" fontId="70"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70" fillId="0" borderId="1" xfId="0" applyFont="1" applyFill="1" applyBorder="1" applyAlignment="1">
      <alignment horizontal="center" vertical="center"/>
    </xf>
    <xf numFmtId="14" fontId="77" fillId="5" borderId="8" xfId="8" applyNumberFormat="1" applyFont="1" applyFill="1" applyBorder="1" applyAlignment="1" applyProtection="1">
      <alignment horizontal="center" vertical="center" wrapText="1"/>
      <protection locked="0"/>
    </xf>
    <xf numFmtId="0" fontId="10" fillId="0" borderId="5" xfId="0" applyFont="1" applyBorder="1" applyAlignment="1" applyProtection="1">
      <alignment vertical="center" wrapText="1"/>
    </xf>
    <xf numFmtId="0" fontId="10" fillId="0" borderId="9" xfId="0" applyFont="1" applyBorder="1" applyAlignment="1" applyProtection="1">
      <alignment vertical="center" wrapText="1"/>
    </xf>
    <xf numFmtId="0" fontId="10" fillId="0" borderId="6" xfId="0" applyFont="1" applyBorder="1" applyAlignment="1" applyProtection="1">
      <alignment vertical="center" wrapText="1"/>
    </xf>
    <xf numFmtId="0" fontId="10" fillId="0" borderId="9" xfId="0" applyFont="1" applyBorder="1" applyAlignment="1" applyProtection="1">
      <alignment vertical="center"/>
    </xf>
    <xf numFmtId="0" fontId="62" fillId="0" borderId="5" xfId="0" applyFont="1" applyFill="1" applyBorder="1" applyAlignment="1" applyProtection="1">
      <alignment vertical="center" wrapText="1"/>
    </xf>
    <xf numFmtId="0" fontId="62" fillId="0" borderId="9" xfId="0" applyFont="1" applyFill="1" applyBorder="1" applyAlignment="1" applyProtection="1">
      <alignment vertical="center" wrapText="1"/>
    </xf>
    <xf numFmtId="0" fontId="62" fillId="0" borderId="6" xfId="0" applyFont="1" applyFill="1" applyBorder="1" applyAlignment="1" applyProtection="1">
      <alignment vertical="center" wrapText="1"/>
    </xf>
    <xf numFmtId="0" fontId="62" fillId="0" borderId="9" xfId="0" applyFont="1" applyFill="1" applyBorder="1" applyAlignment="1" applyProtection="1">
      <alignment vertical="center"/>
    </xf>
    <xf numFmtId="0" fontId="24" fillId="0" borderId="5" xfId="8" applyFont="1" applyFill="1" applyBorder="1" applyAlignment="1" applyProtection="1">
      <alignment vertical="center" wrapText="1"/>
    </xf>
    <xf numFmtId="0" fontId="24" fillId="0" borderId="9" xfId="8" applyFont="1" applyFill="1" applyBorder="1" applyAlignment="1" applyProtection="1">
      <alignment vertical="center" wrapText="1"/>
    </xf>
    <xf numFmtId="0" fontId="24" fillId="0" borderId="6" xfId="8" applyFont="1" applyFill="1" applyBorder="1" applyAlignment="1" applyProtection="1">
      <alignment vertical="center" wrapText="1"/>
    </xf>
    <xf numFmtId="0" fontId="14" fillId="0" borderId="1" xfId="8" applyNumberFormat="1" applyFont="1" applyFill="1" applyBorder="1" applyAlignment="1" applyProtection="1">
      <alignment horizontal="center" vertical="center"/>
      <protection locked="0"/>
    </xf>
    <xf numFmtId="0" fontId="14" fillId="0" borderId="1" xfId="8" applyNumberFormat="1" applyFont="1" applyFill="1" applyBorder="1" applyAlignment="1" applyProtection="1">
      <alignment horizontal="center" vertical="center" wrapText="1"/>
      <protection locked="0"/>
    </xf>
    <xf numFmtId="49" fontId="91" fillId="0" borderId="1" xfId="0" applyNumberFormat="1" applyFont="1" applyBorder="1" applyAlignment="1">
      <alignment horizontal="center" vertical="center"/>
    </xf>
    <xf numFmtId="0" fontId="38" fillId="0" borderId="0" xfId="0" applyFont="1" applyFill="1" applyAlignment="1">
      <alignment horizontal="center" vertical="center"/>
    </xf>
    <xf numFmtId="0" fontId="38" fillId="0" borderId="7" xfId="0" applyFont="1" applyFill="1" applyBorder="1" applyAlignment="1">
      <alignment horizontal="center" vertical="center"/>
    </xf>
    <xf numFmtId="0" fontId="38" fillId="0" borderId="10" xfId="0" applyFont="1" applyFill="1" applyBorder="1" applyAlignment="1" applyProtection="1">
      <alignment horizontal="center" vertical="center" wrapText="1"/>
      <protection locked="0"/>
    </xf>
    <xf numFmtId="0" fontId="38" fillId="0" borderId="1" xfId="8" applyNumberFormat="1" applyFont="1" applyFill="1" applyBorder="1" applyAlignment="1" applyProtection="1">
      <alignment horizontal="center" vertical="center"/>
      <protection locked="0"/>
    </xf>
    <xf numFmtId="0" fontId="38" fillId="0" borderId="7" xfId="0" applyFont="1" applyFill="1" applyBorder="1" applyAlignment="1" applyProtection="1">
      <alignment vertical="center"/>
    </xf>
    <xf numFmtId="0" fontId="38" fillId="0" borderId="9" xfId="0" quotePrefix="1" applyFont="1" applyFill="1" applyBorder="1" applyAlignment="1" applyProtection="1">
      <alignment horizontal="centerContinuous" vertical="center"/>
    </xf>
    <xf numFmtId="0" fontId="38" fillId="0" borderId="6" xfId="0" quotePrefix="1" applyFont="1" applyFill="1" applyBorder="1" applyAlignment="1" applyProtection="1">
      <alignment horizontal="centerContinuous" vertical="center"/>
    </xf>
    <xf numFmtId="0" fontId="24" fillId="0" borderId="1" xfId="8" applyFont="1" applyFill="1" applyBorder="1" applyAlignment="1" applyProtection="1">
      <alignment horizontal="center" vertical="center" wrapText="1"/>
      <protection locked="0"/>
    </xf>
    <xf numFmtId="168" fontId="50" fillId="0" borderId="1" xfId="0" applyNumberFormat="1" applyFont="1" applyFill="1" applyBorder="1" applyAlignment="1">
      <alignment horizontal="center" vertical="center"/>
    </xf>
    <xf numFmtId="0" fontId="51" fillId="0" borderId="1" xfId="0" applyFont="1" applyFill="1" applyBorder="1" applyAlignment="1">
      <alignment horizontal="center" vertical="center"/>
    </xf>
    <xf numFmtId="0" fontId="38" fillId="0" borderId="9" xfId="0" applyFont="1" applyFill="1" applyBorder="1" applyAlignment="1" applyProtection="1">
      <alignment horizontal="center" vertical="center"/>
    </xf>
    <xf numFmtId="0" fontId="38" fillId="0" borderId="3" xfId="0" applyFont="1" applyFill="1" applyBorder="1" applyAlignment="1">
      <alignment horizontal="center" vertical="center"/>
    </xf>
    <xf numFmtId="0" fontId="38" fillId="0" borderId="2" xfId="0" applyFont="1" applyFill="1" applyBorder="1" applyAlignment="1">
      <alignment horizontal="center" vertical="center"/>
    </xf>
    <xf numFmtId="0" fontId="50" fillId="0" borderId="2" xfId="0" applyFont="1" applyFill="1" applyBorder="1" applyAlignment="1" applyProtection="1">
      <alignment horizontal="center" vertical="center" wrapText="1"/>
    </xf>
    <xf numFmtId="0" fontId="38" fillId="0" borderId="2" xfId="0" applyFont="1" applyFill="1" applyBorder="1" applyAlignment="1" applyProtection="1">
      <alignment horizontal="center" vertical="center" wrapText="1"/>
    </xf>
    <xf numFmtId="0" fontId="38" fillId="0" borderId="2" xfId="0" applyNumberFormat="1" applyFont="1" applyFill="1" applyBorder="1" applyAlignment="1" applyProtection="1">
      <alignment horizontal="center" vertical="center" wrapText="1"/>
    </xf>
    <xf numFmtId="0" fontId="38" fillId="0" borderId="5" xfId="0" applyFont="1" applyFill="1" applyBorder="1" applyAlignment="1" applyProtection="1">
      <alignment horizontal="centerContinuous" vertical="center" wrapText="1"/>
    </xf>
    <xf numFmtId="0" fontId="38" fillId="0" borderId="9" xfId="0" applyFont="1" applyFill="1" applyBorder="1" applyAlignment="1" applyProtection="1">
      <alignment horizontal="centerContinuous" vertical="center" wrapText="1"/>
    </xf>
    <xf numFmtId="0" fontId="38" fillId="0" borderId="5" xfId="0" quotePrefix="1" applyFont="1" applyFill="1" applyBorder="1" applyAlignment="1" applyProtection="1">
      <alignment horizontal="centerContinuous" vertical="center"/>
    </xf>
    <xf numFmtId="0" fontId="38" fillId="0" borderId="9" xfId="0" applyFont="1" applyFill="1" applyBorder="1" applyAlignment="1" applyProtection="1">
      <alignment horizontal="centerContinuous" vertical="center"/>
    </xf>
    <xf numFmtId="0" fontId="38" fillId="0" borderId="6" xfId="0" applyFont="1" applyFill="1" applyBorder="1" applyAlignment="1" applyProtection="1">
      <alignment horizontal="centerContinuous" vertical="center"/>
    </xf>
    <xf numFmtId="0" fontId="73" fillId="4" borderId="9" xfId="0" applyFont="1" applyFill="1" applyBorder="1" applyAlignment="1" applyProtection="1">
      <alignment horizontal="centerContinuous" vertical="center"/>
    </xf>
    <xf numFmtId="0" fontId="38" fillId="4" borderId="9" xfId="0" applyFont="1" applyFill="1" applyBorder="1" applyAlignment="1" applyProtection="1">
      <alignment horizontal="centerContinuous" vertical="center"/>
    </xf>
    <xf numFmtId="0" fontId="38" fillId="4" borderId="0" xfId="0" applyFont="1" applyFill="1" applyAlignment="1" applyProtection="1">
      <alignment horizontal="centerContinuous" vertical="center"/>
    </xf>
    <xf numFmtId="0" fontId="94" fillId="0" borderId="0" xfId="0" applyFont="1" applyFill="1" applyAlignment="1">
      <alignment horizontal="center" vertical="center"/>
    </xf>
    <xf numFmtId="0" fontId="94" fillId="0" borderId="0" xfId="0" applyFont="1" applyFill="1" applyAlignment="1">
      <alignment horizontal="centerContinuous" vertical="center" wrapText="1"/>
    </xf>
    <xf numFmtId="0" fontId="94" fillId="0" borderId="0" xfId="0" applyFont="1" applyFill="1" applyAlignment="1">
      <alignment horizontal="centerContinuous" vertical="center"/>
    </xf>
    <xf numFmtId="0" fontId="94" fillId="0" borderId="7" xfId="0" applyFont="1" applyFill="1" applyBorder="1" applyAlignment="1">
      <alignment horizontal="centerContinuous" vertical="center"/>
    </xf>
    <xf numFmtId="0" fontId="38" fillId="0" borderId="3" xfId="0" applyFont="1" applyFill="1" applyBorder="1" applyAlignment="1">
      <alignment vertical="center" wrapText="1"/>
    </xf>
    <xf numFmtId="0" fontId="38"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50" fillId="0" borderId="5" xfId="0" applyFont="1" applyFill="1" applyBorder="1" applyAlignment="1" applyProtection="1">
      <alignment vertical="center"/>
    </xf>
    <xf numFmtId="0" fontId="50" fillId="0" borderId="9" xfId="0" applyFont="1" applyFill="1" applyBorder="1" applyAlignment="1" applyProtection="1">
      <alignment horizontal="centerContinuous" vertical="center"/>
    </xf>
    <xf numFmtId="169" fontId="50" fillId="0" borderId="1" xfId="0" applyNumberFormat="1" applyFont="1" applyFill="1" applyBorder="1" applyAlignment="1" applyProtection="1">
      <alignment horizontal="center" vertical="center"/>
    </xf>
    <xf numFmtId="166" fontId="50" fillId="0" borderId="5" xfId="0" applyNumberFormat="1" applyFont="1" applyFill="1" applyBorder="1" applyAlignment="1">
      <alignment horizontal="center" vertical="center"/>
    </xf>
    <xf numFmtId="170" fontId="50" fillId="0" borderId="1" xfId="0" applyNumberFormat="1" applyFont="1" applyFill="1" applyBorder="1" applyAlignment="1" applyProtection="1">
      <alignment horizontal="center" vertical="center"/>
    </xf>
    <xf numFmtId="173" fontId="50" fillId="0" borderId="1" xfId="7" applyNumberFormat="1" applyFont="1" applyFill="1" applyBorder="1" applyAlignment="1" applyProtection="1">
      <alignment horizontal="center" vertical="center"/>
    </xf>
    <xf numFmtId="169" fontId="50" fillId="0" borderId="1" xfId="0" applyNumberFormat="1" applyFont="1" applyFill="1" applyBorder="1" applyAlignment="1">
      <alignment horizontal="center" vertical="center"/>
    </xf>
    <xf numFmtId="10" fontId="50" fillId="0" borderId="1" xfId="7" applyNumberFormat="1" applyFont="1" applyFill="1" applyBorder="1" applyAlignment="1" applyProtection="1">
      <alignment horizontal="center" vertical="center"/>
    </xf>
    <xf numFmtId="171" fontId="50" fillId="0" borderId="6" xfId="0" applyNumberFormat="1" applyFont="1" applyFill="1" applyBorder="1" applyAlignment="1" applyProtection="1">
      <alignment horizontal="center" vertical="center"/>
    </xf>
    <xf numFmtId="0" fontId="50" fillId="4" borderId="9" xfId="0" applyFont="1" applyFill="1" applyBorder="1" applyAlignment="1" applyProtection="1">
      <alignment horizontal="centerContinuous" vertical="center"/>
    </xf>
    <xf numFmtId="0" fontId="50" fillId="0" borderId="5" xfId="0" applyFont="1" applyFill="1" applyBorder="1" applyAlignment="1" applyProtection="1">
      <alignment horizontal="centerContinuous" vertical="center" wrapText="1"/>
    </xf>
    <xf numFmtId="0" fontId="50" fillId="0" borderId="9" xfId="0" applyFont="1" applyFill="1" applyBorder="1" applyAlignment="1" applyProtection="1">
      <alignment horizontal="centerContinuous" vertical="center" wrapText="1"/>
    </xf>
    <xf numFmtId="0" fontId="93" fillId="0" borderId="6" xfId="0" applyFont="1" applyBorder="1" applyAlignment="1">
      <alignment horizontal="centerContinuous" vertical="center" wrapText="1"/>
    </xf>
    <xf numFmtId="168" fontId="50" fillId="0" borderId="5" xfId="0" applyNumberFormat="1" applyFont="1" applyFill="1" applyBorder="1" applyAlignment="1">
      <alignment horizontal="center" vertical="center"/>
    </xf>
    <xf numFmtId="0" fontId="50" fillId="0" borderId="0" xfId="0" applyFont="1" applyFill="1" applyBorder="1" applyAlignment="1">
      <alignment horizontal="center" vertical="center"/>
    </xf>
    <xf numFmtId="0" fontId="50" fillId="4" borderId="0" xfId="0" applyFont="1" applyFill="1" applyAlignment="1" applyProtection="1">
      <alignment horizontal="centerContinuous" vertical="center"/>
    </xf>
    <xf numFmtId="0" fontId="5" fillId="0" borderId="0" xfId="82"/>
    <xf numFmtId="43" fontId="97" fillId="36" borderId="1" xfId="83" applyFont="1" applyFill="1" applyBorder="1" applyAlignment="1">
      <alignment horizontal="center" vertical="center"/>
    </xf>
    <xf numFmtId="0" fontId="97" fillId="36" borderId="1" xfId="82" applyFont="1" applyFill="1" applyBorder="1" applyAlignment="1">
      <alignment horizontal="center" vertical="center"/>
    </xf>
    <xf numFmtId="0" fontId="96" fillId="0" borderId="0" xfId="82" applyFont="1"/>
    <xf numFmtId="43" fontId="0" fillId="0" borderId="0" xfId="83" applyFont="1"/>
    <xf numFmtId="0" fontId="97" fillId="0" borderId="0" xfId="82" applyFont="1"/>
    <xf numFmtId="0" fontId="5" fillId="0" borderId="1" xfId="82" applyFont="1" applyBorder="1"/>
    <xf numFmtId="0" fontId="5" fillId="0" borderId="0" xfId="82" applyFont="1"/>
    <xf numFmtId="0" fontId="38" fillId="35" borderId="0" xfId="0" applyFont="1" applyFill="1">
      <alignment vertical="center"/>
    </xf>
    <xf numFmtId="0" fontId="98" fillId="35" borderId="0" xfId="0" applyFont="1" applyFill="1">
      <alignment vertical="center"/>
    </xf>
    <xf numFmtId="0" fontId="100" fillId="0" borderId="0" xfId="0" applyFont="1" applyAlignment="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17" fillId="0" borderId="6" xfId="0" applyFont="1" applyFill="1" applyBorder="1" applyAlignment="1" applyProtection="1">
      <alignment horizontal="center" vertical="center" wrapText="1"/>
    </xf>
    <xf numFmtId="0" fontId="32" fillId="0" borderId="1"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18" fillId="0" borderId="0" xfId="0" applyFont="1">
      <alignment vertical="center"/>
    </xf>
    <xf numFmtId="0" fontId="38" fillId="0" borderId="0" xfId="0" applyFont="1">
      <alignment vertical="center"/>
    </xf>
    <xf numFmtId="0" fontId="98" fillId="0" borderId="0" xfId="0" applyFont="1">
      <alignment vertical="center"/>
    </xf>
    <xf numFmtId="0" fontId="50" fillId="0" borderId="0" xfId="0" applyFont="1">
      <alignment vertical="center"/>
    </xf>
    <xf numFmtId="0" fontId="102" fillId="0" borderId="0" xfId="0" applyFont="1">
      <alignment vertical="center"/>
    </xf>
    <xf numFmtId="20" fontId="102" fillId="0" borderId="0" xfId="0" applyNumberFormat="1" applyFont="1" applyAlignment="1">
      <alignment horizontal="left" vertical="center"/>
    </xf>
    <xf numFmtId="0" fontId="103" fillId="0" borderId="0" xfId="0" applyFont="1">
      <alignment vertical="center"/>
    </xf>
    <xf numFmtId="20" fontId="98" fillId="0" borderId="0" xfId="0" applyNumberFormat="1" applyFont="1" applyAlignment="1">
      <alignment horizontal="left" vertical="center"/>
    </xf>
    <xf numFmtId="0" fontId="103" fillId="0" borderId="1" xfId="0" applyFont="1" applyBorder="1" applyAlignment="1">
      <alignment horizontal="center" vertical="center"/>
    </xf>
    <xf numFmtId="0" fontId="103" fillId="0" borderId="1" xfId="0" applyFont="1" applyBorder="1" applyAlignment="1">
      <alignment horizontal="center" wrapText="1"/>
    </xf>
    <xf numFmtId="0" fontId="103" fillId="0" borderId="1" xfId="0" applyFont="1" applyFill="1" applyBorder="1" applyAlignment="1">
      <alignment horizontal="center" vertical="center"/>
    </xf>
    <xf numFmtId="0" fontId="38" fillId="0" borderId="0" xfId="0" applyFont="1" applyAlignment="1">
      <alignment horizontal="center"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0" xfId="0" applyFont="1" applyAlignment="1">
      <alignment horizontal="center" vertical="center"/>
    </xf>
    <xf numFmtId="0" fontId="103" fillId="0" borderId="1" xfId="0" applyFont="1" applyBorder="1" applyAlignment="1"/>
    <xf numFmtId="0" fontId="103" fillId="11" borderId="1" xfId="0" applyFont="1" applyFill="1" applyBorder="1" applyAlignment="1" applyProtection="1">
      <protection locked="0"/>
    </xf>
    <xf numFmtId="10" fontId="103" fillId="0" borderId="1" xfId="7" applyNumberFormat="1" applyFont="1" applyBorder="1" applyAlignment="1"/>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103" fillId="0" borderId="0" xfId="0" applyFont="1" applyAlignment="1"/>
    <xf numFmtId="10" fontId="103" fillId="5" borderId="0" xfId="0" applyNumberFormat="1" applyFont="1" applyFill="1" applyAlignment="1"/>
    <xf numFmtId="0" fontId="50" fillId="0" borderId="0" xfId="0" applyFont="1" applyAlignment="1"/>
    <xf numFmtId="10" fontId="50" fillId="5" borderId="0" xfId="0" applyNumberFormat="1" applyFont="1" applyFill="1" applyAlignment="1"/>
    <xf numFmtId="0" fontId="51" fillId="0" borderId="0" xfId="0" applyFont="1" applyFill="1" applyAlignment="1"/>
    <xf numFmtId="20" fontId="54" fillId="0" borderId="0" xfId="0" applyNumberFormat="1" applyFont="1" applyAlignment="1">
      <alignment horizontal="left" vertical="center"/>
    </xf>
    <xf numFmtId="10" fontId="51" fillId="0" borderId="0" xfId="0" applyNumberFormat="1" applyFont="1" applyFill="1" applyAlignment="1"/>
    <xf numFmtId="0" fontId="38" fillId="0" borderId="0" xfId="0" applyFont="1" applyFill="1">
      <alignment vertical="center"/>
    </xf>
    <xf numFmtId="0" fontId="50" fillId="0" borderId="0" xfId="0" applyFont="1" applyFill="1" applyAlignment="1"/>
    <xf numFmtId="10" fontId="50" fillId="0" borderId="0" xfId="0" applyNumberFormat="1" applyFont="1" applyFill="1" applyAlignment="1"/>
    <xf numFmtId="0" fontId="50" fillId="0" borderId="0" xfId="0" applyFont="1" applyFill="1">
      <alignment vertical="center"/>
    </xf>
    <xf numFmtId="0" fontId="51" fillId="0" borderId="1" xfId="0" applyFont="1" applyBorder="1" applyAlignment="1">
      <alignment horizontal="center" vertical="center"/>
    </xf>
    <xf numFmtId="0" fontId="51" fillId="0" borderId="1" xfId="0" applyFont="1" applyBorder="1" applyAlignment="1">
      <alignment horizontal="center" wrapText="1"/>
    </xf>
    <xf numFmtId="0" fontId="51" fillId="0" borderId="1" xfId="0" applyFont="1" applyBorder="1" applyAlignment="1"/>
    <xf numFmtId="0" fontId="51" fillId="11" borderId="1" xfId="0" applyFont="1" applyFill="1" applyBorder="1" applyAlignment="1" applyProtection="1">
      <protection locked="0"/>
    </xf>
    <xf numFmtId="10" fontId="51" fillId="0" borderId="1" xfId="7" applyNumberFormat="1" applyFont="1" applyBorder="1" applyAlignment="1"/>
    <xf numFmtId="0" fontId="51" fillId="0" borderId="0" xfId="0" applyFont="1" applyAlignment="1"/>
    <xf numFmtId="10" fontId="51" fillId="5" borderId="0" xfId="0" applyNumberFormat="1" applyFont="1" applyFill="1" applyAlignment="1"/>
    <xf numFmtId="10" fontId="50" fillId="5" borderId="6" xfId="7" applyNumberFormat="1" applyFont="1" applyFill="1" applyBorder="1" applyAlignment="1" applyProtection="1">
      <alignment horizontal="center" vertical="center"/>
    </xf>
    <xf numFmtId="10" fontId="38" fillId="38" borderId="0" xfId="0" applyNumberFormat="1" applyFont="1" applyFill="1" applyAlignment="1" applyProtection="1">
      <protection locked="0"/>
    </xf>
    <xf numFmtId="16" fontId="104" fillId="38" borderId="1" xfId="0" applyNumberFormat="1" applyFont="1" applyFill="1" applyBorder="1" applyAlignment="1" applyProtection="1">
      <alignment horizontal="center" vertical="center" wrapText="1"/>
      <protection locked="0"/>
    </xf>
    <xf numFmtId="10" fontId="104" fillId="38" borderId="6" xfId="7" applyNumberFormat="1" applyFont="1" applyFill="1" applyBorder="1" applyAlignment="1" applyProtection="1">
      <alignment horizontal="center" vertical="center" wrapText="1"/>
      <protection locked="0"/>
    </xf>
    <xf numFmtId="16" fontId="105" fillId="38" borderId="1" xfId="0" applyNumberFormat="1" applyFont="1" applyFill="1" applyBorder="1" applyAlignment="1" applyProtection="1">
      <alignment horizontal="center" vertical="center" wrapText="1"/>
      <protection locked="0"/>
    </xf>
    <xf numFmtId="10" fontId="105" fillId="38" borderId="6" xfId="7" applyNumberFormat="1" applyFont="1" applyFill="1" applyBorder="1" applyAlignment="1" applyProtection="1">
      <alignment horizontal="center" vertical="center" wrapText="1"/>
      <protection locked="0"/>
    </xf>
    <xf numFmtId="0" fontId="103" fillId="0" borderId="0" xfId="0" applyFont="1" applyBorder="1" applyAlignment="1"/>
    <xf numFmtId="10" fontId="103" fillId="0" borderId="0" xfId="7" applyNumberFormat="1" applyFont="1" applyBorder="1" applyAlignment="1"/>
    <xf numFmtId="0" fontId="103" fillId="0" borderId="0" xfId="0" applyFont="1" applyFill="1" applyAlignment="1"/>
    <xf numFmtId="0" fontId="55" fillId="38" borderId="1" xfId="0" applyFont="1" applyFill="1" applyBorder="1" applyAlignment="1" applyProtection="1">
      <alignment horizontal="center" vertical="center" wrapText="1"/>
      <protection locked="0"/>
    </xf>
    <xf numFmtId="10" fontId="55" fillId="38" borderId="6" xfId="7" applyNumberFormat="1" applyFont="1" applyFill="1" applyBorder="1" applyAlignment="1" applyProtection="1">
      <alignment horizontal="center" vertical="center" wrapText="1"/>
      <protection locked="0"/>
    </xf>
    <xf numFmtId="0" fontId="51" fillId="0" borderId="0" xfId="0" applyFont="1">
      <alignment vertical="center"/>
    </xf>
    <xf numFmtId="20" fontId="54" fillId="0" borderId="0" xfId="0" applyNumberFormat="1" applyFont="1" applyFill="1" applyAlignment="1">
      <alignment horizontal="left" vertical="center"/>
    </xf>
    <xf numFmtId="0" fontId="51" fillId="0" borderId="0" xfId="0" applyFont="1" applyFill="1">
      <alignment vertical="center"/>
    </xf>
    <xf numFmtId="0" fontId="51" fillId="0" borderId="1" xfId="0" applyFont="1" applyFill="1" applyBorder="1" applyAlignment="1">
      <alignment horizontal="center" wrapText="1"/>
    </xf>
    <xf numFmtId="0" fontId="51" fillId="0" borderId="0" xfId="0" applyFont="1" applyBorder="1" applyAlignment="1"/>
    <xf numFmtId="10" fontId="51" fillId="0" borderId="0" xfId="7" applyNumberFormat="1" applyFont="1" applyBorder="1" applyAlignment="1"/>
    <xf numFmtId="0" fontId="38" fillId="0" borderId="0" xfId="0" applyFont="1" applyAlignment="1"/>
    <xf numFmtId="0" fontId="24" fillId="0" borderId="11"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24" fillId="0" borderId="3" xfId="0" applyFont="1" applyFill="1" applyBorder="1" applyAlignment="1">
      <alignment vertical="center" wrapText="1"/>
    </xf>
    <xf numFmtId="0" fontId="106" fillId="0" borderId="10" xfId="0" applyFont="1" applyFill="1" applyBorder="1" applyAlignment="1">
      <alignment horizontal="left" vertical="center" wrapText="1"/>
    </xf>
    <xf numFmtId="0" fontId="106" fillId="0" borderId="2" xfId="0" applyFont="1" applyFill="1" applyBorder="1" applyAlignment="1">
      <alignment horizontal="left" vertical="center" wrapText="1"/>
    </xf>
    <xf numFmtId="0" fontId="24" fillId="0" borderId="13" xfId="0" applyFont="1" applyFill="1" applyBorder="1" applyAlignment="1">
      <alignment vertical="center" wrapText="1"/>
    </xf>
    <xf numFmtId="0" fontId="106" fillId="0" borderId="0" xfId="0" applyFont="1" applyFill="1" applyBorder="1" applyAlignment="1">
      <alignment horizontal="left" vertical="center" wrapText="1"/>
    </xf>
    <xf numFmtId="0" fontId="106" fillId="0" borderId="4" xfId="0" applyFont="1" applyFill="1" applyBorder="1" applyAlignment="1">
      <alignment horizontal="left" vertical="center" wrapText="1"/>
    </xf>
    <xf numFmtId="0" fontId="24" fillId="14" borderId="4" xfId="0" applyFont="1" applyFill="1" applyBorder="1" applyAlignment="1" applyProtection="1">
      <alignment horizontal="center" vertical="center" wrapText="1"/>
      <protection locked="0"/>
    </xf>
    <xf numFmtId="0" fontId="106" fillId="14"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0" xfId="0" applyFont="1" applyFill="1" applyBorder="1" applyAlignment="1" applyProtection="1">
      <alignment horizontal="center" vertical="center" wrapText="1"/>
      <protection locked="0"/>
    </xf>
    <xf numFmtId="0" fontId="24" fillId="0" borderId="0" xfId="0" applyFont="1" applyBorder="1" applyAlignment="1" applyProtection="1">
      <alignment horizontal="center" vertical="center"/>
      <protection locked="0"/>
    </xf>
    <xf numFmtId="0" fontId="24" fillId="0" borderId="4"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protection locked="0"/>
    </xf>
    <xf numFmtId="0" fontId="24" fillId="0" borderId="2" xfId="0" applyFont="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107" fillId="0" borderId="0" xfId="0" applyFont="1" applyFill="1" applyBorder="1" applyAlignment="1" applyProtection="1">
      <alignment horizontal="centerContinuous" vertical="distributed" wrapText="1"/>
    </xf>
    <xf numFmtId="0" fontId="108" fillId="0" borderId="0" xfId="0" applyFont="1" applyFill="1" applyBorder="1" applyAlignment="1" applyProtection="1">
      <alignment horizontal="centerContinuous" vertical="distributed" wrapText="1"/>
    </xf>
    <xf numFmtId="0" fontId="50" fillId="0" borderId="0" xfId="0" applyFont="1" applyFill="1" applyAlignment="1">
      <alignment horizontal="left" vertical="center"/>
    </xf>
    <xf numFmtId="0" fontId="50" fillId="0" borderId="13" xfId="0" applyFont="1" applyFill="1" applyBorder="1" applyAlignment="1" applyProtection="1">
      <alignment horizontal="center" vertical="center"/>
    </xf>
    <xf numFmtId="0" fontId="50" fillId="9" borderId="13" xfId="0" quotePrefix="1" applyFont="1" applyFill="1" applyBorder="1" applyAlignment="1" applyProtection="1">
      <alignment vertical="center" wrapText="1"/>
    </xf>
    <xf numFmtId="0" fontId="50" fillId="0" borderId="5" xfId="0" quotePrefix="1" applyFont="1" applyFill="1" applyBorder="1" applyAlignment="1" applyProtection="1">
      <alignment vertical="center" wrapText="1"/>
    </xf>
    <xf numFmtId="0" fontId="50" fillId="0" borderId="1" xfId="0" quotePrefix="1" applyFont="1" applyFill="1" applyBorder="1" applyAlignment="1" applyProtection="1">
      <alignment vertical="center" wrapText="1"/>
    </xf>
    <xf numFmtId="0" fontId="38" fillId="0" borderId="0" xfId="0" applyFont="1" applyFill="1" applyBorder="1" applyAlignment="1" applyProtection="1">
      <alignment horizontal="center" vertical="center"/>
    </xf>
    <xf numFmtId="0" fontId="50" fillId="9" borderId="4" xfId="0" applyFont="1" applyFill="1" applyBorder="1" applyAlignment="1" applyProtection="1">
      <alignment vertical="center" wrapText="1"/>
    </xf>
    <xf numFmtId="0" fontId="50" fillId="0" borderId="1" xfId="0" applyNumberFormat="1" applyFont="1" applyFill="1" applyBorder="1" applyAlignment="1" applyProtection="1">
      <alignment horizontal="center" vertical="center"/>
    </xf>
    <xf numFmtId="184" fontId="50" fillId="9" borderId="6" xfId="0" applyNumberFormat="1" applyFont="1" applyFill="1" applyBorder="1" applyAlignment="1" applyProtection="1">
      <alignment horizontal="center" vertical="center"/>
    </xf>
    <xf numFmtId="185" fontId="50" fillId="0" borderId="6" xfId="0" applyNumberFormat="1" applyFont="1" applyFill="1" applyBorder="1" applyAlignment="1" applyProtection="1">
      <alignment horizontal="center" vertical="center"/>
    </xf>
    <xf numFmtId="170" fontId="50" fillId="0" borderId="6" xfId="0" applyNumberFormat="1" applyFont="1" applyFill="1" applyBorder="1" applyAlignment="1" applyProtection="1">
      <alignment horizontal="center" vertical="center"/>
      <protection locked="0"/>
    </xf>
    <xf numFmtId="170" fontId="50" fillId="0" borderId="1" xfId="0" applyNumberFormat="1" applyFont="1" applyFill="1" applyBorder="1" applyAlignment="1" applyProtection="1">
      <alignment horizontal="center" vertical="center"/>
      <protection locked="0"/>
    </xf>
    <xf numFmtId="186" fontId="50" fillId="9" borderId="6" xfId="0" applyNumberFormat="1" applyFont="1" applyFill="1" applyBorder="1" applyAlignment="1" applyProtection="1">
      <alignment horizontal="center" vertical="center"/>
    </xf>
    <xf numFmtId="185" fontId="50" fillId="9" borderId="6" xfId="0" applyNumberFormat="1" applyFont="1" applyFill="1" applyBorder="1" applyAlignment="1" applyProtection="1">
      <alignment horizontal="center" vertical="center"/>
    </xf>
    <xf numFmtId="170" fontId="50" fillId="0" borderId="1" xfId="0" applyNumberFormat="1" applyFont="1" applyFill="1" applyBorder="1" applyAlignment="1">
      <alignment horizontal="center" vertical="center"/>
    </xf>
    <xf numFmtId="176" fontId="50" fillId="9" borderId="1" xfId="1" applyNumberFormat="1" applyFont="1" applyFill="1" applyBorder="1" applyAlignment="1">
      <alignment horizontal="center" vertical="center"/>
    </xf>
    <xf numFmtId="0" fontId="50" fillId="0" borderId="8" xfId="0"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50" fillId="0" borderId="9" xfId="0" applyFont="1" applyFill="1" applyBorder="1" applyAlignment="1">
      <alignment vertical="center"/>
    </xf>
    <xf numFmtId="0" fontId="38" fillId="0" borderId="13" xfId="0" applyFont="1" applyFill="1" applyBorder="1" applyAlignment="1" applyProtection="1">
      <alignment horizontal="center" vertical="center"/>
    </xf>
    <xf numFmtId="0" fontId="50" fillId="9" borderId="11" xfId="0" quotePrefix="1" applyFont="1" applyFill="1" applyBorder="1" applyAlignment="1" applyProtection="1">
      <alignment vertical="center" wrapText="1"/>
    </xf>
    <xf numFmtId="0" fontId="50" fillId="0" borderId="4" xfId="0" quotePrefix="1" applyFont="1" applyFill="1" applyBorder="1" applyAlignment="1" applyProtection="1">
      <alignment vertical="center" wrapText="1"/>
    </xf>
    <xf numFmtId="0" fontId="50" fillId="0" borderId="3" xfId="0" applyFont="1" applyFill="1" applyBorder="1" applyAlignment="1">
      <alignment horizontal="center" vertical="center"/>
    </xf>
    <xf numFmtId="186" fontId="50" fillId="0" borderId="6" xfId="0" applyNumberFormat="1" applyFont="1" applyFill="1" applyBorder="1" applyAlignment="1" applyProtection="1">
      <alignment horizontal="center" vertical="center"/>
    </xf>
    <xf numFmtId="168" fontId="38" fillId="0" borderId="1" xfId="0" applyNumberFormat="1" applyFont="1" applyFill="1" applyBorder="1" applyAlignment="1" applyProtection="1">
      <alignment horizontal="center" vertical="center"/>
    </xf>
    <xf numFmtId="184" fontId="50" fillId="0" borderId="6" xfId="0" applyNumberFormat="1" applyFont="1" applyFill="1" applyBorder="1" applyAlignment="1" applyProtection="1">
      <alignment horizontal="center" vertical="center"/>
    </xf>
    <xf numFmtId="0" fontId="50" fillId="0" borderId="0" xfId="0" applyNumberFormat="1" applyFont="1" applyFill="1" applyBorder="1" applyAlignment="1">
      <alignment horizontal="center" vertical="center" wrapText="1"/>
    </xf>
    <xf numFmtId="0" fontId="50" fillId="0" borderId="7" xfId="0" applyFont="1" applyFill="1" applyBorder="1" applyAlignment="1">
      <alignment vertical="center"/>
    </xf>
    <xf numFmtId="0" fontId="50" fillId="0" borderId="0" xfId="0" applyFont="1" applyFill="1" applyBorder="1" applyAlignment="1" applyProtection="1">
      <alignment horizontal="center" vertical="center"/>
    </xf>
    <xf numFmtId="0" fontId="50" fillId="0" borderId="0" xfId="0" applyFont="1" applyFill="1" applyBorder="1" applyAlignment="1">
      <alignment horizontal="center" vertical="center" wrapText="1"/>
    </xf>
    <xf numFmtId="16" fontId="38" fillId="0" borderId="1" xfId="0" applyNumberFormat="1" applyFont="1" applyFill="1" applyBorder="1" applyAlignment="1">
      <alignment horizontal="center" vertical="center" wrapText="1"/>
    </xf>
    <xf numFmtId="170" fontId="38" fillId="0" borderId="1" xfId="0" applyNumberFormat="1" applyFont="1" applyFill="1" applyBorder="1" applyAlignment="1">
      <alignment horizontal="left" vertical="center"/>
    </xf>
    <xf numFmtId="170" fontId="38" fillId="0" borderId="1" xfId="0" applyNumberFormat="1" applyFont="1" applyFill="1" applyBorder="1" applyAlignment="1">
      <alignment horizontal="right" vertical="center"/>
    </xf>
    <xf numFmtId="0" fontId="38" fillId="0" borderId="5" xfId="0" applyFont="1" applyFill="1" applyBorder="1" applyAlignment="1" applyProtection="1">
      <alignment horizontal="center" vertical="center"/>
    </xf>
    <xf numFmtId="0" fontId="50" fillId="4" borderId="5" xfId="0" applyFont="1" applyFill="1" applyBorder="1" applyAlignment="1">
      <alignment vertical="center" wrapText="1"/>
    </xf>
    <xf numFmtId="0" fontId="50" fillId="4" borderId="9" xfId="0" applyFont="1" applyFill="1" applyBorder="1" applyAlignment="1">
      <alignment vertical="center" wrapText="1"/>
    </xf>
    <xf numFmtId="0" fontId="50" fillId="4" borderId="9" xfId="0" applyFont="1" applyFill="1" applyBorder="1" applyAlignment="1">
      <alignment vertical="center"/>
    </xf>
    <xf numFmtId="0" fontId="50" fillId="4" borderId="0" xfId="0" applyFont="1" applyFill="1" applyBorder="1" applyAlignment="1">
      <alignment vertical="center" wrapText="1"/>
    </xf>
    <xf numFmtId="0" fontId="25" fillId="0" borderId="5" xfId="0" applyFont="1" applyFill="1" applyBorder="1" applyAlignment="1" applyProtection="1">
      <alignment horizontal="center" vertical="center"/>
    </xf>
    <xf numFmtId="0" fontId="50" fillId="0" borderId="11" xfId="0" applyFont="1" applyFill="1" applyBorder="1" applyAlignment="1" applyProtection="1">
      <alignment horizontal="center" vertical="center"/>
    </xf>
    <xf numFmtId="0" fontId="50" fillId="0" borderId="5" xfId="0" applyNumberFormat="1" applyFont="1" applyFill="1" applyBorder="1" applyAlignment="1" applyProtection="1">
      <alignment horizontal="center" vertical="center"/>
    </xf>
    <xf numFmtId="0" fontId="38" fillId="39" borderId="6" xfId="0" applyNumberFormat="1" applyFont="1" applyFill="1" applyBorder="1" applyAlignment="1" applyProtection="1">
      <alignment horizontal="center" vertical="center"/>
    </xf>
    <xf numFmtId="0" fontId="50" fillId="9" borderId="1" xfId="0" applyFont="1" applyFill="1" applyBorder="1" applyAlignment="1" applyProtection="1">
      <alignment horizontal="center" vertical="center"/>
      <protection locked="0"/>
    </xf>
    <xf numFmtId="170" fontId="50" fillId="0" borderId="5" xfId="0" applyNumberFormat="1" applyFont="1" applyFill="1" applyBorder="1" applyAlignment="1" applyProtection="1">
      <alignment horizontal="center" vertical="center"/>
      <protection locked="0"/>
    </xf>
    <xf numFmtId="170" fontId="38" fillId="39" borderId="6" xfId="0" applyNumberFormat="1" applyFont="1" applyFill="1" applyBorder="1" applyAlignment="1" applyProtection="1">
      <alignment horizontal="center" vertical="center"/>
      <protection locked="0"/>
    </xf>
    <xf numFmtId="168" fontId="50" fillId="9" borderId="1" xfId="0" applyNumberFormat="1" applyFont="1" applyFill="1" applyBorder="1" applyAlignment="1">
      <alignment horizontal="center" vertical="center"/>
    </xf>
    <xf numFmtId="0" fontId="50" fillId="9" borderId="1" xfId="0" applyFont="1" applyFill="1" applyBorder="1" applyAlignment="1">
      <alignment horizontal="center" vertical="center"/>
    </xf>
    <xf numFmtId="170" fontId="38" fillId="39" borderId="9" xfId="0" applyNumberFormat="1" applyFont="1" applyFill="1" applyBorder="1" applyAlignment="1" applyProtection="1">
      <alignment horizontal="center" vertical="center"/>
      <protection locked="0"/>
    </xf>
    <xf numFmtId="0" fontId="38" fillId="39" borderId="6" xfId="0" applyFont="1" applyFill="1" applyBorder="1" applyAlignment="1">
      <alignment horizontal="center" vertical="center" wrapText="1"/>
    </xf>
    <xf numFmtId="0" fontId="38" fillId="39" borderId="9" xfId="0" applyNumberFormat="1" applyFont="1" applyFill="1" applyBorder="1" applyAlignment="1" applyProtection="1">
      <alignment horizontal="center" vertical="center" wrapText="1"/>
      <protection locked="0"/>
    </xf>
    <xf numFmtId="0" fontId="38" fillId="39" borderId="0" xfId="0" applyFont="1" applyFill="1" applyAlignment="1">
      <alignment horizontal="center" vertical="center"/>
    </xf>
    <xf numFmtId="0" fontId="112" fillId="0" borderId="0" xfId="0" applyFont="1" applyFill="1" applyAlignment="1" applyProtection="1">
      <alignment horizontal="center" vertical="center" wrapText="1"/>
    </xf>
    <xf numFmtId="0" fontId="111" fillId="0" borderId="0" xfId="0" applyFont="1" applyFill="1" applyAlignment="1" applyProtection="1">
      <alignment horizontal="center" vertical="center" wrapText="1"/>
    </xf>
    <xf numFmtId="0" fontId="113" fillId="0" borderId="0" xfId="0" applyFont="1" applyFill="1" applyAlignment="1" applyProtection="1">
      <alignment horizontal="center" vertical="center" wrapText="1"/>
    </xf>
    <xf numFmtId="14" fontId="32" fillId="0" borderId="7" xfId="8" applyNumberFormat="1"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protection locked="0"/>
    </xf>
    <xf numFmtId="0" fontId="18" fillId="0" borderId="5" xfId="0" applyFont="1" applyFill="1" applyBorder="1" applyAlignment="1" applyProtection="1">
      <alignment horizontal="center" vertical="center"/>
      <protection locked="0"/>
    </xf>
    <xf numFmtId="0" fontId="115" fillId="0" borderId="9" xfId="0" applyFont="1" applyFill="1" applyBorder="1" applyAlignment="1" applyProtection="1">
      <alignment vertical="center"/>
    </xf>
    <xf numFmtId="0" fontId="18" fillId="0" borderId="9" xfId="0" applyFont="1" applyFill="1" applyBorder="1" applyAlignment="1" applyProtection="1">
      <alignment vertical="center" wrapText="1"/>
    </xf>
    <xf numFmtId="0" fontId="25" fillId="0" borderId="9" xfId="0" applyFont="1" applyFill="1" applyBorder="1" applyAlignment="1" applyProtection="1">
      <alignment vertical="center" wrapText="1"/>
    </xf>
    <xf numFmtId="0" fontId="25" fillId="0" borderId="6" xfId="0" applyFont="1" applyFill="1" applyBorder="1" applyAlignment="1" applyProtection="1">
      <alignment vertical="center" wrapText="1"/>
    </xf>
    <xf numFmtId="0" fontId="25" fillId="0" borderId="0" xfId="0" applyFont="1" applyFill="1" applyBorder="1" applyAlignment="1" applyProtection="1">
      <alignment horizontal="center" vertical="center"/>
      <protection locked="0"/>
    </xf>
    <xf numFmtId="0" fontId="25" fillId="0" borderId="1" xfId="0" applyFont="1" applyFill="1" applyBorder="1" applyAlignment="1" applyProtection="1">
      <alignment vertical="center"/>
    </xf>
    <xf numFmtId="169" fontId="38" fillId="0" borderId="1" xfId="0" applyNumberFormat="1" applyFont="1" applyFill="1" applyBorder="1" applyAlignment="1">
      <alignment horizontal="left" vertical="center"/>
    </xf>
    <xf numFmtId="169" fontId="38" fillId="0" borderId="1" xfId="0" applyNumberFormat="1" applyFont="1" applyFill="1" applyBorder="1" applyAlignment="1">
      <alignment horizontal="right" vertical="center"/>
    </xf>
    <xf numFmtId="0" fontId="116" fillId="4" borderId="5" xfId="0" applyFont="1" applyFill="1" applyBorder="1" applyAlignment="1" applyProtection="1">
      <alignment vertical="center" wrapText="1"/>
    </xf>
    <xf numFmtId="0" fontId="116" fillId="4" borderId="9" xfId="0" applyFont="1" applyFill="1" applyBorder="1" applyAlignment="1" applyProtection="1">
      <alignment vertical="center" wrapText="1"/>
    </xf>
    <xf numFmtId="0" fontId="116" fillId="4" borderId="9" xfId="0" applyFont="1" applyFill="1" applyBorder="1" applyAlignment="1" applyProtection="1">
      <alignment vertical="center"/>
    </xf>
    <xf numFmtId="0" fontId="116" fillId="4" borderId="6" xfId="0" applyFont="1" applyFill="1" applyBorder="1" applyAlignment="1" applyProtection="1">
      <alignment vertical="center" wrapText="1"/>
    </xf>
    <xf numFmtId="0" fontId="25" fillId="0" borderId="1"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77" fillId="4" borderId="5" xfId="0" applyFont="1" applyFill="1" applyBorder="1" applyAlignment="1" applyProtection="1">
      <alignment vertical="center" wrapText="1"/>
    </xf>
    <xf numFmtId="0" fontId="77" fillId="4" borderId="9" xfId="0" applyFont="1" applyFill="1" applyBorder="1" applyAlignment="1" applyProtection="1">
      <alignment vertical="center" wrapText="1"/>
    </xf>
    <xf numFmtId="0" fontId="77" fillId="4" borderId="9" xfId="0" applyFont="1" applyFill="1" applyBorder="1" applyAlignment="1" applyProtection="1">
      <alignment vertical="center"/>
    </xf>
    <xf numFmtId="0" fontId="77" fillId="4" borderId="6" xfId="0" applyFont="1" applyFill="1" applyBorder="1" applyAlignment="1" applyProtection="1">
      <alignment vertical="center" wrapText="1"/>
    </xf>
    <xf numFmtId="0" fontId="117" fillId="0" borderId="0" xfId="0" applyFont="1" applyFill="1" applyAlignment="1" applyProtection="1">
      <alignment horizontal="center" vertical="center" wrapText="1"/>
    </xf>
    <xf numFmtId="0" fontId="30" fillId="0" borderId="0" xfId="0" applyFont="1" applyFill="1" applyAlignment="1" applyProtection="1">
      <alignment horizontal="center" vertical="center"/>
    </xf>
    <xf numFmtId="0" fontId="63" fillId="0" borderId="0" xfId="0" applyFont="1" applyFill="1" applyAlignment="1" applyProtection="1">
      <alignment horizontal="center" vertical="center"/>
    </xf>
    <xf numFmtId="0" fontId="18" fillId="0" borderId="0" xfId="0" applyFont="1" applyFill="1" applyBorder="1" applyAlignment="1" applyProtection="1">
      <alignment horizontal="center" vertical="center" wrapText="1"/>
    </xf>
    <xf numFmtId="0" fontId="63" fillId="0" borderId="7" xfId="0" applyFont="1" applyFill="1" applyBorder="1" applyAlignment="1" applyProtection="1">
      <alignment vertical="center"/>
    </xf>
    <xf numFmtId="174" fontId="121" fillId="0" borderId="7" xfId="0" applyNumberFormat="1" applyFont="1" applyFill="1" applyBorder="1" applyAlignment="1" applyProtection="1">
      <alignment vertical="center" wrapText="1"/>
    </xf>
    <xf numFmtId="174" fontId="121" fillId="0" borderId="7" xfId="0" quotePrefix="1" applyNumberFormat="1" applyFont="1" applyFill="1" applyBorder="1" applyAlignment="1" applyProtection="1">
      <alignment horizontal="center" vertical="center" wrapText="1"/>
    </xf>
    <xf numFmtId="179" fontId="59" fillId="0" borderId="7" xfId="0" applyNumberFormat="1" applyFont="1" applyFill="1" applyBorder="1" applyAlignment="1" applyProtection="1">
      <alignment horizontal="center" vertical="center"/>
      <protection locked="0"/>
    </xf>
    <xf numFmtId="0" fontId="63" fillId="0" borderId="0" xfId="0" applyFont="1" applyFill="1" applyBorder="1" applyAlignment="1" applyProtection="1">
      <alignment vertical="center"/>
    </xf>
    <xf numFmtId="0" fontId="63" fillId="0" borderId="1" xfId="0" applyFont="1" applyFill="1" applyBorder="1" applyAlignment="1" applyProtection="1">
      <alignment horizontal="center" vertical="center" wrapText="1"/>
    </xf>
    <xf numFmtId="0" fontId="121" fillId="0" borderId="0" xfId="0"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0" fontId="63" fillId="0" borderId="10" xfId="0" applyFont="1" applyFill="1" applyBorder="1" applyAlignment="1" applyProtection="1">
      <alignment horizontal="center" vertical="center" wrapText="1"/>
    </xf>
    <xf numFmtId="0" fontId="63" fillId="0" borderId="1" xfId="0" applyFont="1" applyFill="1" applyBorder="1" applyAlignment="1">
      <alignment horizontal="center" vertical="center" wrapText="1"/>
    </xf>
    <xf numFmtId="0" fontId="30"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171" fontId="63" fillId="0" borderId="1" xfId="0" applyNumberFormat="1" applyFont="1" applyFill="1" applyBorder="1" applyAlignment="1" applyProtection="1">
      <alignment horizontal="center" vertical="center"/>
    </xf>
    <xf numFmtId="166" fontId="63" fillId="0" borderId="5" xfId="0" quotePrefix="1" applyNumberFormat="1" applyFont="1" applyFill="1" applyBorder="1" applyAlignment="1" applyProtection="1">
      <alignment horizontal="center" vertical="center"/>
    </xf>
    <xf numFmtId="168" fontId="63" fillId="0" borderId="6" xfId="0" applyNumberFormat="1" applyFont="1" applyFill="1" applyBorder="1" applyAlignment="1" applyProtection="1">
      <alignment horizontal="center" vertical="center"/>
    </xf>
    <xf numFmtId="0" fontId="63" fillId="0" borderId="3" xfId="0" applyFont="1" applyFill="1" applyBorder="1" applyAlignment="1">
      <alignment horizontal="center" vertical="center" wrapText="1"/>
    </xf>
    <xf numFmtId="182" fontId="51" fillId="0" borderId="1" xfId="0" applyNumberFormat="1" applyFont="1" applyFill="1" applyBorder="1" applyAlignment="1">
      <alignment horizontal="center" vertical="center"/>
    </xf>
    <xf numFmtId="166" fontId="17" fillId="0" borderId="5" xfId="0" quotePrefix="1" applyNumberFormat="1" applyFont="1" applyFill="1" applyBorder="1" applyAlignment="1" applyProtection="1">
      <alignment horizontal="center" vertical="center"/>
    </xf>
    <xf numFmtId="168" fontId="17" fillId="0" borderId="6" xfId="0" applyNumberFormat="1"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166" fontId="63" fillId="0" borderId="1" xfId="0" applyNumberFormat="1" applyFont="1" applyFill="1" applyBorder="1" applyAlignment="1" applyProtection="1">
      <alignment horizontal="center" vertical="center"/>
    </xf>
    <xf numFmtId="0" fontId="63" fillId="0" borderId="1" xfId="0" applyFont="1" applyFill="1" applyBorder="1" applyAlignment="1">
      <alignment horizontal="center" vertical="center"/>
    </xf>
    <xf numFmtId="171" fontId="63" fillId="0" borderId="6" xfId="0" applyNumberFormat="1" applyFont="1" applyFill="1" applyBorder="1" applyAlignment="1" applyProtection="1">
      <alignment horizontal="center" vertical="center"/>
    </xf>
    <xf numFmtId="0" fontId="123" fillId="0" borderId="1" xfId="0" applyFont="1" applyFill="1" applyBorder="1" applyAlignment="1" applyProtection="1">
      <alignment horizontal="center" vertical="center"/>
    </xf>
    <xf numFmtId="0" fontId="123" fillId="0" borderId="0" xfId="0" applyFont="1" applyFill="1" applyAlignment="1" applyProtection="1">
      <alignment horizontal="center" vertical="center"/>
    </xf>
    <xf numFmtId="0" fontId="63" fillId="0" borderId="2" xfId="0"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xf>
    <xf numFmtId="0" fontId="125" fillId="0" borderId="1" xfId="0" applyFont="1" applyFill="1" applyBorder="1" applyAlignment="1" applyProtection="1">
      <alignment horizontal="center" vertical="center"/>
    </xf>
    <xf numFmtId="0" fontId="59" fillId="0" borderId="1" xfId="0" applyFont="1" applyFill="1" applyBorder="1" applyAlignment="1">
      <alignment horizontal="center" vertical="center" wrapText="1"/>
    </xf>
    <xf numFmtId="0" fontId="30" fillId="0" borderId="1" xfId="8" applyFont="1" applyFill="1" applyBorder="1" applyAlignment="1" applyProtection="1">
      <alignment vertical="center" wrapText="1"/>
    </xf>
    <xf numFmtId="0" fontId="33" fillId="0" borderId="1" xfId="0"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0" fontId="59" fillId="0" borderId="0" xfId="0" applyFont="1" applyFill="1" applyBorder="1" applyAlignment="1" applyProtection="1">
      <alignment horizontal="center" vertical="center" wrapText="1"/>
    </xf>
    <xf numFmtId="0" fontId="125" fillId="0" borderId="0" xfId="0" applyFont="1" applyFill="1" applyBorder="1" applyAlignment="1" applyProtection="1">
      <alignment horizontal="center" vertical="center"/>
    </xf>
    <xf numFmtId="0" fontId="59" fillId="0" borderId="0" xfId="0" applyFont="1" applyFill="1" applyBorder="1" applyAlignment="1">
      <alignment horizontal="center" vertical="center" wrapText="1"/>
    </xf>
    <xf numFmtId="0" fontId="33" fillId="0" borderId="0"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30" fillId="0" borderId="0" xfId="8" applyFont="1" applyFill="1" applyBorder="1" applyAlignment="1" applyProtection="1">
      <alignment vertical="center"/>
    </xf>
    <xf numFmtId="0" fontId="63" fillId="0" borderId="0" xfId="0" applyFont="1" applyFill="1" applyBorder="1" applyAlignment="1" applyProtection="1">
      <alignment horizontal="center" vertical="center" wrapText="1"/>
    </xf>
    <xf numFmtId="0" fontId="127" fillId="0" borderId="0" xfId="0" applyFont="1" applyFill="1" applyBorder="1" applyAlignment="1" applyProtection="1">
      <alignment horizontal="center" vertical="center"/>
    </xf>
    <xf numFmtId="0" fontId="63" fillId="0" borderId="0" xfId="8" applyFont="1" applyFill="1" applyAlignment="1" applyProtection="1">
      <alignment horizontal="left" vertical="center"/>
    </xf>
    <xf numFmtId="173" fontId="63" fillId="0" borderId="0" xfId="7" applyNumberFormat="1" applyFont="1" applyFill="1" applyBorder="1" applyAlignment="1" applyProtection="1">
      <alignment horizontal="center" vertical="center"/>
    </xf>
    <xf numFmtId="166" fontId="63" fillId="0" borderId="0" xfId="0" quotePrefix="1" applyNumberFormat="1" applyFont="1" applyFill="1" applyBorder="1" applyAlignment="1" applyProtection="1">
      <alignment horizontal="center" vertical="center"/>
    </xf>
    <xf numFmtId="0" fontId="123" fillId="0" borderId="0" xfId="0" applyFont="1" applyFill="1" applyBorder="1" applyAlignment="1" applyProtection="1">
      <alignment horizontal="center" vertical="center"/>
    </xf>
    <xf numFmtId="0" fontId="63" fillId="0" borderId="0" xfId="0" applyFont="1" applyFill="1" applyAlignment="1" applyProtection="1">
      <alignment horizontal="left" vertical="center"/>
    </xf>
    <xf numFmtId="0" fontId="63" fillId="0" borderId="0" xfId="0" applyNumberFormat="1" applyFont="1" applyFill="1" applyAlignment="1" applyProtection="1">
      <alignment horizontal="center" vertical="center"/>
    </xf>
    <xf numFmtId="0" fontId="63" fillId="0" borderId="0" xfId="0" applyFont="1" applyFill="1" applyBorder="1" applyAlignment="1" applyProtection="1">
      <alignment horizontal="left" vertical="center" wrapText="1"/>
    </xf>
    <xf numFmtId="0" fontId="10" fillId="0" borderId="3" xfId="0" applyFont="1" applyBorder="1" applyAlignment="1" applyProtection="1">
      <alignment horizontal="center" vertical="center"/>
      <protection locked="0"/>
    </xf>
    <xf numFmtId="0" fontId="128" fillId="0" borderId="0" xfId="0" applyFont="1" applyFill="1" applyBorder="1" applyAlignment="1" applyProtection="1">
      <alignment horizontal="center" vertical="center"/>
    </xf>
    <xf numFmtId="0" fontId="17" fillId="0" borderId="10" xfId="0" applyFont="1" applyFill="1" applyBorder="1" applyAlignment="1" applyProtection="1">
      <alignment horizontal="center" vertical="center" wrapText="1"/>
    </xf>
    <xf numFmtId="0" fontId="128" fillId="0" borderId="2" xfId="0" applyFont="1" applyFill="1" applyBorder="1" applyAlignment="1" applyProtection="1">
      <alignment horizontal="center" vertical="center"/>
    </xf>
    <xf numFmtId="0" fontId="17"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171" fontId="17" fillId="0" borderId="1" xfId="0" applyNumberFormat="1"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0" xfId="0" applyFont="1" applyFill="1" applyAlignment="1" applyProtection="1">
      <alignment horizontal="center" vertical="center"/>
    </xf>
    <xf numFmtId="166" fontId="17" fillId="0" borderId="6"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xf>
    <xf numFmtId="171" fontId="17" fillId="0" borderId="6"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protection locked="0"/>
    </xf>
    <xf numFmtId="0" fontId="129" fillId="0" borderId="0" xfId="0" applyFont="1" applyFill="1" applyAlignment="1" applyProtection="1">
      <alignment horizontal="center" vertical="center"/>
    </xf>
    <xf numFmtId="0" fontId="14"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32" fillId="0" borderId="1" xfId="0" applyFont="1" applyFill="1" applyBorder="1" applyAlignment="1" applyProtection="1">
      <alignment horizontal="center" vertical="center"/>
    </xf>
    <xf numFmtId="0" fontId="10" fillId="0" borderId="0" xfId="0" applyFont="1" applyFill="1" applyBorder="1" applyAlignment="1" applyProtection="1">
      <alignment horizontal="center" vertical="center" wrapText="1"/>
    </xf>
    <xf numFmtId="0" fontId="10" fillId="0" borderId="0" xfId="0" applyFont="1" applyBorder="1" applyAlignment="1" applyProtection="1">
      <alignment horizontal="center" vertical="center"/>
      <protection locked="0"/>
    </xf>
    <xf numFmtId="171" fontId="17" fillId="0" borderId="5" xfId="0" quotePrefix="1" applyNumberFormat="1" applyFont="1" applyFill="1" applyBorder="1" applyAlignment="1" applyProtection="1">
      <alignment horizontal="center" vertical="center"/>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9" xfId="0"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protection locked="0"/>
    </xf>
    <xf numFmtId="0" fontId="63" fillId="0" borderId="1" xfId="0" applyNumberFormat="1" applyFont="1" applyFill="1" applyBorder="1" applyAlignment="1" applyProtection="1">
      <alignment horizontal="center" vertical="center"/>
    </xf>
    <xf numFmtId="0" fontId="10" fillId="0" borderId="0" xfId="0" applyFont="1" applyFill="1" applyAlignment="1">
      <alignment horizontal="center" vertical="center"/>
    </xf>
    <xf numFmtId="0" fontId="10" fillId="0" borderId="7" xfId="0" applyFont="1" applyFill="1" applyBorder="1" applyAlignment="1">
      <alignment vertical="center" wrapText="1"/>
    </xf>
    <xf numFmtId="0" fontId="10" fillId="0" borderId="0" xfId="0" applyFont="1" applyFill="1" applyBorder="1" applyAlignment="1">
      <alignment horizontal="left" vertical="center" wrapText="1"/>
    </xf>
    <xf numFmtId="0" fontId="10" fillId="0" borderId="5" xfId="0" applyFont="1" applyFill="1" applyBorder="1" applyAlignment="1">
      <alignment horizontal="centerContinuous" vertical="center" wrapText="1"/>
    </xf>
    <xf numFmtId="0" fontId="10" fillId="0" borderId="9" xfId="0" applyFont="1" applyFill="1" applyBorder="1" applyAlignment="1">
      <alignment horizontal="centerContinuous" vertical="center" wrapText="1"/>
    </xf>
    <xf numFmtId="0" fontId="10" fillId="0" borderId="6" xfId="0" applyFont="1" applyFill="1" applyBorder="1" applyAlignment="1">
      <alignment horizontal="centerContinuous" vertical="center" wrapText="1"/>
    </xf>
    <xf numFmtId="0" fontId="10" fillId="0" borderId="0" xfId="0" applyFont="1" applyFill="1" applyBorder="1" applyAlignment="1">
      <alignment horizontal="center" vertical="center"/>
    </xf>
    <xf numFmtId="0" fontId="24" fillId="0" borderId="1" xfId="8" applyFont="1" applyFill="1" applyBorder="1" applyAlignment="1">
      <alignment horizontal="center" vertical="center" wrapText="1"/>
    </xf>
    <xf numFmtId="0" fontId="24" fillId="0" borderId="1" xfId="0" applyFont="1" applyFill="1" applyBorder="1" applyAlignment="1">
      <alignment horizontal="center" vertical="center" wrapText="1"/>
    </xf>
    <xf numFmtId="0" fontId="21" fillId="0" borderId="1" xfId="0"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vertical="center"/>
      <protection locked="0"/>
    </xf>
    <xf numFmtId="0" fontId="10" fillId="0" borderId="46" xfId="8" applyFont="1" applyFill="1" applyBorder="1" applyAlignment="1">
      <alignment vertical="center"/>
    </xf>
    <xf numFmtId="0" fontId="137" fillId="0" borderId="1" xfId="0" applyFont="1" applyFill="1" applyBorder="1" applyAlignment="1" applyProtection="1">
      <alignment horizontal="center" vertical="center" wrapText="1"/>
      <protection locked="0"/>
    </xf>
    <xf numFmtId="0" fontId="10" fillId="0" borderId="47" xfId="86" applyFont="1" applyFill="1" applyBorder="1" applyAlignment="1" applyProtection="1">
      <alignment horizontal="center" vertical="center" shrinkToFit="1"/>
    </xf>
    <xf numFmtId="167" fontId="10" fillId="0" borderId="5" xfId="0" applyNumberFormat="1" applyFont="1" applyFill="1" applyBorder="1" applyAlignment="1" applyProtection="1">
      <alignment horizontal="left" vertical="center"/>
      <protection locked="0"/>
    </xf>
    <xf numFmtId="0" fontId="10" fillId="0" borderId="2" xfId="0" applyFont="1" applyFill="1" applyBorder="1" applyAlignment="1" applyProtection="1">
      <alignment horizontal="center" vertical="center"/>
    </xf>
    <xf numFmtId="0" fontId="10" fillId="0" borderId="4" xfId="0" applyFont="1" applyFill="1" applyBorder="1" applyAlignment="1">
      <alignment horizontal="centerContinuous" vertical="center" wrapText="1"/>
    </xf>
    <xf numFmtId="0" fontId="10" fillId="0" borderId="7" xfId="0" applyFont="1" applyFill="1" applyBorder="1" applyAlignment="1">
      <alignment horizontal="centerContinuous" vertical="center" wrapText="1"/>
    </xf>
    <xf numFmtId="0" fontId="10" fillId="0" borderId="15" xfId="0" applyFont="1" applyFill="1" applyBorder="1" applyAlignment="1">
      <alignment horizontal="centerContinuous" vertical="center" wrapText="1"/>
    </xf>
    <xf numFmtId="0" fontId="26" fillId="0" borderId="1" xfId="0" applyFont="1" applyFill="1" applyBorder="1" applyAlignment="1">
      <alignment horizontal="center" vertical="center"/>
    </xf>
    <xf numFmtId="0" fontId="10" fillId="0" borderId="0" xfId="0" applyFont="1" applyFill="1" applyAlignment="1">
      <alignment horizontal="left" vertical="center"/>
    </xf>
    <xf numFmtId="0" fontId="10" fillId="0" borderId="0" xfId="0" applyNumberFormat="1" applyFont="1" applyFill="1" applyAlignment="1">
      <alignment horizontal="center" vertical="center"/>
    </xf>
    <xf numFmtId="0" fontId="140"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52" fillId="0" borderId="1" xfId="0" applyFont="1" applyFill="1" applyBorder="1" applyAlignment="1" applyProtection="1">
      <alignment horizontal="center" vertical="center" wrapText="1"/>
    </xf>
    <xf numFmtId="14" fontId="75" fillId="0" borderId="7" xfId="8" applyNumberFormat="1" applyFont="1" applyFill="1" applyBorder="1" applyAlignment="1" applyProtection="1">
      <alignment horizontal="center" vertical="center" wrapText="1"/>
      <protection locked="0"/>
    </xf>
    <xf numFmtId="14" fontId="143" fillId="0" borderId="7" xfId="8" applyNumberFormat="1" applyFont="1" applyFill="1" applyBorder="1" applyAlignment="1" applyProtection="1">
      <alignment horizontal="center" vertical="center" wrapText="1"/>
      <protection locked="0"/>
    </xf>
    <xf numFmtId="0" fontId="55" fillId="0" borderId="7" xfId="8" applyFont="1" applyFill="1" applyBorder="1" applyAlignment="1" applyProtection="1">
      <alignment horizontal="center" vertical="center" wrapText="1"/>
      <protection locked="0"/>
    </xf>
    <xf numFmtId="20" fontId="55" fillId="0" borderId="7" xfId="8" applyNumberFormat="1" applyFont="1" applyFill="1" applyBorder="1" applyAlignment="1" applyProtection="1">
      <alignment horizontal="center" vertical="center" wrapText="1"/>
      <protection locked="0"/>
    </xf>
    <xf numFmtId="0" fontId="52" fillId="0" borderId="7" xfId="8" applyFont="1" applyFill="1" applyBorder="1" applyAlignment="1" applyProtection="1">
      <alignment horizontal="center" vertical="center" wrapText="1"/>
      <protection locked="0"/>
    </xf>
    <xf numFmtId="0" fontId="52" fillId="0" borderId="3" xfId="0" applyFont="1" applyFill="1" applyBorder="1" applyAlignment="1" applyProtection="1">
      <alignment horizontal="center" vertical="center"/>
      <protection locked="0"/>
    </xf>
    <xf numFmtId="0" fontId="75" fillId="0" borderId="5" xfId="0" applyFont="1" applyFill="1" applyBorder="1" applyAlignment="1" applyProtection="1">
      <alignment vertical="center"/>
    </xf>
    <xf numFmtId="0" fontId="75" fillId="0" borderId="9" xfId="0" applyFont="1" applyFill="1" applyBorder="1" applyAlignment="1" applyProtection="1">
      <alignment vertical="center" wrapText="1"/>
    </xf>
    <xf numFmtId="0" fontId="75" fillId="0" borderId="6" xfId="0" applyFont="1" applyFill="1" applyBorder="1" applyAlignment="1" applyProtection="1">
      <alignment vertical="center" wrapText="1"/>
    </xf>
    <xf numFmtId="0" fontId="75" fillId="0" borderId="0" xfId="0" applyFont="1" applyFill="1" applyBorder="1" applyAlignment="1" applyProtection="1">
      <alignment horizontal="center" vertical="center"/>
      <protection locked="0"/>
    </xf>
    <xf numFmtId="0" fontId="75" fillId="0" borderId="1" xfId="0" applyFont="1" applyFill="1" applyBorder="1" applyAlignment="1" applyProtection="1">
      <alignment vertical="center"/>
    </xf>
    <xf numFmtId="0" fontId="50" fillId="0" borderId="3" xfId="0" applyFont="1" applyFill="1" applyBorder="1" applyAlignment="1" applyProtection="1">
      <alignment vertical="center"/>
    </xf>
    <xf numFmtId="177" fontId="50" fillId="0" borderId="14" xfId="0" applyNumberFormat="1" applyFont="1" applyFill="1" applyBorder="1" applyAlignment="1" applyProtection="1">
      <alignment horizontal="center" vertical="center"/>
    </xf>
    <xf numFmtId="166" fontId="50" fillId="0" borderId="1" xfId="0" applyNumberFormat="1" applyFont="1" applyFill="1" applyBorder="1" applyAlignment="1" applyProtection="1">
      <alignment horizontal="center" vertical="center"/>
    </xf>
    <xf numFmtId="0" fontId="52" fillId="0" borderId="1" xfId="8" applyFont="1" applyFill="1" applyBorder="1" applyAlignment="1" applyProtection="1">
      <alignment horizontal="center" vertical="center" wrapText="1"/>
      <protection locked="0"/>
    </xf>
    <xf numFmtId="169" fontId="50" fillId="0" borderId="1" xfId="0" applyNumberFormat="1" applyFont="1" applyFill="1" applyBorder="1" applyAlignment="1">
      <alignment horizontal="left" vertical="center"/>
    </xf>
    <xf numFmtId="169" fontId="50" fillId="0" borderId="1" xfId="0" applyNumberFormat="1" applyFont="1" applyFill="1" applyBorder="1" applyAlignment="1">
      <alignment horizontal="right" vertical="center"/>
    </xf>
    <xf numFmtId="16" fontId="50" fillId="0" borderId="1" xfId="0" applyNumberFormat="1" applyFont="1" applyFill="1" applyBorder="1" applyAlignment="1">
      <alignment horizontal="center" vertical="center" wrapText="1"/>
    </xf>
    <xf numFmtId="170" fontId="50" fillId="0" borderId="1" xfId="0" applyNumberFormat="1" applyFont="1" applyFill="1" applyBorder="1" applyAlignment="1">
      <alignment horizontal="left" vertical="center"/>
    </xf>
    <xf numFmtId="170" fontId="50" fillId="0" borderId="1" xfId="0" applyNumberFormat="1" applyFont="1" applyFill="1" applyBorder="1" applyAlignment="1">
      <alignment horizontal="right" vertical="center"/>
    </xf>
    <xf numFmtId="165" fontId="50" fillId="0" borderId="1" xfId="1" applyNumberFormat="1" applyFont="1" applyFill="1" applyBorder="1" applyAlignment="1" applyProtection="1">
      <alignment horizontal="center" vertical="center"/>
    </xf>
    <xf numFmtId="0" fontId="75" fillId="0" borderId="1" xfId="0" applyFont="1" applyFill="1" applyBorder="1" applyAlignment="1" applyProtection="1">
      <alignment horizontal="center" vertical="center"/>
    </xf>
    <xf numFmtId="0" fontId="9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wrapText="1"/>
    </xf>
    <xf numFmtId="0" fontId="55" fillId="0" borderId="0" xfId="0" applyFont="1" applyFill="1" applyAlignment="1" applyProtection="1">
      <alignment horizontal="center" vertical="center"/>
      <protection locked="0"/>
    </xf>
    <xf numFmtId="0" fontId="52" fillId="0" borderId="0" xfId="0" applyNumberFormat="1" applyFont="1" applyFill="1" applyAlignment="1" applyProtection="1">
      <alignment horizontal="center" vertical="center"/>
      <protection locked="0"/>
    </xf>
    <xf numFmtId="0" fontId="117" fillId="0" borderId="0" xfId="0" applyFont="1" applyFill="1" applyAlignment="1" applyProtection="1">
      <alignment vertical="center" wrapText="1"/>
    </xf>
    <xf numFmtId="169" fontId="59" fillId="0" borderId="1" xfId="0" applyNumberFormat="1" applyFont="1" applyFill="1" applyBorder="1" applyAlignment="1">
      <alignment horizontal="center" vertical="center"/>
    </xf>
    <xf numFmtId="170" fontId="59" fillId="0" borderId="1" xfId="0" applyNumberFormat="1" applyFont="1" applyFill="1" applyBorder="1" applyAlignment="1">
      <alignment horizontal="center" vertical="center"/>
    </xf>
    <xf numFmtId="0" fontId="132" fillId="0" borderId="0" xfId="0" applyFont="1" applyFill="1" applyBorder="1" applyAlignment="1" applyProtection="1">
      <alignment horizontal="center" vertical="center"/>
    </xf>
    <xf numFmtId="0" fontId="17" fillId="0" borderId="0"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166" fontId="17" fillId="0" borderId="0" xfId="0" applyNumberFormat="1" applyFont="1" applyFill="1" applyBorder="1" applyAlignment="1" applyProtection="1">
      <alignment horizontal="center" vertical="center"/>
    </xf>
    <xf numFmtId="0" fontId="38" fillId="0" borderId="0" xfId="0" applyFont="1" applyFill="1" applyBorder="1" applyAlignment="1">
      <alignment horizontal="center" vertical="center" wrapText="1"/>
    </xf>
    <xf numFmtId="0" fontId="38" fillId="0" borderId="5" xfId="0" applyFont="1" applyFill="1" applyBorder="1" applyAlignment="1" applyProtection="1">
      <alignment vertical="center" wrapText="1"/>
      <protection locked="0"/>
    </xf>
    <xf numFmtId="0" fontId="76" fillId="0" borderId="0" xfId="0" applyFont="1" applyFill="1" applyAlignment="1">
      <alignment horizontal="center" vertical="center"/>
    </xf>
    <xf numFmtId="0" fontId="144" fillId="0" borderId="7" xfId="0" applyFont="1" applyFill="1" applyBorder="1" applyAlignment="1">
      <alignment horizontal="center" vertical="center" wrapText="1"/>
    </xf>
    <xf numFmtId="0" fontId="98" fillId="0" borderId="7" xfId="0" applyFont="1" applyFill="1" applyBorder="1" applyAlignment="1">
      <alignment horizontal="center" vertical="center" wrapText="1"/>
    </xf>
    <xf numFmtId="0" fontId="50" fillId="0" borderId="7" xfId="0" applyFont="1" applyFill="1" applyBorder="1" applyAlignment="1">
      <alignment horizontal="center" vertical="center" wrapText="1"/>
    </xf>
    <xf numFmtId="168" fontId="50" fillId="0" borderId="7" xfId="0" quotePrefix="1" applyNumberFormat="1" applyFont="1" applyFill="1" applyBorder="1" applyAlignment="1">
      <alignment horizontal="center" vertical="center" wrapText="1"/>
    </xf>
    <xf numFmtId="0" fontId="146" fillId="0" borderId="0" xfId="0" applyFont="1" applyFill="1" applyAlignment="1">
      <alignment horizontal="center" vertical="center"/>
    </xf>
    <xf numFmtId="0" fontId="148" fillId="0" borderId="11" xfId="0" quotePrefix="1" applyFont="1" applyFill="1" applyBorder="1" applyAlignment="1" applyProtection="1">
      <alignment vertical="center" wrapText="1"/>
    </xf>
    <xf numFmtId="0" fontId="148" fillId="0" borderId="4" xfId="0" quotePrefix="1" applyFont="1" applyFill="1" applyBorder="1" applyAlignment="1" applyProtection="1">
      <alignment vertical="center" wrapText="1"/>
    </xf>
    <xf numFmtId="0" fontId="149" fillId="0" borderId="1" xfId="0" quotePrefix="1" applyFont="1" applyFill="1" applyBorder="1" applyAlignment="1" applyProtection="1">
      <alignment vertical="center" wrapText="1"/>
    </xf>
    <xf numFmtId="0" fontId="150" fillId="0" borderId="4" xfId="0" applyFont="1" applyFill="1" applyBorder="1" applyAlignment="1" applyProtection="1">
      <alignment vertical="center" wrapText="1"/>
    </xf>
    <xf numFmtId="0" fontId="53" fillId="0" borderId="1" xfId="0" applyNumberFormat="1" applyFont="1" applyFill="1" applyBorder="1" applyAlignment="1" applyProtection="1">
      <alignment horizontal="center" vertical="center"/>
    </xf>
    <xf numFmtId="0" fontId="147" fillId="0" borderId="6" xfId="0" applyFont="1" applyFill="1" applyBorder="1" applyAlignment="1" applyProtection="1">
      <alignment horizontal="center" vertical="center"/>
    </xf>
    <xf numFmtId="0" fontId="147" fillId="0" borderId="5" xfId="0" applyFont="1" applyFill="1" applyBorder="1" applyAlignment="1" applyProtection="1">
      <alignment vertical="center"/>
    </xf>
    <xf numFmtId="0" fontId="147" fillId="0" borderId="5" xfId="0" applyFont="1" applyFill="1" applyBorder="1" applyAlignment="1" applyProtection="1">
      <alignment horizontal="center" vertical="center"/>
    </xf>
    <xf numFmtId="0" fontId="76" fillId="0" borderId="1" xfId="0" applyFont="1" applyFill="1" applyBorder="1" applyAlignment="1">
      <alignment horizontal="center" vertical="center"/>
    </xf>
    <xf numFmtId="0" fontId="76" fillId="0" borderId="3" xfId="0" applyFont="1" applyFill="1" applyBorder="1" applyAlignment="1">
      <alignment horizontal="center" vertical="center"/>
    </xf>
    <xf numFmtId="0" fontId="53" fillId="0" borderId="1" xfId="0" applyFont="1" applyFill="1" applyBorder="1" applyAlignment="1">
      <alignment horizontal="center" vertical="center" wrapText="1"/>
    </xf>
    <xf numFmtId="186" fontId="76" fillId="0" borderId="6" xfId="0" applyNumberFormat="1" applyFont="1" applyFill="1" applyBorder="1" applyAlignment="1" applyProtection="1">
      <alignment horizontal="center" vertical="center"/>
    </xf>
    <xf numFmtId="185" fontId="76" fillId="0" borderId="6" xfId="0" applyNumberFormat="1" applyFont="1" applyFill="1" applyBorder="1" applyAlignment="1" applyProtection="1">
      <alignment horizontal="center" vertical="center"/>
    </xf>
    <xf numFmtId="185" fontId="153" fillId="0" borderId="6" xfId="0" applyNumberFormat="1" applyFont="1" applyFill="1" applyBorder="1" applyAlignment="1" applyProtection="1">
      <alignment horizontal="center" vertical="center"/>
    </xf>
    <xf numFmtId="169" fontId="98" fillId="0" borderId="1" xfId="0" applyNumberFormat="1" applyFont="1" applyFill="1" applyBorder="1" applyAlignment="1">
      <alignment horizontal="center" vertical="center"/>
    </xf>
    <xf numFmtId="166" fontId="153" fillId="0" borderId="5" xfId="0" applyNumberFormat="1" applyFont="1" applyFill="1" applyBorder="1" applyAlignment="1">
      <alignment horizontal="center" vertical="center"/>
    </xf>
    <xf numFmtId="168" fontId="153" fillId="0" borderId="1" xfId="0" applyNumberFormat="1" applyFont="1" applyFill="1" applyBorder="1" applyAlignment="1">
      <alignment horizontal="center" vertical="center"/>
    </xf>
    <xf numFmtId="0" fontId="53" fillId="0" borderId="1" xfId="0" applyFont="1" applyFill="1" applyBorder="1" applyAlignment="1" applyProtection="1">
      <alignment horizontal="center" vertical="center"/>
    </xf>
    <xf numFmtId="169" fontId="98" fillId="40" borderId="1" xfId="0" applyNumberFormat="1" applyFont="1" applyFill="1" applyBorder="1" applyAlignment="1">
      <alignment horizontal="center" vertical="center"/>
    </xf>
    <xf numFmtId="166" fontId="153" fillId="40" borderId="5" xfId="0" applyNumberFormat="1" applyFont="1" applyFill="1" applyBorder="1" applyAlignment="1">
      <alignment horizontal="center" vertical="center"/>
    </xf>
    <xf numFmtId="168" fontId="153" fillId="40" borderId="1" xfId="0" applyNumberFormat="1" applyFont="1" applyFill="1" applyBorder="1" applyAlignment="1">
      <alignment horizontal="center" vertical="center"/>
    </xf>
    <xf numFmtId="185" fontId="153" fillId="41" borderId="6" xfId="0" applyNumberFormat="1" applyFont="1" applyFill="1" applyBorder="1" applyAlignment="1" applyProtection="1">
      <alignment horizontal="center" vertical="center"/>
    </xf>
    <xf numFmtId="184" fontId="76" fillId="0" borderId="6" xfId="0" applyNumberFormat="1" applyFont="1" applyFill="1" applyBorder="1" applyAlignment="1" applyProtection="1">
      <alignment horizontal="center" vertical="center"/>
    </xf>
    <xf numFmtId="170" fontId="98" fillId="0" borderId="1" xfId="0" applyNumberFormat="1" applyFont="1" applyFill="1" applyBorder="1" applyAlignment="1">
      <alignment horizontal="center" vertical="center"/>
    </xf>
    <xf numFmtId="170" fontId="153" fillId="0" borderId="5" xfId="0" applyNumberFormat="1" applyFont="1" applyFill="1" applyBorder="1" applyAlignment="1">
      <alignment horizontal="center" vertical="center"/>
    </xf>
    <xf numFmtId="170" fontId="153" fillId="0" borderId="1" xfId="0" applyNumberFormat="1" applyFont="1" applyFill="1" applyBorder="1" applyAlignment="1">
      <alignment horizontal="center" vertical="center"/>
    </xf>
    <xf numFmtId="170" fontId="153" fillId="0" borderId="6" xfId="0" applyNumberFormat="1" applyFont="1" applyFill="1" applyBorder="1" applyAlignment="1" applyProtection="1">
      <alignment horizontal="center" vertical="center"/>
    </xf>
    <xf numFmtId="170" fontId="98" fillId="40" borderId="1" xfId="0" applyNumberFormat="1" applyFont="1" applyFill="1" applyBorder="1" applyAlignment="1">
      <alignment horizontal="center" vertical="center"/>
    </xf>
    <xf numFmtId="170" fontId="153" fillId="40" borderId="5" xfId="0" applyNumberFormat="1" applyFont="1" applyFill="1" applyBorder="1" applyAlignment="1">
      <alignment horizontal="center" vertical="center"/>
    </xf>
    <xf numFmtId="170" fontId="153" fillId="40" borderId="1" xfId="0" applyNumberFormat="1" applyFont="1" applyFill="1" applyBorder="1" applyAlignment="1">
      <alignment horizontal="center" vertical="center"/>
    </xf>
    <xf numFmtId="0" fontId="150" fillId="0" borderId="1" xfId="0" applyFont="1" applyFill="1" applyBorder="1" applyAlignment="1">
      <alignment horizontal="center" vertical="center" wrapText="1"/>
    </xf>
    <xf numFmtId="165" fontId="76" fillId="0" borderId="1" xfId="1" applyFont="1" applyFill="1" applyBorder="1" applyAlignment="1">
      <alignment horizontal="center" vertical="center"/>
    </xf>
    <xf numFmtId="0" fontId="146" fillId="0" borderId="5" xfId="0" applyFont="1" applyFill="1" applyBorder="1" applyAlignment="1" applyProtection="1">
      <alignment vertical="center"/>
    </xf>
    <xf numFmtId="0" fontId="146" fillId="0" borderId="9" xfId="0" applyFont="1" applyFill="1" applyBorder="1" applyAlignment="1" applyProtection="1">
      <alignment vertical="center"/>
    </xf>
    <xf numFmtId="0" fontId="150" fillId="0" borderId="1" xfId="0" applyFont="1" applyFill="1" applyBorder="1" applyAlignment="1" applyProtection="1">
      <alignment horizontal="center" vertical="center"/>
    </xf>
    <xf numFmtId="0" fontId="150" fillId="0" borderId="1" xfId="0" applyFont="1" applyFill="1" applyBorder="1" applyAlignment="1" applyProtection="1">
      <alignment horizontal="center" vertical="center" wrapText="1"/>
    </xf>
    <xf numFmtId="0" fontId="144" fillId="0" borderId="5" xfId="0" applyFont="1" applyFill="1" applyBorder="1" applyAlignment="1" applyProtection="1">
      <alignment vertical="center"/>
    </xf>
    <xf numFmtId="0" fontId="93" fillId="0" borderId="9" xfId="0" applyFont="1" applyBorder="1" applyAlignment="1">
      <alignment vertical="center"/>
    </xf>
    <xf numFmtId="0" fontId="157" fillId="0" borderId="1" xfId="0" applyFont="1" applyFill="1" applyBorder="1" applyAlignment="1" applyProtection="1">
      <alignment horizontal="center" vertical="center"/>
    </xf>
    <xf numFmtId="169" fontId="98" fillId="41" borderId="1" xfId="0" applyNumberFormat="1" applyFont="1" applyFill="1" applyBorder="1" applyAlignment="1">
      <alignment horizontal="center" vertical="center"/>
    </xf>
    <xf numFmtId="169" fontId="98" fillId="41" borderId="1" xfId="0" applyNumberFormat="1" applyFont="1" applyFill="1" applyBorder="1" applyAlignment="1" applyProtection="1">
      <alignment horizontal="center" vertical="center"/>
      <protection locked="0"/>
    </xf>
    <xf numFmtId="165" fontId="76" fillId="0" borderId="3" xfId="1" applyFont="1" applyFill="1" applyBorder="1" applyAlignment="1">
      <alignment horizontal="center" vertical="center"/>
    </xf>
    <xf numFmtId="185" fontId="76" fillId="0" borderId="12" xfId="0" applyNumberFormat="1" applyFont="1" applyFill="1" applyBorder="1" applyAlignment="1" applyProtection="1">
      <alignment horizontal="center" vertical="center"/>
    </xf>
    <xf numFmtId="185" fontId="153" fillId="0" borderId="12" xfId="0" applyNumberFormat="1" applyFont="1" applyFill="1" applyBorder="1" applyAlignment="1" applyProtection="1">
      <alignment horizontal="center" vertical="center"/>
    </xf>
    <xf numFmtId="169" fontId="98" fillId="0" borderId="3" xfId="0" applyNumberFormat="1" applyFont="1" applyFill="1" applyBorder="1" applyAlignment="1">
      <alignment horizontal="center" vertical="center"/>
    </xf>
    <xf numFmtId="166" fontId="153" fillId="0" borderId="13" xfId="0" applyNumberFormat="1" applyFont="1" applyFill="1" applyBorder="1" applyAlignment="1">
      <alignment horizontal="center" vertical="center"/>
    </xf>
    <xf numFmtId="168" fontId="153" fillId="0" borderId="3" xfId="0" applyNumberFormat="1" applyFont="1" applyFill="1" applyBorder="1" applyAlignment="1">
      <alignment horizontal="center" vertical="center"/>
    </xf>
    <xf numFmtId="0" fontId="53" fillId="0" borderId="0" xfId="0" applyFont="1" applyFill="1" applyAlignment="1">
      <alignment horizontal="center" vertical="center"/>
    </xf>
    <xf numFmtId="0" fontId="153" fillId="0" borderId="0" xfId="0" applyFont="1" applyFill="1" applyAlignment="1">
      <alignment horizontal="center" vertical="center"/>
    </xf>
    <xf numFmtId="168" fontId="76" fillId="0" borderId="0" xfId="0" applyNumberFormat="1" applyFont="1" applyFill="1" applyAlignment="1">
      <alignment horizontal="center" vertical="center"/>
    </xf>
    <xf numFmtId="0" fontId="24" fillId="0" borderId="0" xfId="0" applyFont="1">
      <alignment vertical="center"/>
    </xf>
    <xf numFmtId="179" fontId="58" fillId="0" borderId="0" xfId="0" applyNumberFormat="1" applyFont="1" applyFill="1" applyBorder="1" applyAlignment="1" applyProtection="1">
      <alignment vertical="center"/>
      <protection locked="0"/>
    </xf>
    <xf numFmtId="0" fontId="24" fillId="0" borderId="0" xfId="0" applyFont="1" applyBorder="1">
      <alignment vertical="center"/>
    </xf>
    <xf numFmtId="0" fontId="24" fillId="5" borderId="0" xfId="0" applyFont="1" applyFill="1">
      <alignment vertical="center"/>
    </xf>
    <xf numFmtId="179" fontId="55" fillId="43" borderId="0" xfId="0" applyNumberFormat="1" applyFont="1" applyFill="1" applyBorder="1" applyAlignment="1" applyProtection="1">
      <alignment vertical="center"/>
      <protection locked="0"/>
    </xf>
    <xf numFmtId="0" fontId="24" fillId="6" borderId="0" xfId="0" applyFont="1" applyFill="1" applyBorder="1" applyAlignment="1" applyProtection="1">
      <alignment horizontal="center" vertical="center" wrapText="1"/>
    </xf>
    <xf numFmtId="0" fontId="24" fillId="6" borderId="0" xfId="0" applyFont="1" applyFill="1" applyBorder="1" applyAlignment="1">
      <alignment vertical="center"/>
    </xf>
    <xf numFmtId="0" fontId="25" fillId="0" borderId="0" xfId="0" applyFont="1" applyFill="1" applyBorder="1" applyAlignment="1" applyProtection="1">
      <alignment horizontal="center" vertical="center"/>
    </xf>
    <xf numFmtId="0" fontId="24" fillId="6" borderId="0" xfId="0" applyFont="1" applyFill="1" applyBorder="1" applyAlignment="1" applyProtection="1">
      <alignment horizontal="center" vertical="center"/>
    </xf>
    <xf numFmtId="20" fontId="24" fillId="6" borderId="0" xfId="0" applyNumberFormat="1" applyFont="1" applyFill="1" applyBorder="1">
      <alignment vertical="center"/>
    </xf>
    <xf numFmtId="0" fontId="24" fillId="0" borderId="48" xfId="0" applyFont="1" applyFill="1" applyBorder="1" applyAlignment="1" applyProtection="1">
      <alignment horizontal="center" vertical="center"/>
    </xf>
    <xf numFmtId="0" fontId="24" fillId="0" borderId="49" xfId="0" applyFont="1" applyFill="1" applyBorder="1" applyAlignment="1" applyProtection="1">
      <alignment horizontal="center" vertical="center"/>
    </xf>
    <xf numFmtId="0" fontId="24" fillId="0" borderId="50"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51"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52" xfId="0" applyFont="1" applyFill="1" applyBorder="1" applyAlignment="1" applyProtection="1">
      <alignment horizontal="center" vertical="center"/>
    </xf>
    <xf numFmtId="0" fontId="158" fillId="0" borderId="0" xfId="0" applyFont="1" applyFill="1" applyBorder="1" applyAlignment="1">
      <alignment horizontal="center" vertical="center" wrapText="1"/>
    </xf>
    <xf numFmtId="0" fontId="27" fillId="0" borderId="0" xfId="0" applyFont="1" applyFill="1" applyAlignment="1" applyProtection="1">
      <alignment horizontal="center" vertical="center"/>
    </xf>
    <xf numFmtId="0" fontId="24" fillId="6" borderId="51" xfId="0" applyFont="1" applyFill="1" applyBorder="1" applyAlignment="1">
      <alignment vertical="center"/>
    </xf>
    <xf numFmtId="0" fontId="27" fillId="0" borderId="5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20" fontId="24" fillId="6" borderId="51" xfId="0" applyNumberFormat="1" applyFont="1" applyFill="1" applyBorder="1">
      <alignment vertical="center"/>
    </xf>
    <xf numFmtId="20" fontId="24" fillId="6" borderId="52" xfId="0" applyNumberFormat="1" applyFont="1" applyFill="1" applyBorder="1">
      <alignment vertical="center"/>
    </xf>
    <xf numFmtId="0" fontId="52" fillId="0" borderId="5"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24" fillId="0" borderId="52" xfId="0" applyFont="1" applyBorder="1">
      <alignment vertical="center"/>
    </xf>
    <xf numFmtId="1" fontId="24" fillId="0" borderId="51" xfId="0" applyNumberFormat="1" applyFont="1" applyFill="1" applyBorder="1" applyAlignment="1" applyProtection="1">
      <alignment horizontal="center" vertical="center"/>
    </xf>
    <xf numFmtId="1" fontId="24" fillId="0" borderId="0" xfId="0" applyNumberFormat="1" applyFont="1" applyFill="1" applyBorder="1" applyAlignment="1" applyProtection="1">
      <alignment horizontal="center" vertical="center"/>
    </xf>
    <xf numFmtId="1" fontId="24" fillId="0" borderId="52" xfId="0" applyNumberFormat="1" applyFont="1" applyFill="1" applyBorder="1" applyAlignment="1" applyProtection="1">
      <alignment horizontal="center" vertical="center"/>
    </xf>
    <xf numFmtId="0" fontId="24" fillId="0" borderId="51" xfId="0" applyFont="1" applyBorder="1">
      <alignment vertical="center"/>
    </xf>
    <xf numFmtId="0" fontId="24" fillId="5" borderId="0" xfId="0" applyFont="1" applyFill="1" applyBorder="1">
      <alignment vertical="center"/>
    </xf>
    <xf numFmtId="0" fontId="24" fillId="0" borderId="13" xfId="0" applyFont="1" applyFill="1" applyBorder="1" applyAlignment="1">
      <alignment horizontal="center" vertical="center" wrapText="1"/>
    </xf>
    <xf numFmtId="0" fontId="24" fillId="0" borderId="0" xfId="0" applyFont="1" applyFill="1" applyBorder="1" applyAlignment="1" applyProtection="1">
      <alignment horizontal="center" vertical="center" wrapText="1"/>
    </xf>
    <xf numFmtId="1" fontId="24" fillId="0" borderId="52" xfId="0" applyNumberFormat="1" applyFont="1" applyBorder="1">
      <alignment vertical="center"/>
    </xf>
    <xf numFmtId="0" fontId="24" fillId="38" borderId="0" xfId="0" applyFont="1" applyFill="1" applyBorder="1" applyAlignment="1" applyProtection="1">
      <alignment horizontal="center" vertical="center"/>
    </xf>
    <xf numFmtId="0" fontId="24" fillId="38" borderId="0" xfId="0" applyFont="1" applyFill="1" applyBorder="1" applyAlignment="1">
      <alignment horizontal="center" vertical="center" wrapText="1"/>
    </xf>
    <xf numFmtId="1" fontId="24" fillId="38" borderId="51" xfId="0" applyNumberFormat="1" applyFont="1" applyFill="1" applyBorder="1" applyAlignment="1" applyProtection="1">
      <alignment horizontal="center" vertical="center"/>
    </xf>
    <xf numFmtId="1" fontId="24" fillId="38" borderId="0" xfId="0" applyNumberFormat="1" applyFont="1" applyFill="1" applyBorder="1" applyAlignment="1" applyProtection="1">
      <alignment horizontal="center" vertical="center"/>
    </xf>
    <xf numFmtId="0" fontId="24" fillId="38" borderId="52" xfId="0" applyFont="1" applyFill="1" applyBorder="1">
      <alignment vertical="center"/>
    </xf>
    <xf numFmtId="0" fontId="24" fillId="38" borderId="0" xfId="0" applyFont="1" applyFill="1">
      <alignment vertical="center"/>
    </xf>
    <xf numFmtId="0" fontId="38" fillId="38" borderId="5" xfId="85" applyFont="1" applyFill="1" applyBorder="1" applyAlignment="1">
      <alignment vertical="center" wrapText="1"/>
    </xf>
    <xf numFmtId="0" fontId="38" fillId="38" borderId="9" xfId="85" applyFont="1" applyFill="1" applyBorder="1" applyAlignment="1">
      <alignment vertical="center" wrapText="1"/>
    </xf>
    <xf numFmtId="0" fontId="24" fillId="38" borderId="51" xfId="0" applyFont="1" applyFill="1" applyBorder="1" applyAlignment="1" applyProtection="1">
      <alignment horizontal="center" vertical="center" wrapText="1"/>
      <protection locked="0"/>
    </xf>
    <xf numFmtId="0" fontId="24" fillId="38" borderId="0" xfId="0" applyFont="1" applyFill="1" applyBorder="1" applyAlignment="1" applyProtection="1">
      <alignment horizontal="center" vertical="center" wrapText="1"/>
      <protection locked="0"/>
    </xf>
    <xf numFmtId="0" fontId="24" fillId="38" borderId="52" xfId="0" applyFont="1" applyFill="1" applyBorder="1" applyAlignment="1" applyProtection="1">
      <alignment horizontal="center" vertical="center" wrapText="1"/>
      <protection locked="0"/>
    </xf>
    <xf numFmtId="1" fontId="24" fillId="38" borderId="52" xfId="0" applyNumberFormat="1" applyFont="1" applyFill="1" applyBorder="1" applyAlignment="1" applyProtection="1">
      <alignment horizontal="center" vertical="center"/>
    </xf>
    <xf numFmtId="1" fontId="24" fillId="0" borderId="53" xfId="0" applyNumberFormat="1" applyFont="1" applyFill="1" applyBorder="1" applyAlignment="1" applyProtection="1">
      <alignment horizontal="center" vertical="center"/>
    </xf>
    <xf numFmtId="1" fontId="24" fillId="0" borderId="54" xfId="0" applyNumberFormat="1" applyFont="1" applyFill="1" applyBorder="1" applyAlignment="1" applyProtection="1">
      <alignment horizontal="center" vertical="center"/>
    </xf>
    <xf numFmtId="0" fontId="24" fillId="0" borderId="55" xfId="0" applyFont="1" applyBorder="1">
      <alignment vertical="center"/>
    </xf>
    <xf numFmtId="0" fontId="24" fillId="0" borderId="3" xfId="0" applyFont="1" applyFill="1" applyBorder="1" applyAlignment="1" applyProtection="1">
      <alignment vertical="center"/>
    </xf>
    <xf numFmtId="0" fontId="24" fillId="0" borderId="17" xfId="0" applyFont="1" applyBorder="1">
      <alignment vertical="center"/>
    </xf>
    <xf numFmtId="0" fontId="24" fillId="0" borderId="19" xfId="0" applyFont="1" applyBorder="1">
      <alignment vertical="center"/>
    </xf>
    <xf numFmtId="0" fontId="24" fillId="0" borderId="22" xfId="0" applyFont="1" applyBorder="1">
      <alignment vertical="center"/>
    </xf>
    <xf numFmtId="0" fontId="24" fillId="0" borderId="23" xfId="0" applyFont="1" applyBorder="1">
      <alignment vertical="center"/>
    </xf>
    <xf numFmtId="0" fontId="24" fillId="0" borderId="5" xfId="0" applyFont="1" applyFill="1" applyBorder="1" applyAlignment="1" applyProtection="1">
      <alignment horizontal="left" vertical="center" wrapText="1"/>
    </xf>
    <xf numFmtId="0" fontId="68" fillId="0" borderId="3" xfId="0" applyFont="1" applyFill="1" applyBorder="1" applyAlignment="1" applyProtection="1">
      <alignment vertical="center"/>
    </xf>
    <xf numFmtId="0" fontId="68" fillId="0" borderId="5" xfId="0" applyFont="1" applyFill="1" applyBorder="1" applyAlignment="1" applyProtection="1">
      <alignment horizontal="left" vertical="center" wrapText="1"/>
    </xf>
    <xf numFmtId="0" fontId="25" fillId="0" borderId="5" xfId="0" applyFont="1" applyFill="1" applyBorder="1" applyAlignment="1" applyProtection="1">
      <alignment horizontal="center" vertical="center" wrapText="1"/>
    </xf>
    <xf numFmtId="0" fontId="24" fillId="6" borderId="22" xfId="0" applyFont="1" applyFill="1" applyBorder="1" applyAlignment="1">
      <alignment vertical="center"/>
    </xf>
    <xf numFmtId="0" fontId="24" fillId="6" borderId="23" xfId="0" applyFont="1" applyFill="1" applyBorder="1">
      <alignment vertical="center"/>
    </xf>
    <xf numFmtId="20" fontId="24" fillId="6" borderId="22" xfId="0" applyNumberFormat="1" applyFont="1" applyFill="1" applyBorder="1">
      <alignment vertical="center"/>
    </xf>
    <xf numFmtId="20" fontId="24" fillId="6" borderId="23" xfId="0" applyNumberFormat="1" applyFont="1" applyFill="1" applyBorder="1">
      <alignment vertical="center"/>
    </xf>
    <xf numFmtId="0" fontId="25" fillId="6" borderId="5" xfId="0" applyFont="1" applyFill="1" applyBorder="1" applyAlignment="1" applyProtection="1">
      <alignment horizontal="center" vertical="center" wrapText="1"/>
    </xf>
    <xf numFmtId="0" fontId="14" fillId="0" borderId="5" xfId="0" applyFont="1" applyFill="1" applyBorder="1" applyAlignment="1" applyProtection="1">
      <alignment vertical="center" wrapText="1"/>
    </xf>
    <xf numFmtId="0" fontId="25" fillId="0" borderId="3" xfId="0" applyFont="1" applyFill="1" applyBorder="1" applyAlignment="1" applyProtection="1">
      <alignment horizontal="center" vertical="center"/>
    </xf>
    <xf numFmtId="0" fontId="38" fillId="0" borderId="5" xfId="0" applyFont="1" applyFill="1" applyBorder="1" applyAlignment="1">
      <alignment vertical="center" wrapText="1"/>
    </xf>
    <xf numFmtId="0" fontId="25" fillId="6" borderId="3" xfId="0" applyFont="1" applyFill="1" applyBorder="1" applyAlignment="1" applyProtection="1">
      <alignment vertical="center"/>
    </xf>
    <xf numFmtId="0" fontId="25" fillId="6" borderId="13" xfId="0" applyFont="1" applyFill="1" applyBorder="1" applyAlignment="1" applyProtection="1">
      <alignment vertical="center" wrapText="1"/>
    </xf>
    <xf numFmtId="0" fontId="24" fillId="6" borderId="22" xfId="0" applyFont="1" applyFill="1" applyBorder="1">
      <alignment vertical="center"/>
    </xf>
    <xf numFmtId="0" fontId="25" fillId="6" borderId="2" xfId="0" applyFont="1" applyFill="1" applyBorder="1" applyAlignment="1" applyProtection="1">
      <alignment vertical="center"/>
    </xf>
    <xf numFmtId="0" fontId="25" fillId="6" borderId="4" xfId="0" applyFont="1" applyFill="1" applyBorder="1" applyAlignment="1" applyProtection="1">
      <alignment vertical="center" wrapText="1"/>
    </xf>
    <xf numFmtId="1" fontId="24" fillId="0" borderId="22" xfId="0" applyNumberFormat="1" applyFont="1" applyBorder="1">
      <alignment vertical="center"/>
    </xf>
    <xf numFmtId="1" fontId="24" fillId="0" borderId="23" xfId="0" applyNumberFormat="1" applyFont="1" applyBorder="1">
      <alignment vertical="center"/>
    </xf>
    <xf numFmtId="0" fontId="24" fillId="0" borderId="26" xfId="0" applyFont="1" applyBorder="1">
      <alignment vertical="center"/>
    </xf>
    <xf numFmtId="0" fontId="24" fillId="0" borderId="28" xfId="0" applyFont="1" applyBorder="1">
      <alignment vertical="center"/>
    </xf>
    <xf numFmtId="0" fontId="52" fillId="0" borderId="1" xfId="0" applyFont="1" applyFill="1" applyBorder="1" applyAlignment="1">
      <alignment horizontal="center" vertical="center"/>
    </xf>
    <xf numFmtId="0" fontId="52" fillId="0" borderId="5" xfId="0" applyFont="1" applyFill="1" applyBorder="1" applyAlignment="1">
      <alignment horizontal="center" vertical="center"/>
    </xf>
    <xf numFmtId="0" fontId="52" fillId="0" borderId="56" xfId="86" applyFont="1" applyFill="1" applyBorder="1" applyAlignment="1" applyProtection="1">
      <alignment horizontal="center" vertical="center" shrinkToFit="1"/>
    </xf>
    <xf numFmtId="0" fontId="52" fillId="0" borderId="4" xfId="0" applyFont="1" applyFill="1" applyBorder="1" applyAlignment="1" applyProtection="1">
      <alignment horizontal="center" vertical="center"/>
    </xf>
    <xf numFmtId="0" fontId="52" fillId="0" borderId="57" xfId="86" applyFont="1" applyFill="1" applyBorder="1" applyAlignment="1" applyProtection="1">
      <alignment horizontal="center" vertical="center" shrinkToFit="1"/>
    </xf>
    <xf numFmtId="0" fontId="52" fillId="6" borderId="5" xfId="0" applyFont="1" applyFill="1" applyBorder="1" applyAlignment="1">
      <alignment vertical="center" wrapText="1"/>
    </xf>
    <xf numFmtId="0" fontId="24" fillId="6" borderId="23" xfId="0" applyFont="1" applyFill="1" applyBorder="1" applyAlignment="1">
      <alignment vertical="center"/>
    </xf>
    <xf numFmtId="0" fontId="52" fillId="6" borderId="4" xfId="0" applyFont="1" applyFill="1" applyBorder="1" applyAlignment="1" applyProtection="1">
      <alignment horizontal="center" vertical="center" wrapText="1"/>
    </xf>
    <xf numFmtId="0" fontId="24" fillId="0" borderId="0" xfId="0" applyFont="1" applyFill="1" applyBorder="1" applyAlignment="1">
      <alignment horizontal="center" vertical="center"/>
    </xf>
    <xf numFmtId="0" fontId="38" fillId="38" borderId="0" xfId="85" applyFont="1" applyFill="1" applyBorder="1" applyAlignment="1">
      <alignment vertical="center" wrapText="1"/>
    </xf>
    <xf numFmtId="180" fontId="24" fillId="38" borderId="51" xfId="0" applyNumberFormat="1" applyFont="1" applyFill="1" applyBorder="1" applyAlignment="1" applyProtection="1">
      <alignment horizontal="center" vertical="center"/>
    </xf>
    <xf numFmtId="180" fontId="24" fillId="38" borderId="0" xfId="0" applyNumberFormat="1" applyFont="1" applyFill="1" applyBorder="1" applyAlignment="1" applyProtection="1">
      <alignment horizontal="center" vertical="center"/>
    </xf>
    <xf numFmtId="180" fontId="24" fillId="38" borderId="52" xfId="0" applyNumberFormat="1" applyFont="1" applyFill="1" applyBorder="1" applyAlignment="1" applyProtection="1">
      <alignment horizontal="center" vertical="center"/>
    </xf>
    <xf numFmtId="1" fontId="24" fillId="0" borderId="28" xfId="0" applyNumberFormat="1" applyFont="1" applyBorder="1">
      <alignment vertical="center"/>
    </xf>
    <xf numFmtId="0" fontId="5" fillId="5" borderId="1" xfId="82" applyFont="1" applyFill="1" applyBorder="1"/>
    <xf numFmtId="0" fontId="50" fillId="35" borderId="0" xfId="0" applyFont="1" applyFill="1">
      <alignment vertical="center"/>
    </xf>
    <xf numFmtId="169" fontId="50" fillId="0" borderId="9" xfId="0" applyNumberFormat="1" applyFont="1" applyFill="1" applyBorder="1" applyAlignment="1">
      <alignment horizontal="center" vertical="center"/>
    </xf>
    <xf numFmtId="0" fontId="50" fillId="0" borderId="0" xfId="0" quotePrefix="1" applyFont="1" applyFill="1" applyBorder="1" applyAlignment="1" applyProtection="1">
      <alignment vertical="center"/>
    </xf>
    <xf numFmtId="0" fontId="50" fillId="0" borderId="0" xfId="0" applyFont="1" applyFill="1" applyBorder="1" applyAlignment="1" applyProtection="1">
      <alignment vertical="center"/>
    </xf>
    <xf numFmtId="169" fontId="50" fillId="0" borderId="0" xfId="0" applyNumberFormat="1" applyFont="1" applyFill="1" applyBorder="1" applyAlignment="1">
      <alignment horizontal="center" vertical="center"/>
    </xf>
    <xf numFmtId="166" fontId="50" fillId="0" borderId="0" xfId="0" applyNumberFormat="1" applyFont="1" applyFill="1" applyBorder="1" applyAlignment="1">
      <alignment horizontal="center" vertical="center"/>
    </xf>
    <xf numFmtId="168" fontId="50" fillId="0" borderId="0" xfId="0" applyNumberFormat="1" applyFont="1" applyFill="1" applyBorder="1" applyAlignment="1" applyProtection="1">
      <alignment horizontal="center" vertical="center"/>
    </xf>
    <xf numFmtId="168" fontId="50" fillId="0" borderId="0" xfId="0" applyNumberFormat="1" applyFont="1" applyFill="1" applyBorder="1" applyAlignment="1">
      <alignment horizontal="center" vertical="center"/>
    </xf>
    <xf numFmtId="171" fontId="50" fillId="0" borderId="0" xfId="0" applyNumberFormat="1" applyFont="1" applyFill="1" applyBorder="1" applyAlignment="1" applyProtection="1">
      <alignment horizontal="center" vertical="center"/>
    </xf>
    <xf numFmtId="0" fontId="50" fillId="0" borderId="0" xfId="0" applyFont="1" applyFill="1" applyBorder="1" applyAlignment="1" applyProtection="1">
      <alignment vertical="center" wrapText="1"/>
      <protection locked="0"/>
    </xf>
    <xf numFmtId="0" fontId="50" fillId="0" borderId="0" xfId="0" applyFont="1" applyFill="1" applyBorder="1" applyAlignment="1" applyProtection="1">
      <alignment vertical="center" wrapText="1"/>
    </xf>
    <xf numFmtId="0" fontId="98" fillId="0" borderId="0" xfId="0" applyFont="1" applyFill="1" applyAlignment="1">
      <alignment horizontal="left" vertical="center"/>
    </xf>
    <xf numFmtId="0" fontId="161" fillId="0" borderId="7" xfId="82" applyFont="1" applyBorder="1" applyAlignment="1">
      <alignment horizontal="centerContinuous" vertical="center"/>
    </xf>
    <xf numFmtId="0" fontId="161" fillId="0" borderId="0" xfId="82" applyFont="1" applyBorder="1" applyAlignment="1">
      <alignment horizontal="centerContinuous" vertical="center"/>
    </xf>
    <xf numFmtId="0" fontId="162" fillId="0" borderId="0" xfId="82" applyFont="1" applyAlignment="1">
      <alignment horizontal="centerContinuous"/>
    </xf>
    <xf numFmtId="0" fontId="163" fillId="0" borderId="1" xfId="0" applyFont="1" applyBorder="1" applyAlignment="1"/>
    <xf numFmtId="0" fontId="0" fillId="0" borderId="0" xfId="0" applyAlignment="1"/>
    <xf numFmtId="0" fontId="163" fillId="0" borderId="3" xfId="0" applyFont="1" applyBorder="1" applyAlignment="1"/>
    <xf numFmtId="0" fontId="163" fillId="36" borderId="3" xfId="0" applyFont="1" applyFill="1" applyBorder="1" applyAlignment="1">
      <alignment horizontal="center" vertical="center"/>
    </xf>
    <xf numFmtId="0" fontId="164" fillId="0" borderId="7" xfId="82" applyFont="1" applyBorder="1" applyAlignment="1">
      <alignment horizontal="centerContinuous" vertical="center" wrapText="1"/>
    </xf>
    <xf numFmtId="0" fontId="5"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7" fontId="97" fillId="5" borderId="1" xfId="83" applyNumberFormat="1" applyFont="1" applyFill="1" applyBorder="1" applyAlignment="1">
      <alignment horizontal="center" vertical="center"/>
    </xf>
    <xf numFmtId="0" fontId="5" fillId="6" borderId="0" xfId="82" applyFont="1" applyFill="1"/>
    <xf numFmtId="0" fontId="166" fillId="0" borderId="0" xfId="82" applyFont="1" applyFill="1"/>
    <xf numFmtId="43" fontId="0" fillId="0" borderId="1" xfId="1" applyNumberFormat="1" applyFont="1" applyFill="1" applyBorder="1" applyAlignment="1"/>
    <xf numFmtId="0" fontId="3" fillId="0" borderId="0" xfId="82" applyFont="1"/>
    <xf numFmtId="0" fontId="161" fillId="0" borderId="7" xfId="82" applyFont="1" applyFill="1" applyBorder="1" applyAlignment="1">
      <alignment horizontal="centerContinuous" vertical="center"/>
    </xf>
    <xf numFmtId="43" fontId="97" fillId="0" borderId="1" xfId="83" applyFont="1" applyFill="1" applyBorder="1" applyAlignment="1">
      <alignment horizontal="center" vertical="center"/>
    </xf>
    <xf numFmtId="0" fontId="97"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5" fillId="0" borderId="0" xfId="82" applyFill="1"/>
    <xf numFmtId="0" fontId="4" fillId="5" borderId="1" xfId="82" applyFont="1" applyFill="1" applyBorder="1"/>
    <xf numFmtId="0" fontId="4" fillId="5" borderId="0" xfId="82" applyFont="1" applyFill="1"/>
    <xf numFmtId="0" fontId="5" fillId="5" borderId="0" xfId="82" applyFont="1" applyFill="1"/>
    <xf numFmtId="14" fontId="5" fillId="0" borderId="1" xfId="82" quotePrefix="1" applyNumberFormat="1" applyFont="1" applyFill="1" applyBorder="1"/>
    <xf numFmtId="41" fontId="24" fillId="0" borderId="22" xfId="0" applyNumberFormat="1" applyFont="1" applyBorder="1">
      <alignment vertical="center"/>
    </xf>
    <xf numFmtId="41" fontId="24" fillId="0" borderId="23" xfId="0" applyNumberFormat="1" applyFont="1" applyBorder="1">
      <alignment vertical="center"/>
    </xf>
    <xf numFmtId="187" fontId="97" fillId="6" borderId="1" xfId="83" applyNumberFormat="1" applyFont="1" applyFill="1" applyBorder="1" applyAlignment="1">
      <alignment horizontal="center" vertical="center"/>
    </xf>
    <xf numFmtId="0" fontId="5" fillId="0" borderId="13" xfId="82" applyFont="1" applyBorder="1"/>
    <xf numFmtId="0" fontId="5" fillId="0" borderId="8" xfId="82" applyFont="1" applyBorder="1"/>
    <xf numFmtId="0" fontId="5" fillId="0" borderId="12" xfId="82" applyFont="1" applyBorder="1"/>
    <xf numFmtId="0" fontId="5" fillId="0" borderId="11" xfId="82" applyFont="1" applyBorder="1"/>
    <xf numFmtId="0" fontId="5" fillId="0" borderId="0" xfId="82" applyFont="1" applyBorder="1"/>
    <xf numFmtId="0" fontId="5" fillId="0" borderId="16" xfId="82" applyFont="1" applyBorder="1"/>
    <xf numFmtId="0" fontId="5" fillId="0" borderId="4" xfId="82" applyFont="1" applyBorder="1"/>
    <xf numFmtId="0" fontId="5" fillId="0" borderId="7" xfId="82" applyFont="1" applyBorder="1"/>
    <xf numFmtId="0" fontId="5" fillId="0" borderId="15" xfId="82" applyFont="1" applyBorder="1"/>
    <xf numFmtId="0" fontId="5" fillId="0" borderId="13" xfId="82" applyFont="1" applyFill="1" applyBorder="1"/>
    <xf numFmtId="0" fontId="5" fillId="0" borderId="8" xfId="82" applyFont="1" applyFill="1" applyBorder="1"/>
    <xf numFmtId="0" fontId="5" fillId="0" borderId="11" xfId="82" applyFont="1" applyFill="1" applyBorder="1"/>
    <xf numFmtId="0" fontId="5" fillId="0" borderId="0" xfId="82" applyFont="1" applyFill="1" applyBorder="1"/>
    <xf numFmtId="0" fontId="5" fillId="0" borderId="4" xfId="82" applyFont="1" applyFill="1" applyBorder="1"/>
    <xf numFmtId="0" fontId="5" fillId="0" borderId="7" xfId="82" applyFont="1" applyFill="1" applyBorder="1"/>
    <xf numFmtId="0" fontId="5" fillId="0" borderId="12" xfId="82" applyFont="1" applyFill="1" applyBorder="1"/>
    <xf numFmtId="0" fontId="5" fillId="0" borderId="16" xfId="82" applyFont="1" applyFill="1" applyBorder="1"/>
    <xf numFmtId="0" fontId="5" fillId="0" borderId="15" xfId="82" applyFont="1" applyFill="1" applyBorder="1"/>
    <xf numFmtId="166" fontId="11" fillId="0" borderId="5" xfId="0" applyNumberFormat="1" applyFont="1" applyFill="1" applyBorder="1" applyAlignment="1" applyProtection="1">
      <alignment horizontal="right" vertical="center"/>
    </xf>
    <xf numFmtId="177" fontId="11" fillId="0" borderId="14" xfId="1" applyNumberFormat="1" applyFont="1" applyFill="1" applyBorder="1" applyAlignment="1" applyProtection="1">
      <alignment horizontal="center" vertical="center"/>
    </xf>
    <xf numFmtId="0" fontId="25" fillId="0" borderId="0" xfId="0" applyFont="1" applyAlignment="1">
      <alignment horizontal="center" vertical="center"/>
    </xf>
    <xf numFmtId="0" fontId="51" fillId="0" borderId="0" xfId="0" applyFont="1" applyAlignment="1">
      <alignment horizontal="center" vertical="center"/>
    </xf>
    <xf numFmtId="14" fontId="168" fillId="4" borderId="1" xfId="0" applyNumberFormat="1" applyFont="1" applyFill="1" applyBorder="1" applyAlignment="1">
      <alignment horizontal="center" vertical="center"/>
    </xf>
    <xf numFmtId="173" fontId="169" fillId="0" borderId="1" xfId="7" applyNumberFormat="1" applyFont="1" applyFill="1" applyBorder="1" applyAlignment="1">
      <alignment horizontal="center" vertical="center"/>
    </xf>
    <xf numFmtId="20" fontId="169"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69" fillId="0" borderId="1" xfId="0" applyFont="1" applyBorder="1" applyAlignment="1">
      <alignment horizontal="center" vertical="center"/>
    </xf>
    <xf numFmtId="0" fontId="25"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58" fillId="5" borderId="1" xfId="0" applyFont="1" applyFill="1" applyBorder="1" applyAlignment="1">
      <alignment horizontal="center" vertical="center"/>
    </xf>
    <xf numFmtId="0" fontId="74" fillId="5" borderId="1" xfId="0" applyFont="1" applyFill="1" applyBorder="1" applyAlignment="1">
      <alignment horizontal="center" vertical="center"/>
    </xf>
    <xf numFmtId="0" fontId="25" fillId="0" borderId="1" xfId="0" applyFont="1" applyBorder="1" applyAlignment="1">
      <alignment horizontal="center" vertical="center"/>
    </xf>
    <xf numFmtId="0" fontId="38" fillId="0" borderId="1" xfId="0" applyFont="1" applyBorder="1" applyAlignment="1">
      <alignment horizontal="center" vertical="center"/>
    </xf>
    <xf numFmtId="0" fontId="38" fillId="0" borderId="3" xfId="0" applyFont="1" applyFill="1" applyBorder="1" applyAlignment="1" applyProtection="1"/>
    <xf numFmtId="14" fontId="25" fillId="0" borderId="7" xfId="8" applyNumberFormat="1" applyFont="1" applyFill="1" applyBorder="1" applyAlignment="1" applyProtection="1">
      <alignment wrapText="1"/>
      <protection locked="0"/>
    </xf>
    <xf numFmtId="0" fontId="38" fillId="0" borderId="1" xfId="0" applyFont="1" applyFill="1" applyBorder="1" applyAlignment="1" applyProtection="1"/>
    <xf numFmtId="0" fontId="25" fillId="0" borderId="1" xfId="0" applyFont="1" applyFill="1" applyBorder="1" applyAlignment="1" applyProtection="1"/>
    <xf numFmtId="0" fontId="24" fillId="0" borderId="0" xfId="0" applyFont="1" applyFill="1" applyAlignment="1" applyProtection="1">
      <protection locked="0"/>
    </xf>
    <xf numFmtId="188" fontId="5" fillId="5" borderId="1" xfId="82" quotePrefix="1" applyNumberFormat="1" applyFont="1" applyFill="1" applyBorder="1"/>
    <xf numFmtId="0" fontId="63" fillId="0" borderId="1"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82" fontId="156" fillId="0" borderId="1" xfId="0" applyNumberFormat="1" applyFont="1" applyFill="1" applyBorder="1" applyAlignment="1">
      <alignment horizontal="center" vertical="center"/>
    </xf>
    <xf numFmtId="0" fontId="165" fillId="35" borderId="0" xfId="84" applyFont="1" applyFill="1" applyBorder="1" applyAlignment="1" applyProtection="1">
      <alignment horizontal="center" vertical="center"/>
    </xf>
    <xf numFmtId="0" fontId="160" fillId="35" borderId="0" xfId="84" applyFont="1" applyFill="1" applyBorder="1" applyAlignment="1" applyProtection="1">
      <alignment horizontal="center" vertical="center"/>
    </xf>
    <xf numFmtId="0" fontId="38" fillId="35" borderId="0" xfId="0" applyFont="1" applyFill="1" applyBorder="1" applyAlignment="1">
      <alignment vertical="center"/>
    </xf>
    <xf numFmtId="0" fontId="161" fillId="0" borderId="7" xfId="82" applyFont="1" applyBorder="1" applyAlignment="1">
      <alignment horizontal="left" vertical="center"/>
    </xf>
    <xf numFmtId="0" fontId="5" fillId="0" borderId="1" xfId="82" applyFont="1" applyFill="1" applyBorder="1"/>
    <xf numFmtId="0" fontId="97" fillId="0" borderId="1" xfId="82" applyFont="1" applyBorder="1"/>
    <xf numFmtId="0" fontId="172" fillId="0" borderId="7" xfId="82" applyFont="1" applyBorder="1" applyAlignment="1">
      <alignment horizontal="centerContinuous" vertical="center"/>
    </xf>
    <xf numFmtId="0" fontId="172" fillId="0" borderId="7" xfId="82" applyFont="1" applyFill="1" applyBorder="1" applyAlignment="1">
      <alignment horizontal="centerContinuous" vertical="center"/>
    </xf>
    <xf numFmtId="0" fontId="173" fillId="0" borderId="0" xfId="82" applyFont="1"/>
    <xf numFmtId="0" fontId="172" fillId="36" borderId="1" xfId="82" applyFont="1" applyFill="1" applyBorder="1" applyAlignment="1">
      <alignment horizontal="center" vertical="center"/>
    </xf>
    <xf numFmtId="43" fontId="172" fillId="0" borderId="1" xfId="83" applyFont="1" applyFill="1" applyBorder="1" applyAlignment="1">
      <alignment horizontal="center" vertical="center"/>
    </xf>
    <xf numFmtId="0" fontId="172" fillId="0" borderId="0" xfId="82" applyFont="1"/>
    <xf numFmtId="187" fontId="172" fillId="5" borderId="1" xfId="83" applyNumberFormat="1" applyFont="1" applyFill="1" applyBorder="1" applyAlignment="1">
      <alignment horizontal="center" vertical="center"/>
    </xf>
    <xf numFmtId="187" fontId="172" fillId="6" borderId="1" xfId="83" applyNumberFormat="1" applyFont="1" applyFill="1" applyBorder="1" applyAlignment="1">
      <alignment horizontal="center" vertical="center"/>
    </xf>
    <xf numFmtId="0" fontId="173" fillId="0" borderId="1" xfId="82" applyFont="1" applyBorder="1"/>
    <xf numFmtId="43" fontId="174" fillId="0" borderId="1" xfId="1" applyNumberFormat="1" applyFont="1" applyFill="1" applyBorder="1" applyAlignment="1"/>
    <xf numFmtId="0" fontId="173" fillId="0" borderId="1" xfId="82" applyFont="1" applyFill="1" applyBorder="1"/>
    <xf numFmtId="0" fontId="175" fillId="0" borderId="0" xfId="82" applyFont="1"/>
    <xf numFmtId="43" fontId="174" fillId="0" borderId="0" xfId="83" applyFont="1" applyFill="1"/>
    <xf numFmtId="187" fontId="172" fillId="5" borderId="5" xfId="83" applyNumberFormat="1" applyFont="1" applyFill="1" applyBorder="1" applyAlignment="1">
      <alignment horizontal="center" vertical="center"/>
    </xf>
    <xf numFmtId="0" fontId="172" fillId="0" borderId="1" xfId="82" applyFont="1" applyBorder="1"/>
    <xf numFmtId="0" fontId="98" fillId="35" borderId="61" xfId="84" applyFont="1" applyFill="1" applyBorder="1" applyAlignment="1" applyProtection="1">
      <alignment vertical="center"/>
    </xf>
    <xf numFmtId="0" fontId="171" fillId="0" borderId="7" xfId="82" applyFont="1" applyFill="1" applyBorder="1" applyAlignment="1">
      <alignment horizontal="left" vertical="center"/>
    </xf>
    <xf numFmtId="0" fontId="171" fillId="0" borderId="7" xfId="82" applyFont="1" applyBorder="1" applyAlignment="1">
      <alignment horizontal="left" vertical="center"/>
    </xf>
    <xf numFmtId="0" fontId="18" fillId="35" borderId="0" xfId="0" applyFont="1" applyFill="1">
      <alignment vertical="center"/>
    </xf>
    <xf numFmtId="189" fontId="174" fillId="10" borderId="1" xfId="82" quotePrefix="1" applyNumberFormat="1" applyFont="1" applyFill="1" applyBorder="1" applyAlignment="1">
      <alignment horizontal="left"/>
    </xf>
    <xf numFmtId="0" fontId="172" fillId="36" borderId="1" xfId="82" applyFont="1" applyFill="1" applyBorder="1" applyAlignment="1">
      <alignment horizontal="left" vertical="center"/>
    </xf>
    <xf numFmtId="0" fontId="175" fillId="0" borderId="0" xfId="82" applyFont="1" applyAlignment="1">
      <alignment horizontal="left"/>
    </xf>
    <xf numFmtId="189" fontId="174" fillId="0" borderId="1" xfId="82" quotePrefix="1" applyNumberFormat="1" applyFont="1" applyFill="1" applyBorder="1" applyAlignment="1">
      <alignment horizontal="left"/>
    </xf>
    <xf numFmtId="0" fontId="97" fillId="36" borderId="1" xfId="82" applyFont="1" applyFill="1" applyBorder="1" applyAlignment="1">
      <alignment horizontal="left" vertical="center"/>
    </xf>
    <xf numFmtId="0" fontId="96" fillId="0" borderId="0" xfId="82" applyFont="1" applyAlignment="1">
      <alignment horizontal="left"/>
    </xf>
    <xf numFmtId="189" fontId="173" fillId="0" borderId="1" xfId="82" quotePrefix="1" applyNumberFormat="1" applyFont="1" applyFill="1" applyBorder="1" applyAlignment="1">
      <alignment horizontal="left"/>
    </xf>
    <xf numFmtId="0" fontId="172" fillId="0" borderId="1" xfId="82" applyFont="1" applyFill="1" applyBorder="1" applyAlignment="1">
      <alignment horizontal="left" vertical="center"/>
    </xf>
    <xf numFmtId="0" fontId="175" fillId="0" borderId="0" xfId="82" applyFont="1" applyFill="1" applyAlignment="1">
      <alignment horizontal="left"/>
    </xf>
    <xf numFmtId="189" fontId="174" fillId="35" borderId="1" xfId="82" quotePrefix="1" applyNumberFormat="1" applyFont="1" applyFill="1" applyBorder="1" applyAlignment="1">
      <alignment horizontal="left"/>
    </xf>
    <xf numFmtId="0" fontId="173" fillId="35" borderId="1" xfId="82" applyFont="1" applyFill="1" applyBorder="1"/>
    <xf numFmtId="0" fontId="173" fillId="35" borderId="0" xfId="82" applyFont="1" applyFill="1"/>
    <xf numFmtId="14" fontId="5" fillId="5" borderId="1" xfId="82" quotePrefix="1" applyNumberFormat="1" applyFont="1" applyFill="1" applyBorder="1"/>
    <xf numFmtId="0" fontId="5" fillId="5" borderId="11" xfId="82" applyFont="1" applyFill="1" applyBorder="1"/>
    <xf numFmtId="0" fontId="5" fillId="5" borderId="0" xfId="82" applyFont="1" applyFill="1" applyBorder="1"/>
    <xf numFmtId="0" fontId="5" fillId="5" borderId="16" xfId="82" applyFont="1" applyFill="1" applyBorder="1"/>
    <xf numFmtId="0" fontId="98" fillId="35" borderId="0" xfId="84" applyFont="1" applyFill="1" applyBorder="1" applyAlignment="1" applyProtection="1">
      <alignment horizontal="center" vertical="center"/>
    </xf>
    <xf numFmtId="189" fontId="143" fillId="35" borderId="0" xfId="0" quotePrefix="1" applyNumberFormat="1" applyFont="1" applyFill="1" applyBorder="1" applyAlignment="1" applyProtection="1">
      <alignment horizontal="center" vertical="center"/>
      <protection locked="0"/>
    </xf>
    <xf numFmtId="189" fontId="143" fillId="35" borderId="0" xfId="0" applyNumberFormat="1" applyFont="1" applyFill="1" applyBorder="1" applyAlignment="1" applyProtection="1">
      <alignment horizontal="center" vertical="center"/>
      <protection locked="0"/>
    </xf>
    <xf numFmtId="0" fontId="98" fillId="35" borderId="0" xfId="84" applyFont="1" applyFill="1" applyBorder="1" applyAlignment="1" applyProtection="1">
      <alignment vertical="center"/>
    </xf>
    <xf numFmtId="0" fontId="52" fillId="0" borderId="0" xfId="4" applyFont="1">
      <alignment vertical="center"/>
    </xf>
    <xf numFmtId="0" fontId="52" fillId="0" borderId="1" xfId="4" applyFont="1" applyBorder="1" applyAlignment="1">
      <alignment horizontal="center" vertical="center"/>
    </xf>
    <xf numFmtId="0" fontId="52" fillId="0" borderId="1" xfId="4" applyFont="1" applyBorder="1">
      <alignment vertical="center"/>
    </xf>
    <xf numFmtId="0" fontId="52" fillId="0" borderId="1" xfId="4" applyFont="1" applyFill="1" applyBorder="1">
      <alignment vertical="center"/>
    </xf>
    <xf numFmtId="0" fontId="52" fillId="0" borderId="0" xfId="4" applyFont="1" applyFill="1">
      <alignment vertical="center"/>
    </xf>
    <xf numFmtId="0" fontId="52" fillId="0" borderId="5" xfId="0" applyFont="1" applyFill="1" applyBorder="1" applyAlignment="1" applyProtection="1">
      <alignment horizontal="center" vertical="center" wrapText="1"/>
    </xf>
    <xf numFmtId="0" fontId="14" fillId="0" borderId="0" xfId="0" applyFont="1" applyFill="1" applyBorder="1" applyAlignment="1">
      <alignment horizontal="center" vertical="center" wrapText="1"/>
    </xf>
    <xf numFmtId="0" fontId="38" fillId="0" borderId="0" xfId="0" applyFont="1" applyAlignment="1">
      <alignment horizontal="left" vertical="center"/>
    </xf>
    <xf numFmtId="0" fontId="10" fillId="0" borderId="6" xfId="0" applyFont="1" applyBorder="1" applyAlignment="1" applyProtection="1">
      <alignment horizontal="center" vertical="center"/>
    </xf>
    <xf numFmtId="49" fontId="91" fillId="0" borderId="1" xfId="0" applyNumberFormat="1"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xf>
    <xf numFmtId="0" fontId="55" fillId="0" borderId="0" xfId="0" applyFont="1" applyFill="1" applyBorder="1" applyAlignment="1">
      <alignment horizontal="center" vertical="center" wrapText="1"/>
    </xf>
    <xf numFmtId="0" fontId="30" fillId="0" borderId="0" xfId="8" applyFont="1" applyFill="1" applyBorder="1" applyAlignment="1" applyProtection="1">
      <alignment horizontal="center" vertical="center"/>
    </xf>
    <xf numFmtId="9" fontId="38" fillId="0" borderId="0" xfId="0" applyNumberFormat="1" applyFont="1" applyFill="1" applyBorder="1" applyAlignment="1" applyProtection="1">
      <alignment horizontal="center" vertical="center"/>
    </xf>
    <xf numFmtId="0" fontId="24" fillId="0" borderId="10" xfId="8" applyFont="1" applyFill="1" applyBorder="1" applyAlignment="1" applyProtection="1">
      <alignment horizontal="center" vertical="center" wrapText="1"/>
    </xf>
    <xf numFmtId="0" fontId="56" fillId="0" borderId="0" xfId="0" applyFont="1" applyBorder="1" applyAlignment="1" applyProtection="1">
      <alignment horizontal="center" vertical="center" wrapText="1"/>
      <protection locked="0"/>
    </xf>
    <xf numFmtId="0" fontId="57" fillId="0" borderId="0"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wrapText="1"/>
    </xf>
    <xf numFmtId="0" fontId="68" fillId="0" borderId="80" xfId="0" applyFont="1" applyFill="1" applyBorder="1" applyAlignment="1" applyProtection="1">
      <alignment vertical="center" wrapText="1"/>
    </xf>
    <xf numFmtId="169" fontId="51" fillId="0" borderId="80" xfId="0" applyNumberFormat="1" applyFont="1" applyFill="1" applyBorder="1" applyAlignment="1" applyProtection="1">
      <alignment horizontal="center" vertical="center"/>
    </xf>
    <xf numFmtId="167" fontId="68" fillId="0" borderId="81" xfId="8" applyNumberFormat="1" applyFont="1" applyFill="1" applyBorder="1" applyAlignment="1" applyProtection="1">
      <alignment horizontal="center" vertical="center"/>
    </xf>
    <xf numFmtId="166" fontId="68" fillId="0" borderId="82" xfId="8" applyNumberFormat="1" applyFont="1" applyFill="1" applyBorder="1" applyAlignment="1" applyProtection="1">
      <alignment horizontal="center" vertical="center"/>
    </xf>
    <xf numFmtId="167" fontId="192" fillId="0" borderId="81" xfId="0" applyNumberFormat="1" applyFont="1" applyFill="1" applyBorder="1" applyAlignment="1" applyProtection="1">
      <alignment horizontal="center" vertical="center"/>
    </xf>
    <xf numFmtId="166" fontId="51" fillId="0" borderId="82" xfId="0" applyNumberFormat="1" applyFont="1" applyFill="1" applyBorder="1" applyAlignment="1" applyProtection="1">
      <alignment horizontal="center" vertical="center"/>
    </xf>
    <xf numFmtId="170" fontId="68" fillId="0" borderId="81" xfId="8" applyNumberFormat="1" applyFont="1" applyFill="1" applyBorder="1" applyAlignment="1" applyProtection="1">
      <alignment vertical="center"/>
    </xf>
    <xf numFmtId="170" fontId="68" fillId="0" borderId="82" xfId="8" applyNumberFormat="1" applyFont="1" applyFill="1" applyBorder="1" applyAlignment="1" applyProtection="1">
      <alignment vertical="center"/>
    </xf>
    <xf numFmtId="173" fontId="51" fillId="0" borderId="80" xfId="7" applyNumberFormat="1" applyFont="1" applyFill="1" applyBorder="1" applyAlignment="1" applyProtection="1">
      <alignment horizontal="center" vertical="center"/>
    </xf>
    <xf numFmtId="10" fontId="51" fillId="0" borderId="83" xfId="7" applyNumberFormat="1" applyFont="1" applyFill="1" applyBorder="1" applyAlignment="1" applyProtection="1">
      <alignment horizontal="center" vertical="center"/>
    </xf>
    <xf numFmtId="0" fontId="68" fillId="0" borderId="84" xfId="0" applyFont="1" applyFill="1" applyBorder="1" applyAlignment="1" applyProtection="1">
      <alignment vertical="center"/>
    </xf>
    <xf numFmtId="166" fontId="68" fillId="0" borderId="85" xfId="8" applyNumberFormat="1" applyFont="1" applyFill="1" applyBorder="1" applyAlignment="1" applyProtection="1">
      <alignment horizontal="center" vertical="center"/>
    </xf>
    <xf numFmtId="0" fontId="105" fillId="0" borderId="13" xfId="8" applyFont="1" applyFill="1" applyBorder="1" applyAlignment="1" applyProtection="1">
      <alignment horizontal="center" vertical="center" wrapText="1"/>
    </xf>
    <xf numFmtId="0" fontId="105" fillId="0" borderId="8" xfId="8" applyFont="1" applyFill="1" applyBorder="1" applyAlignment="1" applyProtection="1">
      <alignment horizontal="center" vertical="center" wrapText="1"/>
    </xf>
    <xf numFmtId="0" fontId="105" fillId="0" borderId="12" xfId="8" applyFont="1" applyFill="1" applyBorder="1" applyAlignment="1" applyProtection="1">
      <alignment horizontal="center" vertical="center" wrapText="1"/>
    </xf>
    <xf numFmtId="0" fontId="105" fillId="0" borderId="11" xfId="8" applyFont="1" applyFill="1" applyBorder="1" applyAlignment="1" applyProtection="1">
      <alignment horizontal="center" vertical="center" wrapText="1"/>
    </xf>
    <xf numFmtId="0" fontId="105" fillId="0" borderId="0" xfId="8" applyFont="1" applyFill="1" applyBorder="1" applyAlignment="1" applyProtection="1">
      <alignment horizontal="center" vertical="center" wrapText="1"/>
    </xf>
    <xf numFmtId="0" fontId="105" fillId="0" borderId="16" xfId="8" applyFont="1" applyFill="1" applyBorder="1" applyAlignment="1" applyProtection="1">
      <alignment horizontal="center" vertical="center" wrapText="1"/>
    </xf>
    <xf numFmtId="0" fontId="105" fillId="0" borderId="4" xfId="8" applyFont="1" applyFill="1" applyBorder="1" applyAlignment="1" applyProtection="1">
      <alignment horizontal="center" vertical="center" wrapText="1"/>
    </xf>
    <xf numFmtId="0" fontId="105" fillId="0" borderId="69" xfId="8" applyFont="1" applyFill="1" applyBorder="1" applyAlignment="1" applyProtection="1">
      <alignment horizontal="center" vertical="center" wrapText="1"/>
    </xf>
    <xf numFmtId="0" fontId="105" fillId="0" borderId="70" xfId="8" applyFont="1" applyFill="1" applyBorder="1" applyAlignment="1" applyProtection="1">
      <alignment horizontal="center" vertical="center" wrapText="1"/>
    </xf>
    <xf numFmtId="0" fontId="51" fillId="0" borderId="61" xfId="0" applyFont="1" applyFill="1" applyBorder="1" applyAlignment="1" applyProtection="1">
      <alignment horizontal="center" vertical="center" wrapText="1"/>
      <protection locked="0"/>
    </xf>
    <xf numFmtId="0" fontId="51" fillId="0" borderId="16" xfId="0" applyFont="1" applyFill="1" applyBorder="1" applyAlignment="1" applyProtection="1">
      <alignment horizontal="center" vertical="center" wrapText="1"/>
      <protection locked="0"/>
    </xf>
    <xf numFmtId="0" fontId="51" fillId="0" borderId="4" xfId="0" applyFont="1" applyFill="1" applyBorder="1" applyAlignment="1" applyProtection="1">
      <alignment horizontal="center" vertical="center" wrapText="1"/>
      <protection locked="0"/>
    </xf>
    <xf numFmtId="0" fontId="51" fillId="0" borderId="69" xfId="0" applyFont="1" applyFill="1" applyBorder="1" applyAlignment="1" applyProtection="1">
      <alignment horizontal="center" vertical="center" wrapText="1"/>
      <protection locked="0"/>
    </xf>
    <xf numFmtId="0" fontId="51" fillId="0" borderId="70" xfId="0" applyFont="1" applyFill="1" applyBorder="1" applyAlignment="1" applyProtection="1">
      <alignment horizontal="center" vertical="center" wrapText="1"/>
      <protection locked="0"/>
    </xf>
    <xf numFmtId="0" fontId="68" fillId="0" borderId="0" xfId="8" applyFont="1" applyFill="1" applyAlignment="1" applyProtection="1">
      <alignment horizontal="center" vertical="center"/>
    </xf>
    <xf numFmtId="0" fontId="193" fillId="0" borderId="0" xfId="0" applyFont="1" applyAlignment="1" applyProtection="1">
      <alignment vertical="center" wrapText="1"/>
    </xf>
    <xf numFmtId="190" fontId="51" fillId="0" borderId="81" xfId="0" applyNumberFormat="1" applyFont="1" applyFill="1" applyBorder="1" applyAlignment="1" applyProtection="1">
      <alignment vertical="center"/>
    </xf>
    <xf numFmtId="0" fontId="68" fillId="0" borderId="69" xfId="8" applyFont="1" applyFill="1" applyBorder="1" applyAlignment="1" applyProtection="1">
      <alignment horizontal="center" vertical="center" wrapText="1"/>
      <protection locked="0"/>
    </xf>
    <xf numFmtId="190" fontId="51" fillId="0" borderId="81" xfId="0" applyNumberFormat="1" applyFont="1" applyFill="1" applyBorder="1" applyAlignment="1" applyProtection="1">
      <alignment horizontal="center" vertical="center"/>
    </xf>
    <xf numFmtId="0" fontId="68" fillId="0" borderId="7" xfId="8"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protection locked="0"/>
    </xf>
    <xf numFmtId="0" fontId="193"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protection locked="0"/>
    </xf>
    <xf numFmtId="0" fontId="193" fillId="0" borderId="0" xfId="0" applyFont="1" applyFill="1" applyAlignment="1" applyProtection="1">
      <alignment horizontal="center" vertical="center" wrapText="1"/>
    </xf>
    <xf numFmtId="0" fontId="151" fillId="0" borderId="0" xfId="0" applyFont="1" applyFill="1" applyBorder="1" applyAlignment="1" applyProtection="1">
      <alignment horizontal="left" vertical="center" wrapText="1"/>
    </xf>
    <xf numFmtId="0" fontId="151" fillId="0" borderId="0" xfId="0" applyFont="1" applyFill="1" applyBorder="1" applyAlignment="1" applyProtection="1">
      <alignment horizontal="center" vertical="center"/>
    </xf>
    <xf numFmtId="0" fontId="151" fillId="0" borderId="0" xfId="0" applyFont="1" applyFill="1" applyAlignment="1" applyProtection="1">
      <alignment horizontal="center" vertical="center"/>
    </xf>
    <xf numFmtId="0" fontId="194" fillId="0" borderId="0" xfId="0" applyFont="1" applyAlignment="1" applyProtection="1">
      <alignment horizontal="center" vertical="center" wrapText="1"/>
    </xf>
    <xf numFmtId="167" fontId="68" fillId="0" borderId="84" xfId="8" applyNumberFormat="1" applyFont="1" applyFill="1" applyBorder="1" applyAlignment="1" applyProtection="1">
      <alignment horizontal="center" vertical="center"/>
    </xf>
    <xf numFmtId="0" fontId="52" fillId="0" borderId="7" xfId="8" applyFont="1" applyFill="1" applyBorder="1" applyAlignment="1" applyProtection="1">
      <alignment horizontal="center" vertical="center" wrapText="1"/>
    </xf>
    <xf numFmtId="0" fontId="52" fillId="0" borderId="3" xfId="0" applyFont="1" applyFill="1" applyBorder="1" applyAlignment="1" applyProtection="1">
      <alignment vertical="center" wrapText="1"/>
    </xf>
    <xf numFmtId="167" fontId="52" fillId="0" borderId="5" xfId="8" applyNumberFormat="1" applyFont="1" applyFill="1" applyBorder="1" applyAlignment="1" applyProtection="1">
      <alignment horizontal="center" vertical="center"/>
    </xf>
    <xf numFmtId="177" fontId="52" fillId="0" borderId="6" xfId="8" applyNumberFormat="1" applyFont="1" applyFill="1" applyBorder="1" applyAlignment="1" applyProtection="1">
      <alignment horizontal="center" vertical="center"/>
    </xf>
    <xf numFmtId="166" fontId="52" fillId="0" borderId="1" xfId="8" applyNumberFormat="1" applyFont="1" applyFill="1" applyBorder="1" applyAlignment="1" applyProtection="1">
      <alignment horizontal="center" vertical="center"/>
    </xf>
    <xf numFmtId="176" fontId="50" fillId="0" borderId="14" xfId="0" applyNumberFormat="1" applyFont="1" applyFill="1" applyBorder="1" applyAlignment="1" applyProtection="1">
      <alignment horizontal="center" vertical="center"/>
    </xf>
    <xf numFmtId="170" fontId="52" fillId="0" borderId="5" xfId="8" applyNumberFormat="1" applyFont="1" applyFill="1" applyBorder="1" applyAlignment="1" applyProtection="1">
      <alignment vertical="center"/>
    </xf>
    <xf numFmtId="170" fontId="52" fillId="0" borderId="6" xfId="8" applyNumberFormat="1" applyFont="1" applyFill="1" applyBorder="1" applyAlignment="1" applyProtection="1">
      <alignment vertical="center"/>
    </xf>
    <xf numFmtId="176" fontId="52" fillId="0" borderId="6" xfId="8" applyNumberFormat="1" applyFont="1" applyFill="1" applyBorder="1" applyAlignment="1" applyProtection="1">
      <alignment horizontal="center" vertical="center"/>
    </xf>
    <xf numFmtId="0" fontId="52" fillId="0" borderId="0" xfId="8" applyFont="1" applyFill="1" applyAlignment="1" applyProtection="1">
      <alignment horizontal="center" vertical="center"/>
    </xf>
    <xf numFmtId="0" fontId="52" fillId="0" borderId="1" xfId="8"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59" fillId="0" borderId="1" xfId="8" applyFont="1" applyFill="1" applyBorder="1" applyAlignment="1" applyProtection="1">
      <alignment horizontal="center" vertical="center"/>
    </xf>
    <xf numFmtId="0" fontId="55" fillId="0" borderId="0" xfId="8" applyFont="1" applyFill="1" applyAlignment="1" applyProtection="1">
      <alignment horizontal="center" vertical="center"/>
    </xf>
    <xf numFmtId="14" fontId="52" fillId="0" borderId="7" xfId="8" applyNumberFormat="1" applyFont="1" applyFill="1" applyBorder="1" applyAlignment="1" applyProtection="1">
      <alignment horizontal="center" vertical="center" wrapText="1"/>
      <protection locked="0"/>
    </xf>
    <xf numFmtId="20" fontId="50" fillId="0" borderId="7" xfId="8" applyNumberFormat="1" applyFont="1" applyFill="1" applyBorder="1" applyAlignment="1" applyProtection="1">
      <alignment horizontal="center" vertical="center" wrapText="1"/>
      <protection locked="0"/>
    </xf>
    <xf numFmtId="179" fontId="52" fillId="0" borderId="7" xfId="0" applyNumberFormat="1" applyFont="1" applyFill="1" applyBorder="1" applyAlignment="1" applyProtection="1">
      <alignment horizontal="center" vertical="center"/>
      <protection locked="0"/>
    </xf>
    <xf numFmtId="0" fontId="50" fillId="0" borderId="1" xfId="8" applyNumberFormat="1" applyFont="1" applyFill="1" applyBorder="1" applyAlignment="1" applyProtection="1">
      <alignment horizontal="center" vertical="center"/>
      <protection locked="0"/>
    </xf>
    <xf numFmtId="0" fontId="52" fillId="0" borderId="7" xfId="8" applyFont="1" applyFill="1" applyBorder="1" applyAlignment="1" applyProtection="1">
      <alignment horizontal="center" vertical="center"/>
      <protection locked="0"/>
    </xf>
    <xf numFmtId="0" fontId="52" fillId="0" borderId="0" xfId="8" applyFont="1" applyFill="1" applyBorder="1" applyAlignment="1" applyProtection="1">
      <alignment horizontal="center" vertical="center"/>
      <protection locked="0"/>
    </xf>
    <xf numFmtId="0" fontId="52" fillId="0" borderId="1" xfId="0" applyFont="1" applyFill="1" applyBorder="1" applyAlignment="1" applyProtection="1">
      <alignment vertical="center" wrapText="1"/>
    </xf>
    <xf numFmtId="0" fontId="53" fillId="0" borderId="7" xfId="0" applyFont="1" applyBorder="1" applyAlignment="1" applyProtection="1">
      <alignment vertical="center" wrapText="1"/>
    </xf>
    <xf numFmtId="0" fontId="53" fillId="0" borderId="7" xfId="0" applyFont="1" applyFill="1" applyBorder="1" applyAlignment="1" applyProtection="1">
      <alignment vertical="center" wrapText="1"/>
    </xf>
    <xf numFmtId="0" fontId="53" fillId="0" borderId="0" xfId="0" applyFont="1" applyFill="1" applyBorder="1" applyAlignment="1" applyProtection="1">
      <alignment horizontal="left" vertical="center" wrapText="1"/>
    </xf>
    <xf numFmtId="166" fontId="53" fillId="0" borderId="5" xfId="0" applyNumberFormat="1" applyFont="1" applyFill="1" applyBorder="1" applyAlignment="1" applyProtection="1">
      <alignment horizontal="right" vertical="center"/>
    </xf>
    <xf numFmtId="177" fontId="53" fillId="0" borderId="14" xfId="1" applyNumberFormat="1" applyFont="1" applyFill="1" applyBorder="1" applyAlignment="1" applyProtection="1">
      <alignment horizontal="center" vertical="center"/>
    </xf>
    <xf numFmtId="168" fontId="53" fillId="0" borderId="9"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176" fontId="53" fillId="0" borderId="14" xfId="1" applyNumberFormat="1" applyFont="1" applyFill="1" applyBorder="1" applyAlignment="1" applyProtection="1">
      <alignment horizontal="center" vertical="center"/>
    </xf>
    <xf numFmtId="173" fontId="53" fillId="0" borderId="1" xfId="7" applyNumberFormat="1" applyFont="1" applyFill="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98" fillId="0" borderId="1" xfId="0" applyFont="1" applyFill="1" applyBorder="1" applyAlignment="1" applyProtection="1">
      <alignment horizontal="center" vertical="center"/>
    </xf>
    <xf numFmtId="0" fontId="53" fillId="0" borderId="0" xfId="0" applyFont="1" applyBorder="1" applyAlignment="1" applyProtection="1">
      <alignment horizontal="center" vertical="center"/>
    </xf>
    <xf numFmtId="0" fontId="53" fillId="0" borderId="0" xfId="0" applyFont="1" applyFill="1" applyBorder="1" applyAlignment="1" applyProtection="1">
      <alignment horizontal="center" vertical="center"/>
    </xf>
    <xf numFmtId="0" fontId="53" fillId="0" borderId="0" xfId="0" applyFont="1" applyAlignment="1" applyProtection="1">
      <alignment horizontal="center" vertical="center"/>
    </xf>
    <xf numFmtId="0" fontId="53" fillId="0" borderId="0" xfId="0" applyFont="1" applyFill="1" applyAlignment="1" applyProtection="1">
      <alignment horizontal="left" vertical="center"/>
    </xf>
    <xf numFmtId="0" fontId="53" fillId="0" borderId="0" xfId="0" applyFont="1" applyFill="1" applyAlignment="1" applyProtection="1">
      <alignment horizontal="center" vertical="center"/>
    </xf>
    <xf numFmtId="0" fontId="133" fillId="0" borderId="0" xfId="0" applyFont="1" applyAlignment="1" applyProtection="1">
      <alignment horizontal="center" vertical="center" wrapText="1"/>
    </xf>
    <xf numFmtId="0" fontId="14" fillId="0" borderId="1" xfId="0" applyFont="1" applyFill="1" applyBorder="1" applyAlignment="1">
      <alignment horizontal="center" vertical="center" wrapText="1"/>
    </xf>
    <xf numFmtId="0" fontId="50" fillId="0" borderId="5" xfId="0" applyFont="1" applyFill="1" applyBorder="1" applyAlignment="1" applyProtection="1">
      <alignment vertical="center" wrapText="1"/>
      <protection locked="0"/>
    </xf>
    <xf numFmtId="0" fontId="50" fillId="0" borderId="9" xfId="0" applyFont="1" applyFill="1" applyBorder="1" applyAlignment="1" applyProtection="1">
      <alignment vertical="center" wrapText="1"/>
      <protection locked="0"/>
    </xf>
    <xf numFmtId="165" fontId="38" fillId="0" borderId="1" xfId="1" applyFont="1" applyFill="1" applyBorder="1" applyAlignment="1" applyProtection="1">
      <alignment horizontal="center" vertical="center"/>
    </xf>
    <xf numFmtId="0" fontId="10" fillId="0" borderId="9" xfId="0" applyFont="1" applyFill="1" applyBorder="1" applyAlignment="1" applyProtection="1">
      <alignment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5"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quotePrefix="1" applyFont="1" applyFill="1" applyBorder="1" applyAlignment="1" applyProtection="1">
      <alignment horizontal="centerContinuous" vertical="center"/>
    </xf>
    <xf numFmtId="0" fontId="38" fillId="4" borderId="6" xfId="0" applyFont="1" applyFill="1" applyBorder="1" applyAlignment="1" applyProtection="1">
      <alignment horizontal="centerContinuous" vertical="center"/>
    </xf>
    <xf numFmtId="170" fontId="38" fillId="0" borderId="1" xfId="0" applyNumberFormat="1" applyFont="1" applyFill="1" applyBorder="1" applyAlignment="1" applyProtection="1">
      <alignment vertical="center"/>
      <protection locked="0"/>
    </xf>
    <xf numFmtId="0" fontId="38" fillId="0" borderId="1" xfId="8" applyFont="1" applyFill="1" applyBorder="1" applyAlignment="1" applyProtection="1">
      <alignment horizontal="center" vertical="center"/>
      <protection locked="0"/>
    </xf>
    <xf numFmtId="0" fontId="38" fillId="4" borderId="15" xfId="0" applyFont="1" applyFill="1" applyBorder="1" applyAlignment="1" applyProtection="1">
      <alignment horizontal="centerContinuous" vertical="center"/>
    </xf>
    <xf numFmtId="0" fontId="24" fillId="0" borderId="0" xfId="0" applyFont="1" applyAlignment="1">
      <alignment vertical="center"/>
    </xf>
    <xf numFmtId="49" fontId="200"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4"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4" fillId="0" borderId="6" xfId="0" applyNumberFormat="1" applyFont="1" applyFill="1" applyBorder="1" applyAlignment="1">
      <alignment horizontal="center" vertical="center" wrapText="1"/>
    </xf>
    <xf numFmtId="0" fontId="201" fillId="0" borderId="0" xfId="0" applyFont="1" applyFill="1" applyAlignment="1" applyProtection="1">
      <alignment horizontal="center" vertical="center" wrapText="1"/>
    </xf>
    <xf numFmtId="49" fontId="200" fillId="0" borderId="1" xfId="0" applyNumberFormat="1" applyFont="1" applyBorder="1" applyAlignment="1">
      <alignment horizontal="center" vertical="center"/>
    </xf>
    <xf numFmtId="0" fontId="201" fillId="0" borderId="0" xfId="0" applyFont="1" applyAlignment="1" applyProtection="1">
      <alignment vertical="center" wrapText="1"/>
    </xf>
    <xf numFmtId="0" fontId="38" fillId="14" borderId="5" xfId="0" applyFont="1" applyFill="1" applyBorder="1" applyAlignment="1" applyProtection="1">
      <alignment horizontal="center" vertical="center" wrapText="1"/>
    </xf>
    <xf numFmtId="0" fontId="42" fillId="14" borderId="1" xfId="0"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38" fillId="0" borderId="0" xfId="0" applyFont="1" applyAlignment="1">
      <alignment vertical="center"/>
    </xf>
    <xf numFmtId="173" fontId="202" fillId="0" borderId="0" xfId="7" applyNumberFormat="1" applyFont="1" applyFill="1" applyBorder="1" applyAlignment="1">
      <alignment horizontal="center" vertical="center"/>
    </xf>
    <xf numFmtId="173" fontId="77" fillId="0" borderId="0" xfId="7" applyNumberFormat="1" applyFont="1" applyFill="1" applyBorder="1" applyAlignment="1">
      <alignment horizontal="center" vertical="center"/>
    </xf>
    <xf numFmtId="0" fontId="99" fillId="0" borderId="0" xfId="84" applyAlignment="1" applyProtection="1">
      <alignment horizontal="center" vertical="center" wrapText="1"/>
    </xf>
    <xf numFmtId="0" fontId="99" fillId="0" borderId="1" xfId="84" applyFill="1" applyBorder="1" applyAlignment="1" applyProtection="1">
      <alignment vertical="center"/>
    </xf>
    <xf numFmtId="0" fontId="99" fillId="0" borderId="1" xfId="84" applyFill="1" applyBorder="1" applyAlignment="1" applyProtection="1">
      <alignment horizontal="left" vertical="center"/>
    </xf>
    <xf numFmtId="0" fontId="38" fillId="0" borderId="1" xfId="0" applyFont="1" applyFill="1" applyBorder="1" applyAlignment="1">
      <alignment horizontal="left" vertical="center"/>
    </xf>
    <xf numFmtId="0" fontId="38" fillId="13" borderId="1" xfId="0" applyFont="1" applyFill="1" applyBorder="1" applyAlignment="1">
      <alignment horizontal="center" vertical="center"/>
    </xf>
    <xf numFmtId="0" fontId="73" fillId="0" borderId="0" xfId="0" applyFont="1" applyFill="1" applyAlignment="1" applyProtection="1">
      <alignment vertical="center"/>
    </xf>
    <xf numFmtId="0" fontId="99" fillId="0" borderId="0" xfId="84" applyFill="1" applyAlignment="1" applyProtection="1">
      <alignment vertical="center"/>
    </xf>
    <xf numFmtId="0" fontId="99" fillId="0" borderId="1" xfId="84" applyFill="1" applyBorder="1" applyAlignment="1" applyProtection="1">
      <alignment horizontal="left" vertical="center"/>
    </xf>
    <xf numFmtId="0" fontId="38" fillId="13" borderId="0" xfId="0" applyFont="1" applyFill="1" applyAlignment="1">
      <alignment horizontal="center" vertical="center"/>
    </xf>
    <xf numFmtId="0" fontId="38" fillId="0" borderId="3" xfId="0" applyFont="1" applyFill="1" applyBorder="1" applyAlignment="1" applyProtection="1">
      <alignment horizontal="center" vertical="center" wrapText="1"/>
    </xf>
    <xf numFmtId="14" fontId="38" fillId="13" borderId="5" xfId="0" applyNumberFormat="1" applyFont="1" applyFill="1" applyBorder="1" applyAlignment="1" applyProtection="1">
      <alignment vertical="center"/>
    </xf>
    <xf numFmtId="14" fontId="38" fillId="13" borderId="9" xfId="0" applyNumberFormat="1" applyFont="1" applyFill="1" applyBorder="1" applyAlignment="1" applyProtection="1">
      <alignment vertical="center"/>
    </xf>
    <xf numFmtId="0" fontId="38" fillId="13" borderId="9" xfId="0" applyFont="1" applyFill="1" applyBorder="1" applyAlignment="1" applyProtection="1">
      <alignment vertical="center" wrapText="1"/>
    </xf>
    <xf numFmtId="174" fontId="38" fillId="13" borderId="9" xfId="0" applyNumberFormat="1" applyFont="1" applyFill="1" applyBorder="1" applyAlignment="1" applyProtection="1">
      <alignment vertical="center" wrapText="1"/>
    </xf>
    <xf numFmtId="174" fontId="95" fillId="13" borderId="9" xfId="0" applyNumberFormat="1" applyFont="1" applyFill="1" applyBorder="1" applyAlignment="1" applyProtection="1">
      <alignment vertical="center" wrapText="1"/>
    </xf>
    <xf numFmtId="0" fontId="38" fillId="13" borderId="9" xfId="0" applyFont="1" applyFill="1" applyBorder="1" applyAlignment="1">
      <alignment horizontal="center" vertical="center"/>
    </xf>
    <xf numFmtId="0" fontId="38" fillId="13" borderId="6" xfId="0" applyFont="1" applyFill="1" applyBorder="1" applyAlignment="1">
      <alignment horizontal="center" vertical="center"/>
    </xf>
    <xf numFmtId="0" fontId="99" fillId="0" borderId="1" xfId="84" applyFill="1" applyBorder="1" applyAlignment="1" applyProtection="1">
      <alignment horizontal="left" vertical="center"/>
    </xf>
    <xf numFmtId="0" fontId="24" fillId="0" borderId="5" xfId="0" applyFont="1" applyFill="1" applyBorder="1" applyAlignment="1" applyProtection="1">
      <alignment horizontal="center" vertical="center" wrapText="1"/>
      <protection locked="0"/>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165" fontId="38" fillId="0" borderId="6" xfId="1" applyFont="1" applyFill="1" applyBorder="1" applyAlignment="1" applyProtection="1">
      <alignment horizontal="center" vertical="center"/>
    </xf>
    <xf numFmtId="167" fontId="38" fillId="0" borderId="5" xfId="0" applyNumberFormat="1" applyFont="1" applyFill="1" applyBorder="1" applyAlignment="1" applyProtection="1">
      <alignment horizontal="center" vertical="center"/>
    </xf>
    <xf numFmtId="0" fontId="38" fillId="0" borderId="1" xfId="8" applyFont="1" applyFill="1" applyBorder="1" applyAlignment="1" applyProtection="1">
      <alignment horizontal="center" vertical="center" wrapText="1"/>
    </xf>
    <xf numFmtId="167" fontId="38" fillId="0" borderId="1" xfId="8" applyNumberFormat="1" applyFont="1" applyFill="1" applyBorder="1" applyAlignment="1" applyProtection="1">
      <alignment horizontal="center" vertical="center"/>
    </xf>
    <xf numFmtId="168" fontId="11" fillId="0" borderId="9" xfId="0" applyNumberFormat="1"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protection locked="0"/>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0" fillId="0" borderId="9" xfId="0" applyFont="1" applyFill="1" applyBorder="1" applyAlignment="1">
      <alignment horizontal="center" vertical="center" wrapText="1"/>
    </xf>
    <xf numFmtId="0" fontId="50" fillId="0" borderId="3" xfId="0"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protection locked="0"/>
    </xf>
    <xf numFmtId="0" fontId="50" fillId="0" borderId="1" xfId="0" applyFont="1" applyFill="1" applyBorder="1" applyAlignment="1">
      <alignment horizontal="center" vertical="center"/>
    </xf>
    <xf numFmtId="0" fontId="18" fillId="13" borderId="7" xfId="0" applyFont="1" applyFill="1" applyBorder="1" applyAlignment="1">
      <alignment vertical="center"/>
    </xf>
    <xf numFmtId="0" fontId="25" fillId="13" borderId="1" xfId="0" applyFont="1" applyFill="1" applyBorder="1" applyAlignment="1">
      <alignment vertical="center"/>
    </xf>
    <xf numFmtId="0" fontId="25" fillId="13" borderId="5" xfId="0" applyFont="1" applyFill="1" applyBorder="1" applyAlignment="1">
      <alignment vertical="center"/>
    </xf>
    <xf numFmtId="0" fontId="25" fillId="13" borderId="9" xfId="0" applyFont="1" applyFill="1" applyBorder="1" applyAlignment="1">
      <alignment vertical="center"/>
    </xf>
    <xf numFmtId="20" fontId="25" fillId="13" borderId="1" xfId="0" applyNumberFormat="1" applyFont="1" applyFill="1" applyBorder="1" applyAlignment="1">
      <alignment vertical="center"/>
    </xf>
    <xf numFmtId="170" fontId="25" fillId="13" borderId="5" xfId="0" quotePrefix="1" applyNumberFormat="1" applyFont="1" applyFill="1" applyBorder="1" applyAlignment="1" applyProtection="1">
      <alignment horizontal="center" vertical="center"/>
    </xf>
    <xf numFmtId="170" fontId="25" fillId="13" borderId="1" xfId="0" quotePrefix="1" applyNumberFormat="1" applyFont="1" applyFill="1" applyBorder="1" applyAlignment="1" applyProtection="1">
      <alignment horizontal="center" vertical="center"/>
    </xf>
    <xf numFmtId="0" fontId="24" fillId="0" borderId="0" xfId="0" applyFont="1" applyFill="1">
      <alignment vertical="center"/>
    </xf>
    <xf numFmtId="171" fontId="25" fillId="0" borderId="1" xfId="0" applyNumberFormat="1" applyFont="1" applyBorder="1" applyAlignment="1" applyProtection="1">
      <alignment horizontal="center" vertical="center"/>
      <protection locked="0"/>
    </xf>
    <xf numFmtId="169" fontId="25" fillId="0" borderId="1" xfId="0"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center" vertical="center"/>
      <protection locked="0"/>
    </xf>
    <xf numFmtId="169" fontId="25" fillId="0" borderId="0" xfId="0" applyNumberFormat="1" applyFont="1" applyFill="1" applyAlignment="1">
      <alignment horizontal="center" vertical="center"/>
    </xf>
    <xf numFmtId="170" fontId="32" fillId="13" borderId="5" xfId="0" quotePrefix="1" applyNumberFormat="1" applyFont="1" applyFill="1" applyBorder="1" applyAlignment="1" applyProtection="1">
      <alignment horizontal="center" vertical="center"/>
    </xf>
    <xf numFmtId="170" fontId="32" fillId="13" borderId="1" xfId="0" quotePrefix="1" applyNumberFormat="1" applyFont="1" applyFill="1" applyBorder="1" applyAlignment="1" applyProtection="1">
      <alignment horizontal="center" vertical="center"/>
    </xf>
    <xf numFmtId="170" fontId="32" fillId="0" borderId="1" xfId="0" applyNumberFormat="1" applyFont="1" applyFill="1" applyBorder="1" applyAlignment="1" applyProtection="1">
      <alignment horizontal="center" vertical="center"/>
      <protection locked="0"/>
    </xf>
    <xf numFmtId="0" fontId="24" fillId="0" borderId="0" xfId="0" applyFont="1" applyFill="1" applyAlignment="1">
      <alignment horizontal="left" vertical="center"/>
    </xf>
    <xf numFmtId="173" fontId="24" fillId="0" borderId="0" xfId="0" applyNumberFormat="1" applyFont="1" applyFill="1" applyAlignment="1">
      <alignment horizontal="left" vertical="center"/>
    </xf>
    <xf numFmtId="9" fontId="24" fillId="0" borderId="0" xfId="0" applyNumberFormat="1" applyFont="1" applyFill="1" applyAlignment="1">
      <alignment horizontal="center" vertical="center"/>
    </xf>
    <xf numFmtId="170" fontId="32" fillId="0" borderId="0" xfId="0" applyNumberFormat="1" applyFont="1" applyFill="1" applyAlignment="1">
      <alignment horizontal="center" vertical="center"/>
    </xf>
    <xf numFmtId="0" fontId="24" fillId="6" borderId="0" xfId="0" applyFont="1" applyFill="1">
      <alignment vertical="center"/>
    </xf>
    <xf numFmtId="0" fontId="24" fillId="0" borderId="0" xfId="0" applyFont="1" applyFill="1" applyAlignment="1">
      <alignment horizontal="right" vertical="center"/>
    </xf>
    <xf numFmtId="171" fontId="8" fillId="13" borderId="0" xfId="0" applyNumberFormat="1" applyFont="1" applyFill="1" applyAlignment="1">
      <alignment vertical="center" wrapText="1"/>
    </xf>
    <xf numFmtId="0" fontId="24" fillId="13" borderId="1" xfId="0" applyFont="1" applyFill="1" applyBorder="1" applyAlignment="1">
      <alignment horizontal="center" vertical="center"/>
    </xf>
    <xf numFmtId="170" fontId="32" fillId="14" borderId="1" xfId="0" applyNumberFormat="1" applyFont="1" applyFill="1" applyBorder="1" applyAlignment="1" applyProtection="1">
      <alignment horizontal="center" vertical="center"/>
      <protection locked="0"/>
    </xf>
    <xf numFmtId="0" fontId="24" fillId="14" borderId="1" xfId="0" applyFont="1" applyFill="1" applyBorder="1" applyAlignment="1">
      <alignment horizontal="center" vertical="center"/>
    </xf>
    <xf numFmtId="0" fontId="24" fillId="5" borderId="1" xfId="0" applyFont="1" applyFill="1" applyBorder="1" applyAlignment="1">
      <alignment horizontal="center" vertical="center"/>
    </xf>
    <xf numFmtId="0" fontId="68" fillId="5" borderId="0" xfId="6" applyFont="1" applyFill="1" applyAlignment="1">
      <alignment horizontal="left"/>
    </xf>
    <xf numFmtId="0" fontId="52" fillId="5" borderId="0" xfId="6" applyFont="1" applyFill="1" applyAlignment="1">
      <alignment horizontal="left"/>
    </xf>
    <xf numFmtId="0" fontId="50" fillId="0" borderId="8" xfId="0" applyFont="1" applyFill="1" applyBorder="1" applyAlignment="1" applyProtection="1">
      <alignment horizontal="center" vertical="center"/>
    </xf>
    <xf numFmtId="0" fontId="50" fillId="0" borderId="6" xfId="0" applyFont="1" applyFill="1" applyBorder="1" applyAlignment="1" applyProtection="1">
      <alignment horizontal="center" vertical="center"/>
    </xf>
    <xf numFmtId="0" fontId="50" fillId="13" borderId="1" xfId="0" applyFont="1" applyFill="1" applyBorder="1" applyAlignment="1">
      <alignment vertical="center"/>
    </xf>
    <xf numFmtId="0" fontId="50" fillId="0" borderId="5" xfId="0" applyFont="1" applyFill="1" applyBorder="1" applyAlignment="1">
      <alignment horizontal="center" vertical="center"/>
    </xf>
    <xf numFmtId="0" fontId="204" fillId="0" borderId="0" xfId="84" applyFont="1" applyFill="1" applyAlignment="1" applyProtection="1">
      <alignment horizontal="left" vertical="center"/>
    </xf>
    <xf numFmtId="182" fontId="50" fillId="0" borderId="1" xfId="0" applyNumberFormat="1" applyFont="1" applyFill="1" applyBorder="1" applyAlignment="1">
      <alignment horizontal="center" vertical="center"/>
    </xf>
    <xf numFmtId="182" fontId="50" fillId="0" borderId="6" xfId="0" applyNumberFormat="1" applyFont="1" applyFill="1" applyBorder="1" applyAlignment="1" applyProtection="1">
      <alignment horizontal="center" vertical="center"/>
      <protection locked="0"/>
    </xf>
    <xf numFmtId="0" fontId="50" fillId="0" borderId="13" xfId="0" applyFont="1" applyFill="1" applyBorder="1" applyAlignment="1">
      <alignment horizontal="left" vertical="center" wrapText="1"/>
    </xf>
    <xf numFmtId="0" fontId="50" fillId="0" borderId="3" xfId="0" applyFont="1" applyFill="1" applyBorder="1" applyAlignment="1">
      <alignment vertical="center"/>
    </xf>
    <xf numFmtId="0" fontId="50" fillId="0" borderId="0" xfId="0" applyFont="1" applyFill="1" applyBorder="1" applyAlignment="1">
      <alignment horizontal="left" vertical="center" wrapText="1"/>
    </xf>
    <xf numFmtId="0" fontId="50" fillId="0" borderId="11" xfId="0" applyFont="1" applyFill="1" applyBorder="1" applyAlignment="1">
      <alignment horizontal="left" vertical="center" wrapText="1"/>
    </xf>
    <xf numFmtId="0" fontId="50" fillId="0" borderId="13" xfId="0" applyFont="1" applyFill="1" applyBorder="1" applyAlignment="1">
      <alignment vertical="center" wrapText="1"/>
    </xf>
    <xf numFmtId="0" fontId="50" fillId="0" borderId="12" xfId="0" applyFont="1" applyFill="1" applyBorder="1" applyAlignment="1">
      <alignment vertical="center" wrapText="1"/>
    </xf>
    <xf numFmtId="0" fontId="50" fillId="0" borderId="4" xfId="0" applyFont="1" applyFill="1" applyBorder="1" applyAlignment="1">
      <alignment vertical="center" wrapText="1"/>
    </xf>
    <xf numFmtId="0" fontId="50" fillId="0" borderId="15" xfId="0" applyFont="1" applyFill="1" applyBorder="1" applyAlignment="1">
      <alignment vertical="center" wrapText="1"/>
    </xf>
    <xf numFmtId="0" fontId="145" fillId="4" borderId="9" xfId="0" applyFont="1" applyFill="1" applyBorder="1" applyAlignment="1" applyProtection="1">
      <alignment horizontal="centerContinuous" vertical="center"/>
    </xf>
    <xf numFmtId="0" fontId="50" fillId="4" borderId="6" xfId="0" applyFont="1" applyFill="1" applyBorder="1" applyAlignment="1" applyProtection="1">
      <alignment horizontal="centerContinuous" vertical="center"/>
    </xf>
    <xf numFmtId="0" fontId="50" fillId="0" borderId="5" xfId="0" applyFont="1" applyFill="1" applyBorder="1" applyAlignment="1" applyProtection="1">
      <alignment vertical="center" wrapText="1"/>
    </xf>
    <xf numFmtId="0" fontId="50" fillId="0" borderId="9" xfId="0" applyFont="1" applyFill="1" applyBorder="1" applyAlignment="1" applyProtection="1">
      <alignment vertical="center" wrapText="1"/>
    </xf>
    <xf numFmtId="0" fontId="50" fillId="0" borderId="12" xfId="0" applyFont="1" applyFill="1" applyBorder="1" applyAlignment="1">
      <alignment horizontal="center" vertical="center" wrapText="1"/>
    </xf>
    <xf numFmtId="0" fontId="50" fillId="0" borderId="16" xfId="0" applyFont="1" applyFill="1" applyBorder="1" applyAlignment="1">
      <alignment horizontal="center" vertical="center" wrapText="1"/>
    </xf>
    <xf numFmtId="0" fontId="50" fillId="0" borderId="15" xfId="0" applyFont="1" applyFill="1" applyBorder="1" applyAlignment="1">
      <alignment horizontal="center" vertical="center" wrapText="1"/>
    </xf>
    <xf numFmtId="0" fontId="93" fillId="0" borderId="8" xfId="0" applyFont="1" applyBorder="1" applyAlignment="1">
      <alignment vertical="center"/>
    </xf>
    <xf numFmtId="0" fontId="50" fillId="0" borderId="0" xfId="0" quotePrefix="1" applyFont="1" applyFill="1" applyBorder="1" applyAlignment="1" applyProtection="1">
      <alignment vertical="center" wrapText="1"/>
    </xf>
    <xf numFmtId="170" fontId="50" fillId="0" borderId="0" xfId="0" applyNumberFormat="1" applyFont="1" applyFill="1" applyBorder="1" applyAlignment="1" applyProtection="1">
      <alignment horizontal="center" vertical="center"/>
      <protection locked="0"/>
    </xf>
    <xf numFmtId="185" fontId="50" fillId="9" borderId="6" xfId="0" quotePrefix="1" applyNumberFormat="1" applyFont="1" applyFill="1" applyBorder="1" applyAlignment="1" applyProtection="1">
      <alignment horizontal="center" vertical="center"/>
    </xf>
    <xf numFmtId="165" fontId="50" fillId="9" borderId="6" xfId="1" applyFont="1" applyFill="1" applyBorder="1" applyAlignment="1" applyProtection="1">
      <alignment horizontal="center" vertical="center"/>
    </xf>
    <xf numFmtId="184" fontId="50" fillId="9" borderId="9" xfId="0" applyNumberFormat="1" applyFont="1" applyFill="1" applyBorder="1" applyAlignment="1" applyProtection="1">
      <alignment horizontal="center" vertical="center"/>
    </xf>
    <xf numFmtId="185" fontId="50" fillId="0" borderId="9" xfId="0" applyNumberFormat="1" applyFont="1" applyFill="1" applyBorder="1" applyAlignment="1" applyProtection="1">
      <alignment horizontal="center" vertical="center"/>
    </xf>
    <xf numFmtId="165" fontId="50" fillId="0" borderId="1" xfId="1" applyFont="1" applyFill="1" applyBorder="1" applyAlignment="1">
      <alignment horizontal="center" vertical="center"/>
    </xf>
    <xf numFmtId="0" fontId="50" fillId="0" borderId="0" xfId="0" applyFont="1" applyFill="1" applyBorder="1" applyAlignment="1" applyProtection="1">
      <alignment horizontal="center" vertical="center" wrapText="1"/>
    </xf>
    <xf numFmtId="41" fontId="50" fillId="0" borderId="9" xfId="0" applyNumberFormat="1" applyFont="1" applyFill="1" applyBorder="1" applyAlignment="1" applyProtection="1">
      <alignment horizontal="distributed" vertical="distributed" wrapText="1"/>
      <protection locked="0"/>
    </xf>
    <xf numFmtId="0" fontId="50" fillId="0" borderId="9" xfId="0" applyFont="1" applyFill="1" applyBorder="1" applyAlignment="1" applyProtection="1">
      <alignment horizontal="distributed" vertical="distributed" wrapText="1"/>
      <protection locked="0"/>
    </xf>
    <xf numFmtId="0" fontId="50" fillId="0" borderId="5" xfId="0" applyFont="1" applyFill="1" applyBorder="1" applyAlignment="1" applyProtection="1">
      <alignment horizontal="center" vertical="center"/>
    </xf>
    <xf numFmtId="0" fontId="75" fillId="0" borderId="5" xfId="0" applyFont="1" applyFill="1" applyBorder="1" applyAlignment="1" applyProtection="1">
      <alignment horizontal="center" vertical="center"/>
    </xf>
    <xf numFmtId="0" fontId="50" fillId="0" borderId="1" xfId="0" applyFont="1" applyFill="1" applyBorder="1" applyAlignment="1" applyProtection="1">
      <alignment vertical="center"/>
    </xf>
    <xf numFmtId="0" fontId="50" fillId="39" borderId="0" xfId="0" applyNumberFormat="1" applyFont="1" applyFill="1" applyBorder="1" applyAlignment="1" applyProtection="1">
      <alignment horizontal="center" vertical="center"/>
    </xf>
    <xf numFmtId="0" fontId="50" fillId="13" borderId="0" xfId="0" applyFont="1" applyFill="1" applyAlignment="1">
      <alignment horizontal="center" vertical="center"/>
    </xf>
    <xf numFmtId="170" fontId="50" fillId="39" borderId="0" xfId="0" applyNumberFormat="1" applyFont="1" applyFill="1" applyBorder="1" applyAlignment="1" applyProtection="1">
      <alignment horizontal="center" vertical="center"/>
      <protection locked="0"/>
    </xf>
    <xf numFmtId="0" fontId="50" fillId="0" borderId="13" xfId="0" applyFont="1" applyFill="1" applyBorder="1" applyAlignment="1">
      <alignment horizontal="center" vertical="center"/>
    </xf>
    <xf numFmtId="0" fontId="50" fillId="0" borderId="12" xfId="0" applyFont="1" applyFill="1" applyBorder="1" applyAlignment="1">
      <alignment vertical="center"/>
    </xf>
    <xf numFmtId="0" fontId="50" fillId="0" borderId="4" xfId="0" applyFont="1" applyFill="1" applyBorder="1" applyAlignment="1">
      <alignment horizontal="center" vertical="center"/>
    </xf>
    <xf numFmtId="0" fontId="50" fillId="0" borderId="15" xfId="0" applyFont="1" applyFill="1" applyBorder="1" applyAlignment="1">
      <alignment vertical="center"/>
    </xf>
    <xf numFmtId="170" fontId="50" fillId="39" borderId="6" xfId="0" applyNumberFormat="1" applyFont="1" applyFill="1" applyBorder="1" applyAlignment="1" applyProtection="1">
      <alignment horizontal="center" vertical="center"/>
      <protection locked="0"/>
    </xf>
    <xf numFmtId="0" fontId="50" fillId="39" borderId="6" xfId="0" applyFont="1" applyFill="1" applyBorder="1" applyAlignment="1">
      <alignment horizontal="center" vertical="center" wrapText="1"/>
    </xf>
    <xf numFmtId="0" fontId="50" fillId="39" borderId="9" xfId="0" applyNumberFormat="1" applyFont="1" applyFill="1" applyBorder="1" applyAlignment="1" applyProtection="1">
      <alignment horizontal="center" vertical="center" wrapText="1"/>
      <protection locked="0"/>
    </xf>
    <xf numFmtId="0" fontId="50" fillId="39" borderId="0" xfId="0" applyFont="1" applyFill="1" applyAlignment="1">
      <alignment horizontal="center" vertical="center"/>
    </xf>
    <xf numFmtId="168" fontId="50" fillId="0" borderId="7" xfId="0" applyNumberFormat="1" applyFont="1" applyFill="1" applyBorder="1" applyAlignment="1">
      <alignment horizontal="center" vertical="center" wrapText="1"/>
    </xf>
    <xf numFmtId="168" fontId="76" fillId="40" borderId="6" xfId="0" applyNumberFormat="1" applyFont="1" applyFill="1" applyBorder="1" applyAlignment="1" applyProtection="1">
      <alignment horizontal="center" vertical="center"/>
    </xf>
    <xf numFmtId="168" fontId="76" fillId="0" borderId="6" xfId="0" applyNumberFormat="1" applyFont="1" applyFill="1" applyBorder="1" applyAlignment="1" applyProtection="1">
      <alignment horizontal="center" vertical="center"/>
    </xf>
    <xf numFmtId="168" fontId="76" fillId="4" borderId="6" xfId="0" applyNumberFormat="1" applyFont="1" applyFill="1" applyBorder="1" applyAlignment="1" applyProtection="1">
      <alignment horizontal="center" vertical="center"/>
    </xf>
    <xf numFmtId="0" fontId="50" fillId="42" borderId="8" xfId="0" applyFont="1" applyFill="1" applyBorder="1" applyAlignment="1">
      <alignment horizontal="center" vertical="center" wrapText="1"/>
    </xf>
    <xf numFmtId="0" fontId="50" fillId="42" borderId="12" xfId="0" applyFont="1" applyFill="1" applyBorder="1" applyAlignment="1">
      <alignment horizontal="center" vertical="center" wrapText="1"/>
    </xf>
    <xf numFmtId="0" fontId="50" fillId="42" borderId="0" xfId="0" applyFont="1" applyFill="1" applyBorder="1" applyAlignment="1">
      <alignment horizontal="center" vertical="center" wrapText="1"/>
    </xf>
    <xf numFmtId="0" fontId="50" fillId="42" borderId="16"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146" fillId="0" borderId="6" xfId="0" applyFont="1" applyFill="1" applyBorder="1" applyAlignment="1" applyProtection="1">
      <alignment vertical="center"/>
    </xf>
    <xf numFmtId="171" fontId="76" fillId="0" borderId="6" xfId="0" applyNumberFormat="1" applyFont="1" applyFill="1" applyBorder="1" applyAlignment="1" applyProtection="1">
      <alignment horizontal="center" vertical="center"/>
    </xf>
    <xf numFmtId="168" fontId="76" fillId="0" borderId="12" xfId="0" applyNumberFormat="1" applyFont="1" applyFill="1" applyBorder="1" applyAlignment="1" applyProtection="1">
      <alignment horizontal="center" vertical="center"/>
    </xf>
    <xf numFmtId="168" fontId="76" fillId="0" borderId="1" xfId="0" applyNumberFormat="1" applyFont="1" applyFill="1" applyBorder="1" applyAlignment="1">
      <alignment horizontal="center" vertical="center"/>
    </xf>
    <xf numFmtId="166" fontId="76" fillId="0" borderId="5" xfId="0" applyNumberFormat="1"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xf>
    <xf numFmtId="0" fontId="93" fillId="0" borderId="0" xfId="84" applyFont="1" applyFill="1" applyBorder="1" applyAlignment="1" applyProtection="1">
      <alignment horizontal="left" vertical="center"/>
    </xf>
    <xf numFmtId="0" fontId="14" fillId="0" borderId="0" xfId="0" applyFont="1" applyFill="1" applyBorder="1" applyAlignment="1" applyProtection="1">
      <alignment horizontal="center" vertical="center" wrapText="1"/>
    </xf>
    <xf numFmtId="0" fontId="52" fillId="0" borderId="0" xfId="6" applyFont="1"/>
    <xf numFmtId="0" fontId="68" fillId="0" borderId="0" xfId="6" applyFont="1"/>
    <xf numFmtId="0" fontId="68" fillId="0" borderId="0" xfId="6" applyFont="1" applyFill="1"/>
    <xf numFmtId="0" fontId="24" fillId="0" borderId="0" xfId="6" applyFont="1"/>
    <xf numFmtId="164" fontId="68" fillId="0" borderId="0" xfId="2" applyFont="1" applyFill="1"/>
    <xf numFmtId="164" fontId="24" fillId="0" borderId="0" xfId="2" applyFont="1" applyFill="1"/>
    <xf numFmtId="164" fontId="68" fillId="10" borderId="0" xfId="2" applyFont="1" applyFill="1"/>
    <xf numFmtId="178" fontId="52" fillId="5" borderId="0" xfId="6" applyNumberFormat="1" applyFont="1" applyFill="1"/>
    <xf numFmtId="178" fontId="52" fillId="12" borderId="0" xfId="6" applyNumberFormat="1" applyFont="1" applyFill="1"/>
    <xf numFmtId="164" fontId="68" fillId="0" borderId="0" xfId="6" applyNumberFormat="1" applyFont="1"/>
    <xf numFmtId="0" fontId="68" fillId="0" borderId="0" xfId="6" applyFont="1" applyAlignment="1">
      <alignment horizontal="left"/>
    </xf>
    <xf numFmtId="9" fontId="52" fillId="0" borderId="0" xfId="6" applyNumberFormat="1" applyFont="1"/>
    <xf numFmtId="0" fontId="68" fillId="5" borderId="0" xfId="6" applyFont="1" applyFill="1"/>
    <xf numFmtId="0" fontId="52" fillId="5" borderId="0" xfId="6" applyFont="1" applyFill="1"/>
    <xf numFmtId="0" fontId="52" fillId="14" borderId="0" xfId="6" applyFont="1" applyFill="1"/>
    <xf numFmtId="0" fontId="68" fillId="14" borderId="0" xfId="6" applyFont="1" applyFill="1"/>
    <xf numFmtId="1" fontId="68" fillId="6" borderId="0" xfId="6" applyNumberFormat="1" applyFont="1" applyFill="1"/>
    <xf numFmtId="1" fontId="52" fillId="6" borderId="0" xfId="6" applyNumberFormat="1" applyFont="1" applyFill="1"/>
    <xf numFmtId="180" fontId="68" fillId="0" borderId="0" xfId="6" applyNumberFormat="1" applyFont="1"/>
    <xf numFmtId="180" fontId="68" fillId="0" borderId="0" xfId="1" applyNumberFormat="1" applyFont="1" applyAlignment="1"/>
    <xf numFmtId="180" fontId="68" fillId="14" borderId="0" xfId="6" applyNumberFormat="1" applyFont="1" applyFill="1"/>
    <xf numFmtId="180" fontId="52" fillId="14" borderId="0" xfId="6" applyNumberFormat="1" applyFont="1" applyFill="1"/>
    <xf numFmtId="0" fontId="68" fillId="0" borderId="0" xfId="6" applyFont="1" applyAlignment="1">
      <alignment wrapText="1"/>
    </xf>
    <xf numFmtId="168" fontId="68" fillId="5" borderId="0" xfId="6" applyNumberFormat="1" applyFont="1" applyFill="1"/>
    <xf numFmtId="168" fontId="68" fillId="6" borderId="0" xfId="6" applyNumberFormat="1" applyFont="1" applyFill="1"/>
    <xf numFmtId="0" fontId="68" fillId="0" borderId="0" xfId="6" applyFont="1" applyAlignment="1">
      <alignment horizontal="right"/>
    </xf>
    <xf numFmtId="0" fontId="38" fillId="0" borderId="5" xfId="0" applyFont="1" applyFill="1" applyBorder="1" applyAlignment="1">
      <alignment horizontal="center" vertical="center"/>
    </xf>
    <xf numFmtId="169" fontId="51" fillId="0" borderId="1" xfId="0" applyNumberFormat="1" applyFont="1" applyFill="1" applyBorder="1" applyAlignment="1" applyProtection="1">
      <alignment horizontal="center" vertical="center"/>
    </xf>
    <xf numFmtId="0" fontId="24" fillId="6" borderId="1" xfId="0" applyFont="1" applyFill="1" applyBorder="1" applyAlignment="1">
      <alignment horizontal="center" vertical="center"/>
    </xf>
    <xf numFmtId="170" fontId="32" fillId="6" borderId="1" xfId="0" applyNumberFormat="1" applyFont="1" applyFill="1" applyBorder="1" applyAlignment="1" applyProtection="1">
      <alignment horizontal="center" vertical="center"/>
      <protection locked="0"/>
    </xf>
    <xf numFmtId="170" fontId="32" fillId="5" borderId="1" xfId="0" applyNumberFormat="1" applyFont="1" applyFill="1" applyBorder="1" applyAlignment="1" applyProtection="1">
      <alignment horizontal="center" vertical="center"/>
      <protection locked="0"/>
    </xf>
    <xf numFmtId="0" fontId="24" fillId="50" borderId="1" xfId="0" applyFont="1" applyFill="1" applyBorder="1" applyAlignment="1">
      <alignment horizontal="center" vertical="center"/>
    </xf>
    <xf numFmtId="170" fontId="32" fillId="50" borderId="1" xfId="0" applyNumberFormat="1" applyFont="1" applyFill="1" applyBorder="1" applyAlignment="1" applyProtection="1">
      <alignment horizontal="center" vertical="center"/>
      <protection locked="0"/>
    </xf>
    <xf numFmtId="169" fontId="24" fillId="0" borderId="0" xfId="0" applyNumberFormat="1" applyFont="1" applyFill="1" applyBorder="1" applyAlignment="1" applyProtection="1">
      <alignment horizontal="center" vertical="center"/>
      <protection locked="0"/>
    </xf>
    <xf numFmtId="0" fontId="68" fillId="0" borderId="0" xfId="0" applyFont="1" applyFill="1" applyAlignment="1">
      <alignment horizontal="center" vertical="center"/>
    </xf>
    <xf numFmtId="0" fontId="24" fillId="13" borderId="0" xfId="0" applyFont="1" applyFill="1" applyAlignment="1">
      <alignment horizontal="center" vertical="center"/>
    </xf>
    <xf numFmtId="0" fontId="151" fillId="0" borderId="1" xfId="0" applyFont="1" applyFill="1" applyBorder="1" applyAlignment="1" applyProtection="1">
      <alignment horizontal="center" vertical="center"/>
    </xf>
    <xf numFmtId="0" fontId="38" fillId="0" borderId="86" xfId="0" applyFont="1" applyFill="1" applyBorder="1" applyAlignment="1" applyProtection="1">
      <alignment horizontal="center" vertical="center"/>
    </xf>
    <xf numFmtId="166" fontId="151" fillId="0" borderId="5" xfId="0" applyNumberFormat="1" applyFont="1" applyFill="1" applyBorder="1" applyAlignment="1" applyProtection="1">
      <alignment horizontal="right" vertical="center"/>
    </xf>
    <xf numFmtId="177" fontId="151" fillId="0" borderId="14" xfId="1" applyNumberFormat="1" applyFont="1" applyFill="1" applyBorder="1" applyAlignment="1" applyProtection="1">
      <alignment horizontal="center" vertical="center"/>
    </xf>
    <xf numFmtId="166" fontId="51" fillId="0" borderId="9" xfId="0" applyNumberFormat="1" applyFont="1" applyFill="1" applyBorder="1" applyAlignment="1" applyProtection="1">
      <alignment horizontal="center" vertical="center"/>
    </xf>
    <xf numFmtId="176" fontId="151" fillId="0" borderId="14" xfId="1" applyNumberFormat="1" applyFont="1" applyFill="1" applyBorder="1" applyAlignment="1" applyProtection="1">
      <alignment horizontal="center" vertical="center"/>
    </xf>
    <xf numFmtId="177" fontId="92" fillId="0" borderId="14" xfId="1" applyNumberFormat="1" applyFont="1" applyFill="1" applyBorder="1" applyAlignment="1" applyProtection="1">
      <alignment horizontal="center" vertical="center"/>
    </xf>
    <xf numFmtId="173" fontId="151" fillId="0" borderId="1" xfId="7" applyNumberFormat="1" applyFont="1" applyFill="1" applyBorder="1" applyAlignment="1" applyProtection="1">
      <alignment horizontal="center" vertical="center"/>
    </xf>
    <xf numFmtId="164" fontId="38" fillId="0" borderId="1" xfId="0"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10" fillId="0" borderId="9" xfId="0" applyFont="1" applyFill="1" applyBorder="1" applyAlignment="1">
      <alignment horizontal="center" vertical="center" wrapText="1"/>
    </xf>
    <xf numFmtId="0" fontId="38" fillId="0" borderId="3" xfId="0" applyFont="1" applyFill="1" applyBorder="1" applyAlignment="1" applyProtection="1">
      <alignment horizontal="center" vertical="center"/>
    </xf>
    <xf numFmtId="0" fontId="38" fillId="0" borderId="9" xfId="0" applyFont="1" applyFill="1" applyBorder="1" applyAlignment="1">
      <alignment horizontal="center" vertical="center" wrapText="1"/>
    </xf>
    <xf numFmtId="0" fontId="38" fillId="0" borderId="11"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9" xfId="0" applyFont="1" applyFill="1" applyBorder="1" applyAlignment="1">
      <alignment horizontal="center" vertical="center"/>
    </xf>
    <xf numFmtId="0" fontId="24" fillId="5" borderId="51" xfId="0"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24" fillId="5" borderId="52" xfId="0" applyFont="1" applyFill="1" applyBorder="1">
      <alignment vertical="center"/>
    </xf>
    <xf numFmtId="0" fontId="63" fillId="0" borderId="0" xfId="0" applyFont="1" applyFill="1" applyAlignment="1">
      <alignment vertical="center" wrapText="1"/>
    </xf>
    <xf numFmtId="166" fontId="10" fillId="0" borderId="5" xfId="0" applyNumberFormat="1" applyFont="1" applyFill="1" applyBorder="1" applyAlignment="1">
      <alignment horizontal="right" vertical="center"/>
    </xf>
    <xf numFmtId="168" fontId="10" fillId="0" borderId="14" xfId="0" applyNumberFormat="1" applyFont="1" applyFill="1" applyBorder="1" applyAlignment="1">
      <alignment horizontal="center" vertical="center"/>
    </xf>
    <xf numFmtId="168" fontId="10" fillId="0" borderId="9" xfId="0" applyNumberFormat="1" applyFont="1" applyFill="1" applyBorder="1" applyAlignment="1">
      <alignment horizontal="center" vertical="center"/>
    </xf>
    <xf numFmtId="169" fontId="38" fillId="0" borderId="9" xfId="0" applyNumberFormat="1" applyFont="1" applyFill="1" applyBorder="1" applyAlignment="1" applyProtection="1">
      <alignment vertical="center"/>
      <protection locked="0"/>
    </xf>
    <xf numFmtId="166" fontId="10" fillId="0" borderId="9" xfId="0" applyNumberFormat="1" applyFont="1" applyFill="1" applyBorder="1" applyAlignment="1">
      <alignment vertical="center"/>
    </xf>
    <xf numFmtId="166" fontId="10" fillId="0" borderId="6" xfId="0" applyNumberFormat="1" applyFont="1" applyFill="1" applyBorder="1" applyAlignment="1">
      <alignment vertical="center"/>
    </xf>
    <xf numFmtId="0" fontId="0" fillId="0" borderId="9" xfId="0" applyFont="1" applyBorder="1" applyAlignment="1">
      <alignment vertical="center"/>
    </xf>
    <xf numFmtId="0" fontId="0" fillId="0" borderId="6" xfId="0" applyFont="1" applyBorder="1" applyAlignment="1">
      <alignment vertical="center"/>
    </xf>
    <xf numFmtId="0" fontId="207" fillId="0" borderId="0" xfId="0" applyFont="1" applyFill="1" applyBorder="1" applyAlignment="1" applyProtection="1">
      <alignment horizontal="centerContinuous" vertical="distributed" wrapText="1"/>
    </xf>
    <xf numFmtId="0" fontId="38" fillId="0" borderId="0" xfId="0" applyFont="1" applyFill="1" applyAlignment="1">
      <alignment horizontal="left" vertical="center"/>
    </xf>
    <xf numFmtId="0" fontId="38" fillId="12" borderId="1" xfId="0" applyFont="1" applyFill="1" applyBorder="1" applyAlignment="1">
      <alignment horizontal="center" vertical="center"/>
    </xf>
    <xf numFmtId="0" fontId="38" fillId="9" borderId="13" xfId="0" quotePrefix="1" applyFont="1" applyFill="1" applyBorder="1" applyAlignment="1" applyProtection="1">
      <alignment vertical="center" wrapText="1"/>
    </xf>
    <xf numFmtId="0" fontId="38" fillId="0" borderId="1" xfId="0" quotePrefix="1" applyFont="1" applyFill="1" applyBorder="1" applyAlignment="1" applyProtection="1">
      <alignment vertical="center" wrapText="1"/>
    </xf>
    <xf numFmtId="0" fontId="38" fillId="9" borderId="4" xfId="0" applyFont="1" applyFill="1" applyBorder="1" applyAlignment="1" applyProtection="1">
      <alignment vertical="center" wrapText="1"/>
    </xf>
    <xf numFmtId="184" fontId="38" fillId="9" borderId="6" xfId="0" applyNumberFormat="1" applyFont="1" applyFill="1" applyBorder="1" applyAlignment="1" applyProtection="1">
      <alignment horizontal="center" vertical="center"/>
    </xf>
    <xf numFmtId="185" fontId="38" fillId="0" borderId="6" xfId="0" applyNumberFormat="1" applyFont="1" applyFill="1" applyBorder="1" applyAlignment="1" applyProtection="1">
      <alignment horizontal="center" vertical="center"/>
    </xf>
    <xf numFmtId="186" fontId="38" fillId="9" borderId="6" xfId="0" applyNumberFormat="1" applyFont="1" applyFill="1" applyBorder="1" applyAlignment="1" applyProtection="1">
      <alignment horizontal="center" vertical="center"/>
    </xf>
    <xf numFmtId="185" fontId="38" fillId="9" borderId="6" xfId="0" applyNumberFormat="1" applyFont="1" applyFill="1" applyBorder="1" applyAlignment="1" applyProtection="1">
      <alignment horizontal="center" vertical="center"/>
    </xf>
    <xf numFmtId="170" fontId="38" fillId="0" borderId="1" xfId="0" applyNumberFormat="1" applyFont="1" applyFill="1" applyBorder="1" applyAlignment="1">
      <alignment horizontal="center" vertical="center"/>
    </xf>
    <xf numFmtId="176" fontId="38" fillId="9" borderId="1" xfId="1" applyNumberFormat="1" applyFont="1" applyFill="1" applyBorder="1" applyAlignment="1">
      <alignment horizontal="center" vertical="center"/>
    </xf>
    <xf numFmtId="0" fontId="38" fillId="0" borderId="8" xfId="0" applyFont="1" applyFill="1" applyBorder="1" applyAlignment="1">
      <alignment horizontal="center" vertical="center" wrapText="1"/>
    </xf>
    <xf numFmtId="0" fontId="38" fillId="0" borderId="9" xfId="0" applyFont="1" applyFill="1" applyBorder="1" applyAlignment="1">
      <alignment vertical="center"/>
    </xf>
    <xf numFmtId="0" fontId="38" fillId="0" borderId="8" xfId="0" applyFont="1" applyFill="1" applyBorder="1" applyAlignment="1">
      <alignment vertical="center"/>
    </xf>
    <xf numFmtId="0" fontId="38" fillId="9" borderId="11" xfId="0" quotePrefix="1" applyFont="1" applyFill="1" applyBorder="1" applyAlignment="1" applyProtection="1">
      <alignment vertical="center" wrapText="1"/>
    </xf>
    <xf numFmtId="186" fontId="38" fillId="0" borderId="6" xfId="0" applyNumberFormat="1" applyFont="1" applyFill="1" applyBorder="1" applyAlignment="1" applyProtection="1">
      <alignment horizontal="center" vertical="center"/>
    </xf>
    <xf numFmtId="184" fontId="38" fillId="0" borderId="6" xfId="0" applyNumberFormat="1" applyFont="1" applyFill="1" applyBorder="1" applyAlignment="1" applyProtection="1">
      <alignment horizontal="center" vertical="center"/>
    </xf>
    <xf numFmtId="0" fontId="38" fillId="0" borderId="0" xfId="0" applyNumberFormat="1" applyFont="1" applyFill="1" applyBorder="1" applyAlignment="1">
      <alignment horizontal="center" vertical="center" wrapText="1"/>
    </xf>
    <xf numFmtId="0" fontId="38" fillId="0" borderId="7" xfId="0" applyFont="1" applyFill="1" applyBorder="1" applyAlignment="1">
      <alignment vertical="center"/>
    </xf>
    <xf numFmtId="0" fontId="42" fillId="0" borderId="0" xfId="0" applyFont="1" applyFill="1" applyBorder="1" applyAlignment="1" applyProtection="1">
      <alignment horizontal="center" vertical="center"/>
    </xf>
    <xf numFmtId="0" fontId="0" fillId="0" borderId="8" xfId="0" applyFont="1" applyBorder="1" applyAlignment="1">
      <alignment vertical="center"/>
    </xf>
    <xf numFmtId="0" fontId="38" fillId="0" borderId="0" xfId="0" quotePrefix="1" applyFont="1" applyFill="1" applyBorder="1" applyAlignment="1" applyProtection="1">
      <alignment vertical="center"/>
    </xf>
    <xf numFmtId="0" fontId="38" fillId="0" borderId="0" xfId="0" quotePrefix="1" applyFont="1" applyFill="1" applyBorder="1" applyAlignment="1" applyProtection="1">
      <alignment vertical="center" wrapText="1"/>
    </xf>
    <xf numFmtId="0" fontId="38" fillId="0" borderId="5" xfId="0" applyNumberFormat="1" applyFont="1" applyFill="1" applyBorder="1" applyAlignment="1" applyProtection="1">
      <alignment horizontal="center" vertical="center"/>
    </xf>
    <xf numFmtId="0" fontId="38" fillId="0" borderId="0" xfId="0" applyFont="1" applyFill="1" applyBorder="1" applyAlignment="1" applyProtection="1">
      <alignment vertical="center"/>
    </xf>
    <xf numFmtId="0" fontId="38" fillId="0" borderId="0" xfId="0" applyNumberFormat="1" applyFont="1" applyFill="1" applyBorder="1" applyAlignment="1" applyProtection="1">
      <alignment horizontal="center" vertical="center"/>
    </xf>
    <xf numFmtId="170" fontId="38" fillId="0" borderId="5" xfId="0" applyNumberFormat="1" applyFont="1" applyFill="1" applyBorder="1" applyAlignment="1" applyProtection="1">
      <alignment horizontal="center" vertical="center"/>
      <protection locked="0"/>
    </xf>
    <xf numFmtId="169" fontId="38" fillId="0" borderId="0" xfId="0" applyNumberFormat="1" applyFont="1" applyFill="1" applyBorder="1" applyAlignment="1">
      <alignment horizontal="center" vertical="center"/>
    </xf>
    <xf numFmtId="166" fontId="38" fillId="0" borderId="0" xfId="0" applyNumberFormat="1" applyFont="1" applyFill="1" applyBorder="1" applyAlignment="1">
      <alignment horizontal="center" vertical="center"/>
    </xf>
    <xf numFmtId="168" fontId="38" fillId="0" borderId="0" xfId="0" applyNumberFormat="1" applyFont="1" applyFill="1" applyBorder="1" applyAlignment="1" applyProtection="1">
      <alignment horizontal="center" vertical="center"/>
    </xf>
    <xf numFmtId="168" fontId="38" fillId="0" borderId="0" xfId="0" applyNumberFormat="1" applyFont="1" applyFill="1" applyBorder="1" applyAlignment="1">
      <alignment horizontal="center" vertical="center"/>
    </xf>
    <xf numFmtId="170" fontId="38" fillId="0" borderId="0" xfId="0" applyNumberFormat="1" applyFont="1" applyFill="1" applyBorder="1" applyAlignment="1" applyProtection="1">
      <alignment horizontal="center" vertical="center"/>
      <protection locked="0"/>
    </xf>
    <xf numFmtId="171" fontId="38" fillId="0" borderId="0" xfId="0" applyNumberFormat="1" applyFont="1" applyFill="1" applyBorder="1" applyAlignment="1" applyProtection="1">
      <alignment horizontal="center" vertical="center"/>
    </xf>
    <xf numFmtId="185" fontId="38" fillId="9" borderId="6" xfId="0" quotePrefix="1" applyNumberFormat="1" applyFont="1" applyFill="1" applyBorder="1" applyAlignment="1" applyProtection="1">
      <alignment horizontal="center" vertical="center"/>
    </xf>
    <xf numFmtId="165" fontId="38" fillId="9" borderId="6" xfId="1" applyFont="1" applyFill="1" applyBorder="1" applyAlignment="1" applyProtection="1">
      <alignment horizontal="center" vertical="center"/>
    </xf>
    <xf numFmtId="184" fontId="38" fillId="9" borderId="9" xfId="0" applyNumberFormat="1" applyFont="1" applyFill="1" applyBorder="1" applyAlignment="1" applyProtection="1">
      <alignment horizontal="center" vertical="center"/>
    </xf>
    <xf numFmtId="185" fontId="38" fillId="0" borderId="9" xfId="0" applyNumberFormat="1" applyFont="1" applyFill="1" applyBorder="1" applyAlignment="1" applyProtection="1">
      <alignment horizontal="center" vertical="center"/>
    </xf>
    <xf numFmtId="169" fontId="38" fillId="0" borderId="9" xfId="0" applyNumberFormat="1" applyFont="1" applyFill="1" applyBorder="1" applyAlignment="1">
      <alignment horizontal="center" vertical="center"/>
    </xf>
    <xf numFmtId="0" fontId="38" fillId="0" borderId="9" xfId="0" applyFont="1" applyFill="1" applyBorder="1" applyAlignment="1" applyProtection="1">
      <alignment horizontal="distributed" vertical="distributed" wrapText="1"/>
      <protection locked="0"/>
    </xf>
    <xf numFmtId="0" fontId="38" fillId="0" borderId="0" xfId="0" applyFont="1" applyFill="1" applyBorder="1" applyAlignment="1" applyProtection="1">
      <alignment vertical="center" wrapText="1"/>
      <protection locked="0"/>
    </xf>
    <xf numFmtId="0" fontId="38" fillId="0" borderId="0" xfId="0" applyFont="1" applyFill="1" applyBorder="1" applyAlignment="1" applyProtection="1">
      <alignment vertical="center" wrapText="1"/>
    </xf>
    <xf numFmtId="0" fontId="38" fillId="4" borderId="5" xfId="0" applyFont="1" applyFill="1" applyBorder="1" applyAlignment="1">
      <alignment vertical="center" wrapText="1"/>
    </xf>
    <xf numFmtId="0" fontId="38" fillId="4" borderId="9" xfId="0" applyFont="1" applyFill="1" applyBorder="1" applyAlignment="1">
      <alignment vertical="center" wrapText="1"/>
    </xf>
    <xf numFmtId="0" fontId="38" fillId="4" borderId="9" xfId="0" applyFont="1" applyFill="1" applyBorder="1" applyAlignment="1">
      <alignment vertical="center"/>
    </xf>
    <xf numFmtId="0" fontId="38" fillId="4" borderId="0" xfId="0" applyFont="1" applyFill="1" applyBorder="1" applyAlignment="1">
      <alignment vertical="center" wrapText="1"/>
    </xf>
    <xf numFmtId="0" fontId="38" fillId="0" borderId="9" xfId="0" applyFont="1" applyFill="1" applyBorder="1" applyAlignment="1">
      <alignment vertical="center" wrapText="1"/>
    </xf>
    <xf numFmtId="0" fontId="38" fillId="0" borderId="7" xfId="0" applyFont="1" applyFill="1" applyBorder="1" applyAlignment="1">
      <alignment vertical="center" wrapText="1"/>
    </xf>
    <xf numFmtId="0" fontId="38" fillId="0" borderId="0" xfId="0" applyFont="1" applyFill="1" applyBorder="1" applyAlignment="1">
      <alignment vertical="center" wrapText="1"/>
    </xf>
    <xf numFmtId="0" fontId="38" fillId="0" borderId="7" xfId="0" quotePrefix="1" applyFont="1" applyFill="1" applyBorder="1" applyAlignment="1" applyProtection="1">
      <alignment vertical="center" wrapText="1"/>
    </xf>
    <xf numFmtId="0" fontId="38" fillId="9" borderId="1" xfId="0" applyFont="1" applyFill="1" applyBorder="1" applyAlignment="1" applyProtection="1">
      <alignment horizontal="center" vertical="center"/>
      <protection locked="0"/>
    </xf>
    <xf numFmtId="0" fontId="38" fillId="0" borderId="9" xfId="0" applyFont="1" applyFill="1" applyBorder="1" applyAlignment="1" applyProtection="1">
      <alignment vertical="center" wrapText="1"/>
      <protection locked="0"/>
    </xf>
    <xf numFmtId="169" fontId="38" fillId="0" borderId="6" xfId="0" applyNumberFormat="1" applyFont="1" applyFill="1" applyBorder="1" applyAlignment="1" applyProtection="1">
      <alignment vertical="center"/>
      <protection locked="0"/>
    </xf>
    <xf numFmtId="0" fontId="38" fillId="0" borderId="9" xfId="0" applyFont="1" applyFill="1" applyBorder="1" applyAlignment="1">
      <alignment horizontal="center" vertical="center"/>
    </xf>
    <xf numFmtId="170" fontId="38" fillId="0" borderId="9" xfId="0" applyNumberFormat="1" applyFont="1" applyFill="1" applyBorder="1" applyAlignment="1" applyProtection="1">
      <alignment horizontal="center" vertical="center"/>
      <protection locked="0"/>
    </xf>
    <xf numFmtId="0" fontId="38" fillId="0" borderId="8" xfId="0" applyFont="1" applyFill="1" applyBorder="1" applyAlignment="1">
      <alignment horizontal="center" vertical="center"/>
    </xf>
    <xf numFmtId="170" fontId="38" fillId="0" borderId="8" xfId="0" applyNumberFormat="1" applyFont="1" applyFill="1" applyBorder="1" applyAlignment="1" applyProtection="1">
      <alignment horizontal="center" vertical="center"/>
      <protection locked="0"/>
    </xf>
    <xf numFmtId="170" fontId="38" fillId="0" borderId="12"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distributed" vertical="distributed" wrapText="1"/>
      <protection locked="0"/>
    </xf>
    <xf numFmtId="0" fontId="38" fillId="0" borderId="1" xfId="0" applyNumberFormat="1" applyFont="1" applyFill="1" applyBorder="1" applyAlignment="1" applyProtection="1">
      <alignment horizontal="center" vertical="center" wrapText="1"/>
      <protection locked="0"/>
    </xf>
    <xf numFmtId="0" fontId="52" fillId="0" borderId="1" xfId="4" applyFont="1" applyBorder="1" applyAlignment="1">
      <alignment horizontal="center" vertical="center"/>
    </xf>
    <xf numFmtId="14" fontId="52" fillId="0" borderId="0" xfId="4" applyNumberFormat="1" applyFont="1">
      <alignment vertical="center"/>
    </xf>
    <xf numFmtId="0" fontId="52" fillId="0" borderId="0" xfId="4" applyFont="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52" fillId="0" borderId="1" xfId="4" quotePrefix="1" applyFont="1" applyBorder="1" applyAlignment="1">
      <alignment horizontal="center" vertical="center"/>
    </xf>
    <xf numFmtId="0" fontId="208" fillId="0" borderId="0" xfId="4" applyFont="1" applyBorder="1" applyAlignment="1">
      <alignment horizontal="center" vertical="center"/>
    </xf>
    <xf numFmtId="0" fontId="52" fillId="0" borderId="0" xfId="4" applyFont="1" applyBorder="1">
      <alignment vertical="center"/>
    </xf>
    <xf numFmtId="0" fontId="52" fillId="0" borderId="0" xfId="4" applyFont="1" applyBorder="1" applyAlignment="1">
      <alignment horizontal="center" vertical="center"/>
    </xf>
    <xf numFmtId="0" fontId="52" fillId="11" borderId="1" xfId="4" applyFont="1" applyFill="1" applyBorder="1">
      <alignment vertical="center"/>
    </xf>
    <xf numFmtId="0" fontId="52" fillId="11" borderId="1" xfId="4" applyFont="1" applyFill="1" applyBorder="1" applyAlignment="1">
      <alignment horizontal="center" vertical="center"/>
    </xf>
    <xf numFmtId="0" fontId="24" fillId="0" borderId="0" xfId="4" applyFont="1" applyAlignment="1">
      <alignment horizontal="center" vertical="center"/>
    </xf>
    <xf numFmtId="0" fontId="24" fillId="0" borderId="1" xfId="4" applyFont="1" applyBorder="1" applyAlignment="1">
      <alignment horizontal="center" vertical="center"/>
    </xf>
    <xf numFmtId="0" fontId="14" fillId="11" borderId="1" xfId="4" applyFont="1" applyFill="1" applyBorder="1" applyAlignment="1">
      <alignment horizontal="center" vertical="center"/>
    </xf>
    <xf numFmtId="168" fontId="38" fillId="11" borderId="1" xfId="4" applyNumberFormat="1" applyFont="1" applyFill="1" applyBorder="1" applyAlignment="1">
      <alignment horizontal="center" vertical="center"/>
    </xf>
    <xf numFmtId="0" fontId="24" fillId="0" borderId="1" xfId="4" applyFont="1" applyBorder="1" applyAlignment="1">
      <alignment horizontal="center" vertical="center" wrapText="1"/>
    </xf>
    <xf numFmtId="0" fontId="14" fillId="11" borderId="1" xfId="0" applyFont="1" applyFill="1" applyBorder="1" applyAlignment="1">
      <alignment horizontal="center" vertical="center" shrinkToFit="1"/>
    </xf>
    <xf numFmtId="0" fontId="14" fillId="11" borderId="1" xfId="4" applyFont="1" applyFill="1" applyBorder="1" applyAlignment="1">
      <alignment horizontal="center" vertical="center" shrinkToFit="1"/>
    </xf>
    <xf numFmtId="0" fontId="24" fillId="0" borderId="0" xfId="4" applyFont="1" applyBorder="1" applyAlignment="1">
      <alignment horizontal="center" vertical="center"/>
    </xf>
    <xf numFmtId="186" fontId="38" fillId="11" borderId="1" xfId="4" applyNumberFormat="1" applyFont="1" applyFill="1" applyBorder="1" applyAlignment="1">
      <alignment horizontal="center" vertical="center"/>
    </xf>
    <xf numFmtId="0" fontId="24" fillId="11" borderId="1" xfId="4" applyFont="1" applyFill="1" applyBorder="1" applyAlignment="1">
      <alignment horizontal="center" vertical="center"/>
    </xf>
    <xf numFmtId="0" fontId="68" fillId="0" borderId="0" xfId="4" applyFont="1">
      <alignment vertical="center"/>
    </xf>
    <xf numFmtId="14" fontId="75" fillId="5" borderId="0" xfId="4" applyNumberFormat="1" applyFont="1" applyFill="1">
      <alignment vertical="center"/>
    </xf>
    <xf numFmtId="0" fontId="105" fillId="0" borderId="13" xfId="8" applyFont="1" applyFill="1" applyBorder="1" applyAlignment="1" applyProtection="1">
      <alignment vertical="center" wrapText="1"/>
    </xf>
    <xf numFmtId="0" fontId="105" fillId="0" borderId="8" xfId="8" applyFont="1" applyFill="1" applyBorder="1" applyAlignment="1" applyProtection="1">
      <alignment vertical="center" wrapText="1"/>
    </xf>
    <xf numFmtId="0" fontId="105" fillId="0" borderId="12" xfId="8" applyFont="1" applyFill="1" applyBorder="1" applyAlignment="1" applyProtection="1">
      <alignment vertical="center" wrapText="1"/>
    </xf>
    <xf numFmtId="0" fontId="105" fillId="0" borderId="87" xfId="8" applyFont="1" applyFill="1" applyBorder="1" applyAlignment="1" applyProtection="1">
      <alignment vertical="center" wrapText="1"/>
    </xf>
    <xf numFmtId="0" fontId="105" fillId="0" borderId="69" xfId="8" applyFont="1" applyFill="1" applyBorder="1" applyAlignment="1" applyProtection="1">
      <alignment vertical="center" wrapText="1"/>
    </xf>
    <xf numFmtId="0" fontId="105" fillId="0" borderId="70" xfId="8" applyFont="1" applyFill="1" applyBorder="1" applyAlignment="1" applyProtection="1">
      <alignment vertical="center" wrapText="1"/>
    </xf>
    <xf numFmtId="0" fontId="105" fillId="0" borderId="61" xfId="8" applyFont="1" applyFill="1" applyBorder="1" applyAlignment="1" applyProtection="1">
      <alignment vertical="center" wrapText="1"/>
    </xf>
    <xf numFmtId="0" fontId="105" fillId="0" borderId="0" xfId="8" applyFont="1" applyFill="1" applyBorder="1" applyAlignment="1" applyProtection="1">
      <alignment vertical="center" wrapText="1"/>
    </xf>
    <xf numFmtId="0" fontId="105" fillId="0" borderId="16" xfId="8" applyFont="1" applyFill="1" applyBorder="1" applyAlignment="1" applyProtection="1">
      <alignment vertical="center" wrapText="1"/>
    </xf>
    <xf numFmtId="170" fontId="14" fillId="0" borderId="1" xfId="0" applyNumberFormat="1" applyFont="1" applyFill="1" applyBorder="1" applyAlignment="1">
      <alignment horizontal="center" vertical="center"/>
    </xf>
    <xf numFmtId="170" fontId="32" fillId="13" borderId="1" xfId="0" applyNumberFormat="1" applyFont="1" applyFill="1" applyBorder="1" applyAlignment="1" applyProtection="1">
      <alignment horizontal="center" vertical="center"/>
      <protection locked="0"/>
    </xf>
    <xf numFmtId="170" fontId="32" fillId="0" borderId="0" xfId="0" applyNumberFormat="1" applyFont="1" applyFill="1" applyBorder="1" applyAlignment="1" applyProtection="1">
      <alignment horizontal="center" vertical="center"/>
      <protection locked="0"/>
    </xf>
    <xf numFmtId="170" fontId="14" fillId="0" borderId="1" xfId="0" applyNumberFormat="1" applyFont="1" applyFill="1" applyBorder="1" applyAlignment="1" applyProtection="1">
      <alignment horizontal="center" vertical="center"/>
      <protection locked="0"/>
    </xf>
    <xf numFmtId="0" fontId="99" fillId="0" borderId="1" xfId="84" applyFill="1" applyBorder="1" applyAlignment="1" applyProtection="1">
      <alignment horizontal="left" vertical="center"/>
    </xf>
    <xf numFmtId="0" fontId="38" fillId="14" borderId="3" xfId="0" applyFont="1" applyFill="1" applyBorder="1" applyAlignment="1">
      <alignment horizontal="center" vertical="center"/>
    </xf>
    <xf numFmtId="0" fontId="38" fillId="14" borderId="5" xfId="0" applyFont="1" applyFill="1" applyBorder="1" applyAlignment="1">
      <alignment horizontal="center" vertical="center"/>
    </xf>
    <xf numFmtId="0" fontId="50" fillId="0" borderId="3" xfId="0" applyFont="1" applyFill="1" applyBorder="1" applyAlignment="1">
      <alignment horizontal="center" vertical="center" wrapText="1"/>
    </xf>
    <xf numFmtId="169" fontId="50" fillId="0" borderId="3" xfId="0" applyNumberFormat="1" applyFont="1" applyFill="1" applyBorder="1" applyAlignment="1">
      <alignment horizontal="center" vertical="center"/>
    </xf>
    <xf numFmtId="167" fontId="58" fillId="0" borderId="13" xfId="0" applyNumberFormat="1" applyFont="1" applyFill="1" applyBorder="1" applyAlignment="1" applyProtection="1">
      <alignment horizontal="center" vertical="center"/>
    </xf>
    <xf numFmtId="177" fontId="50" fillId="0" borderId="89" xfId="0" applyNumberFormat="1" applyFont="1" applyFill="1" applyBorder="1" applyAlignment="1" applyProtection="1">
      <alignment horizontal="center" vertical="center"/>
    </xf>
    <xf numFmtId="166" fontId="50" fillId="0" borderId="3" xfId="0" applyNumberFormat="1" applyFont="1" applyFill="1" applyBorder="1" applyAlignment="1" applyProtection="1">
      <alignment horizontal="center" vertical="center"/>
    </xf>
    <xf numFmtId="0" fontId="52" fillId="0" borderId="3" xfId="8" applyFont="1" applyFill="1" applyBorder="1" applyAlignment="1" applyProtection="1">
      <alignment horizontal="center" vertical="center" wrapText="1"/>
      <protection locked="0"/>
    </xf>
    <xf numFmtId="0" fontId="50" fillId="0" borderId="90" xfId="0" applyFont="1" applyFill="1" applyBorder="1" applyAlignment="1" applyProtection="1">
      <alignment vertical="center"/>
    </xf>
    <xf numFmtId="0" fontId="50" fillId="0" borderId="88" xfId="0" applyFont="1" applyFill="1" applyBorder="1" applyAlignment="1">
      <alignment horizontal="center" vertical="center"/>
    </xf>
    <xf numFmtId="0" fontId="50" fillId="0" borderId="88" xfId="0" applyFont="1" applyFill="1" applyBorder="1" applyAlignment="1">
      <alignment horizontal="center" vertical="center" wrapText="1"/>
    </xf>
    <xf numFmtId="169" fontId="50" fillId="0" borderId="88" xfId="0" applyNumberFormat="1" applyFont="1" applyFill="1" applyBorder="1" applyAlignment="1">
      <alignment horizontal="center" vertical="center"/>
    </xf>
    <xf numFmtId="167" fontId="58" fillId="0" borderId="91" xfId="0" applyNumberFormat="1" applyFont="1" applyFill="1" applyBorder="1" applyAlignment="1" applyProtection="1">
      <alignment horizontal="center" vertical="center"/>
    </xf>
    <xf numFmtId="177" fontId="50" fillId="0" borderId="94" xfId="0" applyNumberFormat="1" applyFont="1" applyFill="1" applyBorder="1" applyAlignment="1" applyProtection="1">
      <alignment horizontal="center" vertical="center"/>
    </xf>
    <xf numFmtId="166" fontId="50" fillId="0" borderId="88" xfId="0" applyNumberFormat="1" applyFont="1" applyFill="1" applyBorder="1" applyAlignment="1" applyProtection="1">
      <alignment horizontal="center" vertical="center"/>
    </xf>
    <xf numFmtId="0" fontId="50" fillId="0" borderId="88" xfId="0" applyNumberFormat="1" applyFont="1" applyFill="1" applyBorder="1" applyAlignment="1" applyProtection="1">
      <alignment horizontal="center" vertical="center"/>
    </xf>
    <xf numFmtId="0" fontId="38" fillId="0" borderId="1" xfId="0" applyFont="1" applyFill="1" applyBorder="1" applyAlignment="1" applyProtection="1">
      <alignment vertical="center"/>
    </xf>
    <xf numFmtId="169" fontId="24" fillId="0" borderId="1" xfId="0" applyNumberFormat="1" applyFont="1" applyFill="1" applyBorder="1" applyAlignment="1" applyProtection="1">
      <alignment horizontal="center" vertical="center"/>
      <protection locked="0"/>
    </xf>
    <xf numFmtId="0" fontId="105" fillId="0" borderId="1" xfId="0" applyNumberFormat="1" applyFont="1" applyFill="1" applyBorder="1" applyAlignment="1" applyProtection="1">
      <alignment horizontal="center" vertical="center" wrapText="1"/>
    </xf>
    <xf numFmtId="0" fontId="211" fillId="0" borderId="1" xfId="0" applyNumberFormat="1" applyFont="1" applyFill="1" applyBorder="1" applyAlignment="1">
      <alignment horizontal="center" vertical="center" wrapText="1"/>
    </xf>
    <xf numFmtId="0" fontId="211" fillId="0" borderId="9" xfId="0" applyFont="1" applyFill="1" applyBorder="1" applyAlignment="1" applyProtection="1">
      <alignment horizontal="centerContinuous" vertical="center"/>
    </xf>
    <xf numFmtId="0" fontId="211" fillId="0" borderId="6" xfId="0" applyNumberFormat="1" applyFont="1" applyFill="1" applyBorder="1" applyAlignment="1">
      <alignment horizontal="center" vertical="center" wrapText="1"/>
    </xf>
    <xf numFmtId="0" fontId="211" fillId="0" borderId="7" xfId="0" applyFont="1" applyFill="1" applyBorder="1" applyAlignment="1">
      <alignment horizontal="center" vertical="center"/>
    </xf>
    <xf numFmtId="0" fontId="211" fillId="0" borderId="0" xfId="0" applyFont="1" applyFill="1" applyAlignment="1">
      <alignment horizontal="center" vertical="center"/>
    </xf>
    <xf numFmtId="0" fontId="212" fillId="0" borderId="0" xfId="0" applyFont="1" applyFill="1" applyAlignment="1">
      <alignment horizontal="centerContinuous" vertical="center"/>
    </xf>
    <xf numFmtId="0" fontId="212" fillId="0" borderId="7" xfId="0" applyFont="1" applyFill="1" applyBorder="1" applyAlignment="1">
      <alignment horizontal="centerContinuous" vertical="center"/>
    </xf>
    <xf numFmtId="0" fontId="211" fillId="0" borderId="1" xfId="0" applyFont="1" applyFill="1" applyBorder="1" applyAlignment="1">
      <alignment horizontal="center" vertical="center"/>
    </xf>
    <xf numFmtId="171" fontId="211" fillId="0" borderId="1" xfId="0" quotePrefix="1" applyNumberFormat="1" applyFont="1" applyFill="1" applyBorder="1" applyAlignment="1">
      <alignment horizontal="center" vertical="center"/>
    </xf>
    <xf numFmtId="168" fontId="211" fillId="0" borderId="1" xfId="0" quotePrefix="1" applyNumberFormat="1" applyFont="1" applyFill="1" applyBorder="1" applyAlignment="1">
      <alignment horizontal="center" vertical="center"/>
    </xf>
    <xf numFmtId="173" fontId="211" fillId="0" borderId="1" xfId="0" applyNumberFormat="1" applyFont="1" applyFill="1" applyBorder="1" applyAlignment="1">
      <alignment horizontal="center" vertical="center"/>
    </xf>
    <xf numFmtId="0" fontId="211" fillId="0" borderId="0" xfId="0" applyFont="1" applyFill="1" applyBorder="1" applyAlignment="1" applyProtection="1">
      <alignment horizontal="center" vertical="center" wrapText="1"/>
    </xf>
    <xf numFmtId="0" fontId="211" fillId="0" borderId="6" xfId="0" applyNumberFormat="1" applyFont="1" applyFill="1" applyBorder="1" applyAlignment="1" applyProtection="1">
      <alignment horizontal="center" vertical="center" wrapText="1"/>
    </xf>
    <xf numFmtId="0" fontId="211" fillId="0" borderId="9" xfId="0" applyNumberFormat="1" applyFont="1" applyFill="1" applyBorder="1" applyAlignment="1">
      <alignment horizontal="center" vertical="center" wrapText="1"/>
    </xf>
    <xf numFmtId="0" fontId="211" fillId="0" borderId="5" xfId="0" applyNumberFormat="1" applyFont="1" applyFill="1" applyBorder="1" applyAlignment="1">
      <alignment horizontal="center" vertical="center"/>
    </xf>
    <xf numFmtId="0" fontId="214" fillId="0" borderId="0" xfId="0" applyFont="1" applyFill="1" applyAlignment="1">
      <alignment horizontal="centerContinuous" vertical="center"/>
    </xf>
    <xf numFmtId="0" fontId="214" fillId="0" borderId="7" xfId="0" applyFont="1" applyFill="1" applyBorder="1" applyAlignment="1">
      <alignment horizontal="centerContinuous" vertical="center"/>
    </xf>
    <xf numFmtId="0" fontId="50" fillId="0" borderId="1" xfId="8" applyNumberFormat="1" applyFont="1" applyFill="1" applyBorder="1" applyAlignment="1" applyProtection="1">
      <alignment horizontal="center" vertical="center" wrapText="1"/>
    </xf>
    <xf numFmtId="0" fontId="50" fillId="0" borderId="7" xfId="0" applyFont="1" applyFill="1" applyBorder="1" applyAlignment="1" applyProtection="1">
      <alignment vertical="center"/>
    </xf>
    <xf numFmtId="0" fontId="50" fillId="0" borderId="7" xfId="0" applyFont="1" applyFill="1" applyBorder="1" applyAlignment="1">
      <alignment horizontal="center" vertical="center"/>
    </xf>
    <xf numFmtId="0" fontId="50" fillId="0" borderId="6" xfId="0" applyNumberFormat="1" applyFont="1" applyFill="1" applyBorder="1" applyAlignment="1">
      <alignment horizontal="center" vertical="center" wrapText="1"/>
    </xf>
    <xf numFmtId="10" fontId="50" fillId="0" borderId="1" xfId="7" applyNumberFormat="1" applyFont="1" applyFill="1" applyBorder="1" applyAlignment="1">
      <alignment horizontal="center" vertical="center"/>
    </xf>
    <xf numFmtId="168" fontId="50" fillId="0" borderId="1" xfId="0" quotePrefix="1" applyNumberFormat="1" applyFont="1" applyFill="1" applyBorder="1" applyAlignment="1">
      <alignment horizontal="center" vertical="center"/>
    </xf>
    <xf numFmtId="0" fontId="50" fillId="0" borderId="6" xfId="0" applyNumberFormat="1" applyFont="1" applyFill="1" applyBorder="1" applyAlignment="1" applyProtection="1">
      <alignment horizontal="center" vertical="center" wrapText="1"/>
    </xf>
    <xf numFmtId="0" fontId="50" fillId="0" borderId="2" xfId="0" applyNumberFormat="1" applyFont="1" applyFill="1" applyBorder="1" applyAlignment="1" applyProtection="1">
      <alignment horizontal="center" vertical="center" wrapText="1"/>
    </xf>
    <xf numFmtId="171" fontId="50" fillId="0" borderId="1" xfId="0" applyNumberFormat="1" applyFont="1" applyFill="1" applyBorder="1" applyAlignment="1">
      <alignment horizontal="center" vertical="center"/>
    </xf>
    <xf numFmtId="173" fontId="50" fillId="0" borderId="1" xfId="7"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177" fontId="24" fillId="0" borderId="14" xfId="0" applyNumberFormat="1"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2" xfId="0" applyFont="1" applyFill="1" applyBorder="1" applyAlignment="1" applyProtection="1">
      <alignment horizontal="center" vertical="center" wrapText="1"/>
    </xf>
    <xf numFmtId="0" fontId="51" fillId="0" borderId="3" xfId="0" applyFont="1" applyFill="1" applyBorder="1" applyAlignment="1">
      <alignment horizontal="center" vertical="center"/>
    </xf>
    <xf numFmtId="0" fontId="51"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10" fillId="0" borderId="1" xfId="0" applyFont="1" applyBorder="1" applyAlignment="1" applyProtection="1">
      <alignment horizontal="center" vertical="center"/>
    </xf>
    <xf numFmtId="0" fontId="51" fillId="0" borderId="5" xfId="0" applyFont="1" applyFill="1" applyBorder="1" applyAlignment="1" applyProtection="1">
      <alignment horizontal="center" vertical="center" wrapText="1"/>
    </xf>
    <xf numFmtId="166" fontId="52" fillId="0" borderId="1" xfId="4" applyNumberFormat="1" applyFont="1" applyBorder="1">
      <alignment vertical="center"/>
    </xf>
    <xf numFmtId="166" fontId="52" fillId="11" borderId="1" xfId="4" applyNumberFormat="1" applyFont="1" applyFill="1" applyBorder="1">
      <alignment vertical="center"/>
    </xf>
    <xf numFmtId="0" fontId="38" fillId="0" borderId="1"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14" borderId="1" xfId="0" applyFont="1" applyFill="1" applyBorder="1" applyAlignment="1">
      <alignment horizontal="left" vertical="center" wrapText="1"/>
    </xf>
    <xf numFmtId="179" fontId="75" fillId="0" borderId="9"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38" fillId="0" borderId="3" xfId="0" applyFont="1" applyFill="1" applyBorder="1" applyAlignment="1" applyProtection="1">
      <alignment horizontal="center" vertical="center" wrapText="1"/>
    </xf>
    <xf numFmtId="0" fontId="217" fillId="13" borderId="1" xfId="4" applyFont="1" applyFill="1" applyBorder="1">
      <alignment vertical="center"/>
    </xf>
    <xf numFmtId="0" fontId="218" fillId="13" borderId="1" xfId="4" applyFont="1" applyFill="1" applyBorder="1">
      <alignment vertical="center"/>
    </xf>
    <xf numFmtId="0" fontId="218" fillId="13" borderId="1" xfId="4" applyFont="1" applyFill="1" applyBorder="1" applyAlignment="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5" xfId="0" applyFont="1" applyFill="1" applyBorder="1" applyAlignment="1">
      <alignment horizontal="center" vertical="center"/>
    </xf>
    <xf numFmtId="170" fontId="53" fillId="0" borderId="5" xfId="0" applyNumberFormat="1" applyFont="1" applyFill="1" applyBorder="1" applyAlignment="1" applyProtection="1">
      <alignment horizontal="right" vertical="center"/>
    </xf>
    <xf numFmtId="170" fontId="53" fillId="0" borderId="14" xfId="1" applyNumberFormat="1" applyFont="1" applyFill="1" applyBorder="1" applyAlignment="1" applyProtection="1">
      <alignment horizontal="center" vertical="center"/>
    </xf>
    <xf numFmtId="170" fontId="53" fillId="0" borderId="9" xfId="0" applyNumberFormat="1" applyFont="1" applyFill="1" applyBorder="1" applyAlignment="1" applyProtection="1">
      <alignment horizontal="center" vertical="center"/>
    </xf>
    <xf numFmtId="0" fontId="51" fillId="0" borderId="1" xfId="0" applyNumberFormat="1" applyFont="1" applyFill="1" applyBorder="1" applyAlignment="1" applyProtection="1">
      <alignment horizontal="center" vertical="center" wrapText="1"/>
    </xf>
    <xf numFmtId="0" fontId="219" fillId="0" borderId="1" xfId="0" applyFont="1" applyFill="1" applyBorder="1" applyAlignment="1" applyProtection="1">
      <alignment horizontal="center" vertical="center"/>
    </xf>
    <xf numFmtId="0" fontId="52" fillId="0" borderId="6" xfId="0" applyFont="1" applyBorder="1" applyAlignment="1" applyProtection="1">
      <alignment vertical="center" wrapText="1"/>
    </xf>
    <xf numFmtId="0" fontId="50" fillId="0" borderId="5" xfId="0" applyFont="1" applyBorder="1" applyAlignment="1" applyProtection="1">
      <alignment horizontal="center" vertical="center" wrapText="1"/>
    </xf>
    <xf numFmtId="0" fontId="99" fillId="0" borderId="1" xfId="84" applyFill="1" applyBorder="1" applyAlignment="1" applyProtection="1">
      <alignment horizontal="left" vertical="center"/>
    </xf>
    <xf numFmtId="0" fontId="50"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55" fillId="0" borderId="1" xfId="0" applyNumberFormat="1"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51" fillId="0" borderId="6" xfId="0" applyNumberFormat="1" applyFont="1" applyFill="1" applyBorder="1" applyAlignment="1">
      <alignment horizontal="center" vertical="center" wrapText="1"/>
    </xf>
    <xf numFmtId="0" fontId="105" fillId="0" borderId="61" xfId="8" applyFont="1" applyFill="1" applyBorder="1" applyAlignment="1" applyProtection="1">
      <alignment horizontal="center" vertical="center" wrapText="1"/>
    </xf>
    <xf numFmtId="0" fontId="38" fillId="0" borderId="86" xfId="0" applyFont="1" applyFill="1" applyBorder="1" applyAlignment="1" applyProtection="1">
      <alignment horizontal="center" vertical="center" wrapText="1"/>
    </xf>
    <xf numFmtId="0" fontId="50" fillId="13" borderId="9" xfId="0" applyFont="1" applyFill="1" applyBorder="1" applyAlignment="1" applyProtection="1">
      <alignment vertical="center" wrapText="1"/>
    </xf>
    <xf numFmtId="0" fontId="38" fillId="0" borderId="3" xfId="0" applyFont="1" applyFill="1" applyBorder="1" applyAlignment="1" applyProtection="1">
      <alignment vertical="center" wrapText="1"/>
    </xf>
    <xf numFmtId="181" fontId="52" fillId="0" borderId="7" xfId="0" applyNumberFormat="1" applyFont="1" applyBorder="1" applyAlignment="1" applyProtection="1">
      <alignment horizontal="center" vertical="center"/>
    </xf>
    <xf numFmtId="181" fontId="220" fillId="0" borderId="7" xfId="0" applyNumberFormat="1" applyFont="1" applyFill="1" applyBorder="1" applyAlignment="1" applyProtection="1">
      <alignment horizontal="center" vertical="center"/>
      <protection locked="0"/>
    </xf>
    <xf numFmtId="20" fontId="74" fillId="0" borderId="7" xfId="0" applyNumberFormat="1" applyFont="1" applyBorder="1" applyAlignment="1" applyProtection="1">
      <alignment horizontal="center" vertical="center"/>
    </xf>
    <xf numFmtId="179" fontId="74" fillId="0" borderId="7" xfId="0" applyNumberFormat="1" applyFont="1" applyFill="1" applyBorder="1" applyAlignment="1" applyProtection="1">
      <alignment horizontal="center" vertical="center"/>
      <protection locked="0"/>
    </xf>
    <xf numFmtId="179" fontId="141" fillId="0" borderId="7" xfId="0" applyNumberFormat="1" applyFont="1" applyFill="1" applyBorder="1" applyAlignment="1" applyProtection="1">
      <alignment horizontal="left" vertical="center"/>
      <protection locked="0"/>
    </xf>
    <xf numFmtId="175" fontId="146" fillId="0" borderId="7" xfId="0" applyNumberFormat="1" applyFont="1" applyFill="1" applyBorder="1" applyAlignment="1" applyProtection="1">
      <alignment horizontal="center" vertical="center"/>
    </xf>
    <xf numFmtId="175" fontId="146" fillId="0" borderId="7" xfId="0" applyNumberFormat="1" applyFont="1" applyFill="1" applyBorder="1" applyAlignment="1" applyProtection="1">
      <alignment vertical="center" wrapText="1"/>
    </xf>
    <xf numFmtId="20" fontId="146" fillId="0" borderId="7" xfId="0" applyNumberFormat="1" applyFont="1" applyFill="1" applyBorder="1" applyAlignment="1" applyProtection="1">
      <alignment horizontal="center" vertical="center" wrapText="1"/>
    </xf>
    <xf numFmtId="0" fontId="146" fillId="0" borderId="7" xfId="0" applyFont="1" applyFill="1" applyBorder="1" applyAlignment="1" applyProtection="1">
      <alignment vertical="center" wrapText="1"/>
    </xf>
    <xf numFmtId="0" fontId="24" fillId="0" borderId="69" xfId="8" applyFont="1" applyFill="1" applyBorder="1" applyAlignment="1" applyProtection="1">
      <alignment vertical="center" wrapText="1"/>
    </xf>
    <xf numFmtId="14" fontId="24" fillId="0" borderId="69" xfId="8" applyNumberFormat="1" applyFont="1" applyFill="1" applyBorder="1" applyAlignment="1" applyProtection="1">
      <alignment horizontal="center" vertical="center"/>
    </xf>
    <xf numFmtId="0" fontId="14" fillId="0" borderId="9" xfId="0" applyNumberFormat="1" applyFont="1" applyFill="1" applyBorder="1" applyAlignment="1">
      <alignment horizontal="center" vertical="center" wrapText="1"/>
    </xf>
    <xf numFmtId="20" fontId="60" fillId="0" borderId="7" xfId="8" applyNumberFormat="1" applyFont="1" applyFill="1" applyBorder="1" applyAlignment="1" applyProtection="1">
      <alignment horizontal="center" vertical="center" wrapText="1"/>
      <protection locked="0"/>
    </xf>
    <xf numFmtId="175" fontId="130" fillId="0" borderId="7" xfId="0" applyNumberFormat="1" applyFont="1" applyFill="1" applyBorder="1" applyAlignment="1" applyProtection="1">
      <alignment vertical="center" wrapText="1"/>
    </xf>
    <xf numFmtId="176" fontId="50" fillId="0" borderId="1" xfId="1" applyNumberFormat="1" applyFont="1" applyFill="1" applyBorder="1" applyAlignment="1" applyProtection="1">
      <alignment horizontal="center" vertical="center"/>
    </xf>
    <xf numFmtId="177" fontId="38" fillId="0" borderId="2" xfId="0" applyNumberFormat="1" applyFont="1" applyFill="1" applyBorder="1" applyAlignment="1" applyProtection="1">
      <alignment horizontal="center" vertical="center" wrapText="1"/>
    </xf>
    <xf numFmtId="0" fontId="38" fillId="4" borderId="69" xfId="0" applyFont="1" applyFill="1" applyBorder="1" applyAlignment="1" applyProtection="1">
      <alignment horizontal="centerContinuous" vertical="center"/>
    </xf>
    <xf numFmtId="41" fontId="38" fillId="0" borderId="2" xfId="0" applyNumberFormat="1" applyFont="1" applyFill="1" applyBorder="1" applyAlignment="1" applyProtection="1">
      <alignment horizontal="center" vertical="center" wrapText="1"/>
    </xf>
    <xf numFmtId="182" fontId="38" fillId="0" borderId="1" xfId="0" applyNumberFormat="1" applyFont="1" applyFill="1" applyBorder="1" applyAlignment="1" applyProtection="1">
      <alignment horizontal="center" vertical="center"/>
    </xf>
    <xf numFmtId="167" fontId="24" fillId="0" borderId="5" xfId="0" applyNumberFormat="1" applyFont="1" applyFill="1" applyBorder="1" applyAlignment="1" applyProtection="1">
      <alignment horizontal="center" vertical="center"/>
    </xf>
    <xf numFmtId="166" fontId="24" fillId="0" borderId="1" xfId="0" applyNumberFormat="1" applyFont="1" applyFill="1" applyBorder="1" applyAlignment="1" applyProtection="1">
      <alignment horizontal="center" vertical="center"/>
    </xf>
    <xf numFmtId="167" fontId="38" fillId="0" borderId="5" xfId="8" applyNumberFormat="1" applyFont="1" applyFill="1" applyBorder="1" applyAlignment="1" applyProtection="1">
      <alignment horizontal="center" vertical="center"/>
    </xf>
    <xf numFmtId="177" fontId="38" fillId="0" borderId="6" xfId="8" applyNumberFormat="1" applyFont="1" applyFill="1" applyBorder="1" applyAlignment="1" applyProtection="1">
      <alignment horizontal="center" vertical="center"/>
    </xf>
    <xf numFmtId="166" fontId="38" fillId="0" borderId="1" xfId="8" applyNumberFormat="1" applyFont="1" applyFill="1" applyBorder="1" applyAlignment="1" applyProtection="1">
      <alignment horizontal="center" vertical="center"/>
    </xf>
    <xf numFmtId="170" fontId="38" fillId="0" borderId="5" xfId="8" applyNumberFormat="1" applyFont="1" applyFill="1" applyBorder="1" applyAlignment="1" applyProtection="1">
      <alignment vertical="center"/>
    </xf>
    <xf numFmtId="170" fontId="38" fillId="0" borderId="6" xfId="8" applyNumberFormat="1" applyFont="1" applyFill="1" applyBorder="1" applyAlignment="1" applyProtection="1">
      <alignment vertical="center"/>
    </xf>
    <xf numFmtId="176" fontId="38" fillId="0" borderId="6" xfId="8" applyNumberFormat="1" applyFont="1" applyFill="1" applyBorder="1" applyAlignment="1" applyProtection="1">
      <alignment horizontal="center" vertical="center"/>
    </xf>
    <xf numFmtId="0" fontId="38" fillId="0" borderId="95" xfId="0" applyFont="1" applyFill="1" applyBorder="1" applyAlignment="1" applyProtection="1">
      <alignment horizontal="center" vertical="center"/>
    </xf>
    <xf numFmtId="0" fontId="38" fillId="5" borderId="97" xfId="0" applyFont="1" applyFill="1" applyBorder="1" applyAlignment="1" applyProtection="1">
      <alignment horizontal="center" vertical="center"/>
    </xf>
    <xf numFmtId="0" fontId="38" fillId="12" borderId="0" xfId="0" applyFont="1" applyFill="1" applyAlignment="1" applyProtection="1">
      <alignment horizontal="center" vertical="center"/>
    </xf>
    <xf numFmtId="0" fontId="38" fillId="10" borderId="0" xfId="0" applyFont="1" applyFill="1" applyAlignment="1" applyProtection="1">
      <alignment horizontal="center" vertical="center"/>
    </xf>
    <xf numFmtId="0" fontId="38" fillId="0" borderId="98" xfId="0" applyFont="1" applyFill="1" applyBorder="1" applyAlignment="1" applyProtection="1">
      <alignment horizontal="center" vertical="center"/>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left" vertical="center"/>
    </xf>
    <xf numFmtId="0" fontId="18" fillId="0" borderId="0" xfId="0" applyFont="1" applyFill="1" applyAlignment="1" applyProtection="1">
      <alignment horizontal="left" vertical="center"/>
    </xf>
    <xf numFmtId="0" fontId="18" fillId="4" borderId="0" xfId="0" applyFont="1" applyFill="1" applyAlignment="1" applyProtection="1">
      <alignment horizontal="center" vertical="center"/>
    </xf>
    <xf numFmtId="187" fontId="38" fillId="0" borderId="9" xfId="0" applyNumberFormat="1" applyFont="1" applyFill="1" applyBorder="1" applyAlignment="1" applyProtection="1">
      <alignment vertical="center" wrapText="1"/>
    </xf>
    <xf numFmtId="14" fontId="141" fillId="50" borderId="7" xfId="8" applyNumberFormat="1" applyFont="1" applyFill="1" applyBorder="1" applyAlignment="1" applyProtection="1">
      <alignment horizontal="left" vertical="center"/>
      <protection locked="0"/>
    </xf>
    <xf numFmtId="175" fontId="146" fillId="50" borderId="7" xfId="0" applyNumberFormat="1" applyFont="1" applyFill="1" applyBorder="1" applyAlignment="1" applyProtection="1">
      <alignment horizontal="center" vertical="center"/>
    </xf>
    <xf numFmtId="14" fontId="40" fillId="50" borderId="69" xfId="8" applyNumberFormat="1" applyFont="1" applyFill="1" applyBorder="1" applyAlignment="1" applyProtection="1">
      <alignment horizontal="left" vertical="center"/>
      <protection locked="0"/>
    </xf>
    <xf numFmtId="14" fontId="32" fillId="50" borderId="69" xfId="8" applyNumberFormat="1" applyFont="1" applyFill="1" applyBorder="1" applyAlignment="1" applyProtection="1">
      <alignment horizontal="center" vertical="center"/>
      <protection locked="0"/>
    </xf>
    <xf numFmtId="179" fontId="116" fillId="0" borderId="7" xfId="0" applyNumberFormat="1" applyFont="1" applyFill="1" applyBorder="1" applyAlignment="1" applyProtection="1">
      <alignment horizontal="center" vertical="center"/>
      <protection locked="0"/>
    </xf>
    <xf numFmtId="176" fontId="50" fillId="0" borderId="1" xfId="1" applyNumberFormat="1" applyFont="1" applyFill="1" applyBorder="1" applyAlignment="1" applyProtection="1">
      <alignment vertical="center"/>
    </xf>
    <xf numFmtId="171" fontId="38" fillId="0" borderId="1" xfId="0" applyNumberFormat="1" applyFont="1" applyFill="1" applyBorder="1" applyAlignment="1">
      <alignment vertical="center"/>
    </xf>
    <xf numFmtId="171" fontId="38" fillId="0" borderId="6" xfId="0" applyNumberFormat="1" applyFont="1" applyFill="1" applyBorder="1" applyAlignment="1">
      <alignment vertical="center"/>
    </xf>
    <xf numFmtId="0" fontId="38" fillId="0" borderId="6" xfId="0" applyFont="1" applyFill="1" applyBorder="1" applyAlignment="1" applyProtection="1">
      <alignment vertical="center"/>
    </xf>
    <xf numFmtId="0" fontId="38" fillId="0" borderId="1" xfId="0" applyNumberFormat="1" applyFont="1" applyFill="1" applyBorder="1" applyAlignment="1" applyProtection="1">
      <alignment vertical="center"/>
    </xf>
    <xf numFmtId="167" fontId="38" fillId="0" borderId="14" xfId="0" applyNumberFormat="1" applyFont="1" applyFill="1" applyBorder="1" applyAlignment="1" applyProtection="1">
      <alignment vertical="center"/>
      <protection locked="0"/>
    </xf>
    <xf numFmtId="170" fontId="38" fillId="0" borderId="6" xfId="0" applyNumberFormat="1" applyFont="1" applyFill="1" applyBorder="1" applyAlignment="1" applyProtection="1">
      <alignment vertical="center"/>
      <protection locked="0"/>
    </xf>
    <xf numFmtId="0" fontId="14" fillId="0" borderId="1" xfId="0" applyFont="1" applyFill="1" applyBorder="1" applyAlignment="1" applyProtection="1">
      <alignment horizontal="center" vertical="center" wrapText="1"/>
    </xf>
    <xf numFmtId="0" fontId="38" fillId="53" borderId="96"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4"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7" xfId="8"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xf>
    <xf numFmtId="0" fontId="52" fillId="0" borderId="9" xfId="8" applyFont="1" applyFill="1" applyBorder="1" applyAlignment="1" applyProtection="1">
      <alignment vertical="center" wrapText="1"/>
    </xf>
    <xf numFmtId="0" fontId="24" fillId="0" borderId="1" xfId="8" applyFont="1" applyFill="1" applyBorder="1" applyAlignment="1" applyProtection="1">
      <alignment horizontal="center" wrapText="1"/>
    </xf>
    <xf numFmtId="0" fontId="10" fillId="0" borderId="1" xfId="0" applyFont="1" applyBorder="1" applyAlignment="1" applyProtection="1">
      <alignment horizontal="center" vertical="center"/>
    </xf>
    <xf numFmtId="0" fontId="60" fillId="0" borderId="0" xfId="8" applyFont="1" applyFill="1" applyBorder="1" applyAlignment="1" applyProtection="1">
      <alignment vertical="center" wrapText="1"/>
    </xf>
    <xf numFmtId="0" fontId="30" fillId="0" borderId="0" xfId="0" applyFont="1" applyAlignment="1" applyProtection="1">
      <alignment vertical="center" wrapText="1"/>
    </xf>
    <xf numFmtId="0" fontId="24" fillId="0" borderId="3" xfId="0" applyFont="1" applyFill="1" applyBorder="1" applyAlignment="1" applyProtection="1">
      <alignment horizontal="center" vertical="center" wrapText="1"/>
    </xf>
    <xf numFmtId="14" fontId="40" fillId="0" borderId="69" xfId="8" applyNumberFormat="1" applyFont="1" applyFill="1" applyBorder="1" applyAlignment="1" applyProtection="1">
      <alignment vertical="center" wrapText="1"/>
    </xf>
    <xf numFmtId="0" fontId="14" fillId="0" borderId="7" xfId="0" applyFont="1" applyBorder="1" applyAlignment="1" applyProtection="1">
      <alignment horizontal="center" vertical="center" wrapText="1"/>
    </xf>
    <xf numFmtId="0" fontId="14" fillId="0" borderId="7" xfId="0" applyFont="1" applyBorder="1" applyAlignment="1" applyProtection="1">
      <alignment horizontal="right" vertical="center" wrapText="1"/>
    </xf>
    <xf numFmtId="0" fontId="14" fillId="0" borderId="0" xfId="0" applyFont="1" applyBorder="1" applyAlignment="1" applyProtection="1">
      <alignment horizontal="right" vertical="center" wrapText="1"/>
    </xf>
    <xf numFmtId="179" fontId="40" fillId="0" borderId="69" xfId="8" applyNumberFormat="1" applyFont="1" applyFill="1" applyBorder="1" applyAlignment="1" applyProtection="1">
      <alignment horizontal="center" vertical="center" wrapText="1"/>
      <protection locked="0"/>
    </xf>
    <xf numFmtId="0" fontId="30" fillId="0" borderId="0" xfId="0" applyFont="1" applyFill="1" applyAlignment="1" applyProtection="1">
      <alignment vertical="center" wrapText="1"/>
    </xf>
    <xf numFmtId="0" fontId="30" fillId="0" borderId="0" xfId="0" applyFont="1" applyFill="1" applyAlignment="1" applyProtection="1">
      <alignment horizontal="right" vertical="center" wrapText="1"/>
    </xf>
    <xf numFmtId="0" fontId="11"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1" xfId="0" applyNumberFormat="1" applyFont="1" applyFill="1" applyBorder="1" applyAlignment="1" applyProtection="1">
      <alignment horizontal="center" vertical="center" wrapText="1"/>
      <protection locked="0"/>
    </xf>
    <xf numFmtId="176" fontId="38" fillId="0" borderId="14" xfId="0" applyNumberFormat="1" applyFont="1" applyFill="1" applyBorder="1" applyAlignment="1" applyProtection="1">
      <alignment vertical="center"/>
    </xf>
    <xf numFmtId="177" fontId="38" fillId="0" borderId="14" xfId="0" applyNumberFormat="1" applyFont="1" applyFill="1" applyBorder="1" applyAlignment="1" applyProtection="1">
      <alignment vertical="center"/>
    </xf>
    <xf numFmtId="41" fontId="38" fillId="0" borderId="0" xfId="0" applyNumberFormat="1" applyFont="1" applyFill="1" applyAlignment="1">
      <alignment horizontal="center" vertical="center"/>
    </xf>
    <xf numFmtId="41" fontId="38" fillId="0" borderId="1" xfId="0" applyNumberFormat="1"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xf>
    <xf numFmtId="41" fontId="38" fillId="0" borderId="5" xfId="0" applyNumberFormat="1" applyFont="1" applyFill="1" applyBorder="1" applyAlignment="1" applyProtection="1">
      <alignment vertical="center" wrapText="1"/>
      <protection locked="0"/>
    </xf>
    <xf numFmtId="41" fontId="38" fillId="0" borderId="10" xfId="0" applyNumberFormat="1" applyFont="1" applyFill="1" applyBorder="1" applyAlignment="1" applyProtection="1">
      <alignment horizontal="center" vertical="center" wrapText="1"/>
    </xf>
    <xf numFmtId="41" fontId="38" fillId="0" borderId="10" xfId="0" applyNumberFormat="1" applyFont="1" applyFill="1" applyBorder="1" applyAlignment="1" applyProtection="1">
      <alignment horizontal="center" vertical="center" wrapText="1"/>
      <protection locked="0"/>
    </xf>
    <xf numFmtId="41" fontId="38" fillId="0" borderId="0" xfId="0" applyNumberFormat="1" applyFont="1" applyFill="1" applyAlignment="1" applyProtection="1">
      <alignment horizontal="center" vertical="center"/>
    </xf>
    <xf numFmtId="41" fontId="50" fillId="0" borderId="1" xfId="0" applyNumberFormat="1" applyFont="1" applyFill="1" applyBorder="1" applyAlignment="1" applyProtection="1">
      <alignment vertical="center" wrapText="1"/>
    </xf>
    <xf numFmtId="41" fontId="50" fillId="0" borderId="9" xfId="0" applyNumberFormat="1" applyFont="1" applyFill="1" applyBorder="1" applyAlignment="1" applyProtection="1">
      <alignment vertical="center" wrapText="1"/>
    </xf>
    <xf numFmtId="41" fontId="50" fillId="0" borderId="1" xfId="0" applyNumberFormat="1" applyFont="1" applyFill="1" applyBorder="1" applyAlignment="1" applyProtection="1">
      <alignment horizontal="distributed" vertical="distributed" wrapText="1"/>
      <protection locked="0"/>
    </xf>
    <xf numFmtId="165" fontId="50" fillId="0" borderId="1" xfId="0" applyNumberFormat="1" applyFont="1" applyFill="1" applyBorder="1" applyAlignment="1">
      <alignment horizontal="center" vertical="center"/>
    </xf>
    <xf numFmtId="165" fontId="50" fillId="0" borderId="5" xfId="0" applyNumberFormat="1" applyFont="1" applyFill="1" applyBorder="1" applyAlignment="1">
      <alignment horizontal="center" vertical="center"/>
    </xf>
    <xf numFmtId="165" fontId="50" fillId="0" borderId="6" xfId="0" applyNumberFormat="1" applyFont="1" applyFill="1" applyBorder="1" applyAlignment="1" applyProtection="1">
      <alignment horizontal="center" vertical="center"/>
    </xf>
    <xf numFmtId="165" fontId="50" fillId="0" borderId="6" xfId="0" applyNumberFormat="1" applyFont="1" applyFill="1" applyBorder="1" applyAlignment="1" applyProtection="1">
      <alignment horizontal="center" vertical="center"/>
      <protection locked="0"/>
    </xf>
    <xf numFmtId="165" fontId="50" fillId="0" borderId="1" xfId="0" applyNumberFormat="1" applyFont="1" applyFill="1" applyBorder="1" applyAlignment="1" applyProtection="1">
      <alignment horizontal="center" vertical="center"/>
      <protection locked="0"/>
    </xf>
    <xf numFmtId="176" fontId="50" fillId="0" borderId="1" xfId="0" applyNumberFormat="1" applyFont="1" applyFill="1" applyBorder="1" applyAlignment="1">
      <alignment horizontal="center" vertical="center"/>
    </xf>
    <xf numFmtId="176" fontId="50" fillId="0" borderId="5" xfId="0" applyNumberFormat="1" applyFont="1" applyFill="1" applyBorder="1" applyAlignment="1">
      <alignment horizontal="center" vertical="center"/>
    </xf>
    <xf numFmtId="176" fontId="50" fillId="0" borderId="6" xfId="0" applyNumberFormat="1" applyFont="1" applyFill="1" applyBorder="1" applyAlignment="1" applyProtection="1">
      <alignment horizontal="center" vertical="center"/>
    </xf>
    <xf numFmtId="176" fontId="50" fillId="0" borderId="6" xfId="0" applyNumberFormat="1" applyFont="1" applyFill="1" applyBorder="1" applyAlignment="1" applyProtection="1">
      <alignment horizontal="center" vertical="center"/>
      <protection locked="0"/>
    </xf>
    <xf numFmtId="176" fontId="50" fillId="0" borderId="1" xfId="0" applyNumberFormat="1" applyFont="1" applyFill="1" applyBorder="1" applyAlignment="1" applyProtection="1">
      <alignment horizontal="center" vertical="center"/>
      <protection locked="0"/>
    </xf>
    <xf numFmtId="177" fontId="50" fillId="0" borderId="6" xfId="0" applyNumberFormat="1" applyFont="1" applyFill="1" applyBorder="1" applyAlignment="1" applyProtection="1">
      <alignment horizontal="center" vertical="center"/>
    </xf>
    <xf numFmtId="176" fontId="50" fillId="0" borderId="1" xfId="0" applyNumberFormat="1" applyFont="1" applyFill="1" applyBorder="1" applyAlignment="1" applyProtection="1">
      <alignment horizontal="center" vertical="center"/>
    </xf>
    <xf numFmtId="176" fontId="50" fillId="0" borderId="3" xfId="0" applyNumberFormat="1" applyFont="1" applyFill="1" applyBorder="1" applyAlignment="1" applyProtection="1">
      <alignment horizontal="center" vertical="center"/>
    </xf>
    <xf numFmtId="176" fontId="38" fillId="0" borderId="1" xfId="0" applyNumberFormat="1" applyFont="1" applyFill="1" applyBorder="1" applyAlignment="1">
      <alignment horizontal="center" vertical="center"/>
    </xf>
    <xf numFmtId="182" fontId="50" fillId="0" borderId="5"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protection locked="0"/>
    </xf>
    <xf numFmtId="182" fontId="50" fillId="0" borderId="6" xfId="0" applyNumberFormat="1" applyFont="1" applyFill="1" applyBorder="1" applyAlignment="1" applyProtection="1">
      <alignment vertical="center"/>
      <protection locked="0"/>
    </xf>
    <xf numFmtId="182" fontId="38" fillId="0" borderId="5" xfId="0" applyNumberFormat="1" applyFont="1" applyFill="1" applyBorder="1" applyAlignment="1" applyProtection="1">
      <alignment vertical="center" wrapText="1"/>
      <protection locked="0"/>
    </xf>
    <xf numFmtId="171" fontId="38" fillId="0" borderId="1" xfId="0" applyNumberFormat="1" applyFont="1" applyFill="1" applyBorder="1" applyAlignment="1" applyProtection="1">
      <alignment horizontal="center" vertical="center"/>
    </xf>
    <xf numFmtId="177" fontId="98" fillId="0" borderId="1" xfId="0" applyNumberFormat="1" applyFont="1" applyFill="1" applyBorder="1" applyAlignment="1">
      <alignment horizontal="center" vertical="center"/>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vertical="center"/>
    </xf>
    <xf numFmtId="177" fontId="153" fillId="40" borderId="9" xfId="0" applyNumberFormat="1" applyFont="1" applyFill="1" applyBorder="1" applyAlignment="1">
      <alignment vertical="center"/>
    </xf>
    <xf numFmtId="177" fontId="76" fillId="40" borderId="9" xfId="0" applyNumberFormat="1" applyFont="1" applyFill="1" applyBorder="1" applyAlignment="1">
      <alignment vertical="center"/>
    </xf>
    <xf numFmtId="177" fontId="153" fillId="40" borderId="6" xfId="0" applyNumberFormat="1" applyFont="1" applyFill="1" applyBorder="1" applyAlignment="1">
      <alignment vertical="center"/>
    </xf>
    <xf numFmtId="177" fontId="76" fillId="34" borderId="0" xfId="0" applyNumberFormat="1" applyFont="1" applyFill="1" applyAlignment="1">
      <alignment horizontal="center" vertical="center"/>
    </xf>
    <xf numFmtId="41" fontId="153" fillId="40" borderId="5" xfId="0" applyNumberFormat="1" applyFont="1" applyFill="1" applyBorder="1" applyAlignment="1">
      <alignment horizontal="center" vertical="center"/>
    </xf>
    <xf numFmtId="41" fontId="153" fillId="40" borderId="9" xfId="0" applyNumberFormat="1" applyFont="1" applyFill="1" applyBorder="1" applyAlignment="1">
      <alignment horizontal="center" vertical="center"/>
    </xf>
    <xf numFmtId="41" fontId="76" fillId="40" borderId="9" xfId="0" applyNumberFormat="1" applyFont="1" applyFill="1" applyBorder="1" applyAlignment="1">
      <alignment horizontal="center" vertical="center"/>
    </xf>
    <xf numFmtId="41" fontId="153" fillId="40" borderId="6" xfId="0" applyNumberFormat="1" applyFont="1" applyFill="1" applyBorder="1" applyAlignment="1">
      <alignment horizontal="center" vertical="center"/>
    </xf>
    <xf numFmtId="41" fontId="98" fillId="0" borderId="1" xfId="0" applyNumberFormat="1" applyFont="1" applyFill="1" applyBorder="1" applyAlignment="1">
      <alignment horizontal="center" vertical="center"/>
    </xf>
    <xf numFmtId="41" fontId="153" fillId="40" borderId="5" xfId="0" applyNumberFormat="1" applyFont="1" applyFill="1" applyBorder="1" applyAlignment="1">
      <alignment vertical="center"/>
    </xf>
    <xf numFmtId="41" fontId="153" fillId="40" borderId="9" xfId="0" applyNumberFormat="1" applyFont="1" applyFill="1" applyBorder="1" applyAlignment="1">
      <alignment vertical="center"/>
    </xf>
    <xf numFmtId="41" fontId="76" fillId="40" borderId="9" xfId="0" applyNumberFormat="1" applyFont="1" applyFill="1" applyBorder="1" applyAlignment="1">
      <alignment vertical="center"/>
    </xf>
    <xf numFmtId="41" fontId="153" fillId="40" borderId="6" xfId="0" applyNumberFormat="1" applyFont="1" applyFill="1" applyBorder="1" applyAlignment="1">
      <alignment vertical="center"/>
    </xf>
    <xf numFmtId="41" fontId="76" fillId="34" borderId="0" xfId="0" applyNumberFormat="1" applyFont="1" applyFill="1" applyAlignment="1">
      <alignment horizontal="center" vertical="center"/>
    </xf>
    <xf numFmtId="41" fontId="38" fillId="0" borderId="6" xfId="8" applyNumberFormat="1"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xf>
    <xf numFmtId="0" fontId="24" fillId="35" borderId="0" xfId="0" applyFont="1" applyFill="1">
      <alignment vertical="center"/>
    </xf>
    <xf numFmtId="0" fontId="52" fillId="35" borderId="0" xfId="0" applyFont="1" applyFill="1">
      <alignment vertical="center"/>
    </xf>
    <xf numFmtId="14" fontId="40" fillId="0" borderId="0" xfId="8" applyNumberFormat="1" applyFont="1" applyFill="1" applyBorder="1" applyAlignment="1" applyProtection="1">
      <alignment vertical="center" wrapText="1"/>
    </xf>
    <xf numFmtId="0" fontId="24" fillId="0" borderId="13" xfId="0" applyFont="1" applyFill="1" applyBorder="1" applyAlignment="1" applyProtection="1">
      <alignment horizontal="center" vertical="center" wrapText="1"/>
    </xf>
    <xf numFmtId="0" fontId="24" fillId="0" borderId="99"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2" fillId="0" borderId="0" xfId="0" applyFont="1" applyFill="1" applyBorder="1" applyAlignment="1" applyProtection="1">
      <alignment vertical="center"/>
    </xf>
    <xf numFmtId="179" fontId="40" fillId="0" borderId="7" xfId="0" applyNumberFormat="1" applyFont="1" applyFill="1" applyBorder="1" applyAlignment="1" applyProtection="1">
      <alignment horizontal="left" vertical="center"/>
      <protection locked="0"/>
    </xf>
    <xf numFmtId="0" fontId="24" fillId="0" borderId="87"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69" xfId="0" applyBorder="1">
      <alignment vertical="center"/>
    </xf>
    <xf numFmtId="0" fontId="222" fillId="0" borderId="0" xfId="0" applyFont="1" applyAlignment="1">
      <alignment horizontal="center" vertical="center"/>
    </xf>
    <xf numFmtId="0" fontId="38"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24" fillId="0" borderId="46" xfId="0" applyFont="1" applyFill="1" applyBorder="1" applyAlignment="1" applyProtection="1">
      <alignment vertical="center"/>
    </xf>
    <xf numFmtId="0" fontId="24" fillId="0" borderId="100" xfId="0" applyFont="1" applyFill="1" applyBorder="1" applyAlignment="1" applyProtection="1">
      <alignment vertical="center"/>
    </xf>
    <xf numFmtId="0" fontId="24" fillId="0" borderId="101" xfId="0" applyFont="1" applyFill="1" applyBorder="1" applyAlignment="1" applyProtection="1">
      <alignment vertical="center" wrapText="1"/>
    </xf>
    <xf numFmtId="0" fontId="24" fillId="0" borderId="46" xfId="0" applyFont="1" applyFill="1" applyBorder="1" applyAlignment="1" applyProtection="1">
      <alignment vertical="center" wrapText="1"/>
    </xf>
    <xf numFmtId="0" fontId="24" fillId="0" borderId="100" xfId="0" applyFont="1" applyFill="1" applyBorder="1" applyAlignment="1" applyProtection="1">
      <alignment vertical="center" wrapText="1"/>
    </xf>
    <xf numFmtId="0" fontId="24" fillId="0" borderId="0" xfId="0" applyFont="1" applyFill="1" applyBorder="1" applyAlignment="1" applyProtection="1">
      <alignment vertical="center"/>
      <protection locked="0"/>
    </xf>
    <xf numFmtId="0" fontId="146" fillId="0" borderId="69" xfId="0" applyFont="1" applyFill="1" applyBorder="1" applyAlignment="1" applyProtection="1">
      <alignment vertical="center" wrapText="1"/>
    </xf>
    <xf numFmtId="0" fontId="10" fillId="0" borderId="69" xfId="0" applyFont="1" applyBorder="1" applyAlignment="1" applyProtection="1">
      <alignment horizontal="center" vertical="center" wrapText="1"/>
    </xf>
    <xf numFmtId="14" fontId="116" fillId="0" borderId="0" xfId="8" applyNumberFormat="1" applyFont="1" applyFill="1" applyBorder="1" applyAlignment="1" applyProtection="1">
      <alignment horizontal="left" vertical="center"/>
      <protection locked="0"/>
    </xf>
    <xf numFmtId="0" fontId="60" fillId="0" borderId="0" xfId="0" applyFont="1" applyBorder="1" applyAlignment="1" applyProtection="1">
      <alignment horizontal="center" vertical="center" wrapText="1"/>
    </xf>
    <xf numFmtId="20" fontId="10" fillId="0" borderId="0" xfId="0" applyNumberFormat="1" applyFont="1" applyBorder="1" applyAlignment="1" applyProtection="1">
      <alignment horizontal="center" vertical="center"/>
    </xf>
    <xf numFmtId="0" fontId="63" fillId="0" borderId="0" xfId="0" applyFont="1" applyBorder="1" applyAlignment="1" applyProtection="1">
      <alignment horizontal="center" vertical="center" wrapText="1"/>
    </xf>
    <xf numFmtId="0" fontId="24" fillId="0" borderId="0" xfId="0" applyFont="1" applyFill="1" applyBorder="1" applyAlignment="1" applyProtection="1">
      <alignment vertical="center" wrapText="1"/>
    </xf>
    <xf numFmtId="0" fontId="24" fillId="0" borderId="0" xfId="0" applyFont="1" applyFill="1" applyBorder="1" applyAlignment="1" applyProtection="1">
      <alignment vertical="center"/>
    </xf>
    <xf numFmtId="0" fontId="10" fillId="0" borderId="0" xfId="0" applyFont="1" applyFill="1" applyBorder="1" applyAlignment="1" applyProtection="1">
      <alignment horizontal="center" vertical="center"/>
    </xf>
    <xf numFmtId="0" fontId="151" fillId="0" borderId="0" xfId="0" applyFont="1" applyAlignment="1" applyProtection="1">
      <alignment horizontal="center" vertical="center"/>
    </xf>
    <xf numFmtId="0" fontId="151" fillId="0" borderId="0" xfId="0" applyFont="1" applyBorder="1" applyAlignment="1" applyProtection="1">
      <alignment horizontal="center" vertical="center"/>
    </xf>
    <xf numFmtId="0" fontId="151" fillId="0" borderId="1" xfId="0" applyFont="1" applyBorder="1" applyAlignment="1" applyProtection="1">
      <alignment horizontal="center" vertical="center"/>
    </xf>
    <xf numFmtId="0" fontId="68" fillId="0" borderId="1" xfId="0" applyFont="1" applyFill="1" applyBorder="1" applyAlignment="1" applyProtection="1">
      <alignment vertical="center" wrapText="1"/>
    </xf>
    <xf numFmtId="0" fontId="14" fillId="0" borderId="13" xfId="0" applyFont="1" applyFill="1" applyBorder="1" applyAlignment="1" applyProtection="1">
      <alignment vertical="center" wrapText="1"/>
    </xf>
    <xf numFmtId="0" fontId="14" fillId="0" borderId="8" xfId="0" applyFont="1" applyFill="1" applyBorder="1" applyAlignment="1" applyProtection="1">
      <alignment vertical="center" wrapText="1"/>
    </xf>
    <xf numFmtId="0" fontId="63" fillId="0" borderId="0" xfId="0" applyFont="1" applyAlignment="1" applyProtection="1">
      <alignment horizontal="centerContinuous" vertical="center" wrapText="1"/>
    </xf>
    <xf numFmtId="0" fontId="60" fillId="0" borderId="0" xfId="0" applyFont="1" applyBorder="1" applyAlignment="1" applyProtection="1">
      <alignment horizontal="centerContinuous" vertical="center" wrapText="1"/>
    </xf>
    <xf numFmtId="41" fontId="38" fillId="0" borderId="1"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14" borderId="6" xfId="0" applyNumberFormat="1" applyFont="1" applyFill="1" applyBorder="1" applyAlignment="1">
      <alignment horizontal="center" vertical="center" wrapText="1"/>
    </xf>
    <xf numFmtId="0" fontId="55" fillId="0" borderId="1" xfId="0" applyFont="1" applyFill="1" applyBorder="1" applyAlignment="1" applyProtection="1">
      <alignment horizontal="center" vertical="center" wrapText="1"/>
      <protection locked="0"/>
    </xf>
    <xf numFmtId="0" fontId="55" fillId="0" borderId="1" xfId="0" applyNumberFormat="1" applyFont="1" applyFill="1" applyBorder="1" applyAlignment="1">
      <alignment horizontal="center" vertical="center" wrapText="1"/>
    </xf>
    <xf numFmtId="176" fontId="38" fillId="0" borderId="5" xfId="0" applyNumberFormat="1" applyFont="1" applyFill="1" applyBorder="1" applyAlignment="1" applyProtection="1">
      <alignment vertical="center" wrapText="1"/>
      <protection locked="0"/>
    </xf>
    <xf numFmtId="176" fontId="38" fillId="0" borderId="9"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horizontal="center" vertical="center"/>
      <protection locked="0"/>
    </xf>
    <xf numFmtId="176" fontId="38" fillId="0" borderId="12" xfId="0" applyNumberFormat="1" applyFont="1" applyFill="1" applyBorder="1" applyAlignment="1" applyProtection="1">
      <alignment horizontal="center" vertical="center"/>
      <protection locked="0"/>
    </xf>
    <xf numFmtId="0" fontId="105" fillId="0" borderId="1" xfId="0" applyFont="1" applyFill="1" applyBorder="1" applyAlignment="1">
      <alignment horizontal="center" vertical="center" wrapText="1"/>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25" xfId="0" applyFont="1" applyFill="1" applyBorder="1" applyAlignment="1" applyProtection="1">
      <alignment vertical="top" wrapText="1"/>
    </xf>
    <xf numFmtId="0" fontId="52" fillId="0" borderId="24" xfId="0" applyFont="1" applyFill="1" applyBorder="1" applyAlignment="1" applyProtection="1">
      <alignment vertical="center" wrapText="1"/>
    </xf>
    <xf numFmtId="0" fontId="52" fillId="0" borderId="8" xfId="0" applyFont="1" applyFill="1" applyBorder="1" applyAlignment="1" applyProtection="1">
      <alignment vertical="center" wrapText="1"/>
    </xf>
    <xf numFmtId="0" fontId="14" fillId="0" borderId="21" xfId="0" applyFont="1" applyFill="1" applyBorder="1" applyAlignment="1" applyProtection="1">
      <alignment vertical="top" wrapText="1"/>
    </xf>
    <xf numFmtId="0" fontId="52" fillId="0" borderId="20" xfId="0" applyFont="1" applyFill="1" applyBorder="1" applyAlignment="1" applyProtection="1">
      <alignment vertical="center" wrapText="1"/>
    </xf>
    <xf numFmtId="0" fontId="52" fillId="0" borderId="69" xfId="0" applyFont="1" applyFill="1" applyBorder="1" applyAlignment="1" applyProtection="1">
      <alignment vertical="center" wrapText="1"/>
    </xf>
    <xf numFmtId="0" fontId="93" fillId="0" borderId="1" xfId="0" applyFont="1" applyBorder="1">
      <alignment vertical="center"/>
    </xf>
    <xf numFmtId="0" fontId="38" fillId="0" borderId="0" xfId="0" applyFont="1" applyFill="1" applyAlignment="1" applyProtection="1">
      <alignment horizontal="center" vertical="center"/>
    </xf>
    <xf numFmtId="165" fontId="14" fillId="11" borderId="1" xfId="1" applyFont="1" applyFill="1" applyBorder="1" applyAlignment="1">
      <alignment horizontal="center" vertical="center" shrinkToFit="1"/>
    </xf>
    <xf numFmtId="0" fontId="50" fillId="13" borderId="0" xfId="0" applyFont="1" applyFill="1" applyBorder="1" applyAlignment="1">
      <alignment vertical="center"/>
    </xf>
    <xf numFmtId="0" fontId="141" fillId="13" borderId="0" xfId="0" applyFont="1" applyFill="1" applyBorder="1" applyAlignment="1">
      <alignment vertical="center"/>
    </xf>
    <xf numFmtId="0" fontId="141" fillId="13" borderId="0" xfId="0" applyFont="1" applyFill="1" applyBorder="1" applyAlignment="1">
      <alignment horizontal="center" vertical="center"/>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224" fillId="0" borderId="0" xfId="0" applyFont="1" applyFill="1" applyAlignment="1" applyProtection="1">
      <alignment horizontal="left" vertical="center"/>
    </xf>
    <xf numFmtId="0" fontId="10" fillId="0" borderId="102" xfId="0" applyFont="1" applyFill="1" applyBorder="1" applyAlignment="1" applyProtection="1">
      <alignment horizontal="center" vertical="center"/>
    </xf>
    <xf numFmtId="0" fontId="10" fillId="0" borderId="102" xfId="0" applyFont="1" applyBorder="1" applyAlignment="1" applyProtection="1">
      <alignment horizontal="center" vertical="center"/>
    </xf>
    <xf numFmtId="10" fontId="51" fillId="0" borderId="80" xfId="7" applyNumberFormat="1" applyFont="1" applyFill="1" applyBorder="1" applyAlignment="1" applyProtection="1">
      <alignment horizontal="center" vertical="center"/>
    </xf>
    <xf numFmtId="176" fontId="51" fillId="0" borderId="80" xfId="0" applyNumberFormat="1" applyFont="1" applyFill="1" applyBorder="1" applyAlignment="1" applyProtection="1">
      <alignment horizontal="center" vertical="center"/>
    </xf>
    <xf numFmtId="0" fontId="55" fillId="35" borderId="0" xfId="0" applyFont="1" applyFill="1">
      <alignment vertical="center"/>
    </xf>
    <xf numFmtId="0" fontId="53" fillId="0" borderId="5" xfId="0" applyFont="1" applyBorder="1" applyAlignment="1" applyProtection="1">
      <alignment horizontal="center" vertical="center"/>
    </xf>
    <xf numFmtId="0" fontId="10" fillId="0" borderId="103" xfId="0" applyFont="1" applyFill="1" applyBorder="1" applyAlignment="1" applyProtection="1">
      <alignment horizontal="center" vertical="center"/>
    </xf>
    <xf numFmtId="0" fontId="198" fillId="0" borderId="3" xfId="0" applyFont="1" applyFill="1" applyBorder="1" applyAlignment="1" applyProtection="1">
      <alignment horizontal="center" vertical="center"/>
    </xf>
    <xf numFmtId="0" fontId="14" fillId="0" borderId="3" xfId="0" applyNumberFormat="1" applyFont="1" applyFill="1" applyBorder="1" applyAlignment="1" applyProtection="1">
      <alignment horizontal="center" vertical="center" wrapText="1"/>
    </xf>
    <xf numFmtId="0" fontId="198" fillId="0" borderId="86" xfId="0" applyFont="1" applyFill="1" applyBorder="1" applyAlignment="1" applyProtection="1">
      <alignment horizontal="center" vertical="center"/>
    </xf>
    <xf numFmtId="0" fontId="14" fillId="0" borderId="86" xfId="0" applyNumberFormat="1" applyFont="1" applyFill="1" applyBorder="1" applyAlignment="1" applyProtection="1">
      <alignment horizontal="center" vertical="center" wrapText="1"/>
    </xf>
    <xf numFmtId="0" fontId="10" fillId="0" borderId="86" xfId="0" applyFont="1" applyBorder="1" applyAlignment="1" applyProtection="1">
      <alignment horizontal="center" vertical="center"/>
    </xf>
    <xf numFmtId="0" fontId="10" fillId="0" borderId="104" xfId="0" applyFont="1" applyBorder="1" applyAlignment="1" applyProtection="1">
      <alignment horizontal="center" vertical="center"/>
    </xf>
    <xf numFmtId="0" fontId="53" fillId="0" borderId="3" xfId="0" applyFont="1" applyBorder="1" applyAlignment="1" applyProtection="1">
      <alignment horizontal="center" vertical="center"/>
    </xf>
    <xf numFmtId="0" fontId="53" fillId="0" borderId="86" xfId="0" applyFont="1" applyBorder="1" applyAlignment="1" applyProtection="1">
      <alignment horizontal="center" vertical="center"/>
    </xf>
    <xf numFmtId="190" fontId="68" fillId="0" borderId="81" xfId="8" applyNumberFormat="1" applyFont="1" applyFill="1" applyBorder="1" applyAlignment="1" applyProtection="1">
      <alignment horizontal="center" vertical="center"/>
    </xf>
    <xf numFmtId="190" fontId="68" fillId="0" borderId="84" xfId="8" applyNumberFormat="1" applyFont="1" applyFill="1" applyBorder="1" applyAlignment="1" applyProtection="1">
      <alignment horizontal="center" vertical="center"/>
    </xf>
    <xf numFmtId="192" fontId="51" fillId="0" borderId="81" xfId="0" applyNumberFormat="1" applyFont="1" applyFill="1" applyBorder="1" applyAlignment="1" applyProtection="1">
      <alignment horizontal="center" vertical="center"/>
    </xf>
    <xf numFmtId="192" fontId="51" fillId="0" borderId="81" xfId="0" applyNumberFormat="1" applyFont="1" applyFill="1" applyBorder="1" applyAlignment="1" applyProtection="1">
      <alignment vertical="center"/>
    </xf>
    <xf numFmtId="190" fontId="51" fillId="0" borderId="81" xfId="0" applyNumberFormat="1" applyFont="1" applyFill="1" applyBorder="1" applyAlignment="1">
      <alignment horizontal="center" vertical="center"/>
    </xf>
    <xf numFmtId="190" fontId="51" fillId="0" borderId="81" xfId="0" applyNumberFormat="1" applyFont="1" applyFill="1" applyBorder="1" applyAlignment="1">
      <alignment horizontal="center" vertical="center" wrapText="1"/>
    </xf>
    <xf numFmtId="190" fontId="51" fillId="0" borderId="84" xfId="0" applyNumberFormat="1" applyFont="1" applyFill="1" applyBorder="1" applyAlignment="1">
      <alignment horizontal="center" vertical="center"/>
    </xf>
    <xf numFmtId="0" fontId="226" fillId="57" borderId="1" xfId="0" applyFont="1" applyFill="1" applyBorder="1" applyAlignment="1">
      <alignment horizontal="center" vertical="center"/>
    </xf>
    <xf numFmtId="0" fontId="60" fillId="0" borderId="0" xfId="8"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3"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99" fillId="0" borderId="1" xfId="84" applyFill="1" applyBorder="1" applyAlignment="1" applyProtection="1">
      <alignment horizontal="left" vertical="center"/>
    </xf>
    <xf numFmtId="0" fontId="99" fillId="0" borderId="86" xfId="84" applyFill="1" applyBorder="1" applyAlignment="1" applyProtection="1">
      <alignment vertical="center"/>
    </xf>
    <xf numFmtId="0" fontId="99" fillId="0" borderId="86" xfId="84"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94" fillId="0" borderId="69" xfId="0" applyFont="1" applyFill="1" applyBorder="1" applyAlignment="1">
      <alignment horizontal="centerContinuous" vertical="center"/>
    </xf>
    <xf numFmtId="0" fontId="38" fillId="0" borderId="69" xfId="0" applyFont="1" applyFill="1" applyBorder="1" applyAlignment="1">
      <alignment horizontal="center" vertical="center"/>
    </xf>
    <xf numFmtId="0" fontId="227" fillId="0" borderId="0" xfId="0" applyFont="1" applyFill="1" applyAlignment="1">
      <alignment horizontal="center" vertical="center"/>
    </xf>
    <xf numFmtId="0" fontId="38" fillId="4" borderId="0" xfId="0" applyFont="1" applyFill="1" applyBorder="1" applyAlignment="1" applyProtection="1">
      <alignment horizontal="centerContinuous" vertical="center"/>
    </xf>
    <xf numFmtId="0" fontId="30" fillId="0" borderId="0" xfId="0" applyFont="1" applyBorder="1" applyAlignment="1" applyProtection="1">
      <alignment vertical="center" wrapText="1"/>
    </xf>
    <xf numFmtId="171" fontId="38" fillId="0" borderId="5" xfId="0" applyNumberFormat="1" applyFont="1" applyFill="1" applyBorder="1" applyAlignment="1" applyProtection="1">
      <alignment vertical="center"/>
      <protection locked="0"/>
    </xf>
    <xf numFmtId="170" fontId="38" fillId="7" borderId="6" xfId="0" applyNumberFormat="1" applyFont="1" applyFill="1" applyBorder="1" applyAlignment="1" applyProtection="1">
      <alignment horizontal="center" vertical="center"/>
      <protection locked="0"/>
    </xf>
    <xf numFmtId="170" fontId="38" fillId="7" borderId="6" xfId="0" applyNumberFormat="1" applyFont="1" applyFill="1" applyBorder="1" applyAlignment="1" applyProtection="1">
      <alignment vertical="center"/>
      <protection locked="0"/>
    </xf>
    <xf numFmtId="165" fontId="50" fillId="0" borderId="3" xfId="1" applyNumberFormat="1" applyFont="1" applyFill="1" applyBorder="1" applyAlignment="1" applyProtection="1">
      <alignment horizontal="center" vertical="center"/>
    </xf>
    <xf numFmtId="170" fontId="38" fillId="7" borderId="9" xfId="0" applyNumberFormat="1" applyFont="1" applyFill="1" applyBorder="1" applyAlignment="1" applyProtection="1">
      <alignment vertical="center"/>
      <protection locked="0"/>
    </xf>
    <xf numFmtId="0" fontId="38" fillId="0" borderId="69" xfId="0" applyFont="1" applyFill="1" applyBorder="1" applyAlignment="1" applyProtection="1">
      <alignment vertical="center"/>
    </xf>
    <xf numFmtId="0" fontId="228" fillId="0" borderId="0" xfId="0" applyFont="1" applyFill="1" applyAlignment="1">
      <alignment horizontal="centerContinuous" vertical="center"/>
    </xf>
    <xf numFmtId="0" fontId="228" fillId="0" borderId="7" xfId="0" applyFont="1" applyFill="1" applyBorder="1" applyAlignment="1">
      <alignment horizontal="centerContinuous" vertical="center"/>
    </xf>
    <xf numFmtId="0" fontId="228" fillId="0" borderId="69" xfId="0" applyFont="1" applyFill="1" applyBorder="1" applyAlignment="1">
      <alignment horizontal="centerContinuous" vertical="center"/>
    </xf>
    <xf numFmtId="16" fontId="38" fillId="0" borderId="1" xfId="0" quotePrefix="1"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protection locked="0"/>
    </xf>
    <xf numFmtId="0" fontId="38" fillId="0" borderId="69" xfId="8" applyNumberFormat="1" applyFont="1" applyFill="1" applyBorder="1" applyAlignment="1" applyProtection="1">
      <alignment horizontal="center" vertical="center"/>
    </xf>
    <xf numFmtId="0" fontId="231" fillId="0" borderId="0" xfId="0" applyFont="1" applyFill="1" applyAlignment="1">
      <alignment horizontal="centerContinuous" vertical="center"/>
    </xf>
    <xf numFmtId="0" fontId="231" fillId="0" borderId="69" xfId="0" applyFont="1" applyFill="1" applyBorder="1" applyAlignment="1">
      <alignment horizontal="centerContinuous" vertical="center"/>
    </xf>
    <xf numFmtId="174" fontId="232" fillId="13" borderId="9" xfId="0" applyNumberFormat="1" applyFont="1" applyFill="1" applyBorder="1" applyAlignment="1" applyProtection="1">
      <alignment vertical="center" wrapText="1"/>
    </xf>
    <xf numFmtId="0" fontId="51" fillId="0" borderId="9" xfId="0" quotePrefix="1" applyFont="1" applyFill="1" applyBorder="1" applyAlignment="1" applyProtection="1">
      <alignment horizontal="centerContinuous" vertical="center"/>
    </xf>
    <xf numFmtId="0" fontId="51" fillId="4" borderId="9" xfId="0" applyFont="1" applyFill="1" applyBorder="1" applyAlignment="1" applyProtection="1">
      <alignment horizontal="centerContinuous" vertical="center"/>
    </xf>
    <xf numFmtId="0" fontId="51" fillId="0" borderId="9" xfId="0" applyFont="1" applyFill="1" applyBorder="1" applyAlignment="1" applyProtection="1">
      <alignment horizontal="center" vertical="center" wrapText="1"/>
    </xf>
    <xf numFmtId="0" fontId="51" fillId="0" borderId="69" xfId="0" applyFont="1" applyFill="1" applyBorder="1" applyAlignment="1">
      <alignment horizontal="center" vertical="center"/>
    </xf>
    <xf numFmtId="0" fontId="51" fillId="0" borderId="0" xfId="0" applyFont="1" applyFill="1" applyAlignment="1">
      <alignment horizontal="center" vertical="center"/>
    </xf>
    <xf numFmtId="0" fontId="51" fillId="4" borderId="0" xfId="0" applyFont="1" applyFill="1" applyBorder="1" applyAlignment="1" applyProtection="1">
      <alignment horizontal="centerContinuous" vertical="center"/>
    </xf>
    <xf numFmtId="174" fontId="51" fillId="13" borderId="9" xfId="0" applyNumberFormat="1" applyFont="1" applyFill="1" applyBorder="1" applyAlignment="1" applyProtection="1">
      <alignment vertical="center" wrapText="1"/>
    </xf>
    <xf numFmtId="0" fontId="231" fillId="0" borderId="0" xfId="0" applyFont="1" applyFill="1" applyBorder="1" applyAlignment="1">
      <alignment horizontal="centerContinuous" vertical="center"/>
    </xf>
    <xf numFmtId="0" fontId="51" fillId="13" borderId="9" xfId="0" applyFont="1" applyFill="1" applyBorder="1" applyAlignment="1">
      <alignment horizontal="center" vertical="center"/>
    </xf>
    <xf numFmtId="0" fontId="51" fillId="4" borderId="0" xfId="0" applyFont="1" applyFill="1" applyAlignment="1" applyProtection="1">
      <alignment horizontal="centerContinuous" vertical="center"/>
    </xf>
    <xf numFmtId="0" fontId="51" fillId="0" borderId="0" xfId="0" applyFont="1" applyFill="1" applyBorder="1" applyAlignment="1" applyProtection="1">
      <alignment horizontal="center" vertical="center" wrapText="1"/>
    </xf>
    <xf numFmtId="0" fontId="51" fillId="0" borderId="6" xfId="0" quotePrefix="1" applyFont="1" applyFill="1" applyBorder="1" applyAlignment="1" applyProtection="1">
      <alignment horizontal="centerContinuous" vertical="center"/>
    </xf>
    <xf numFmtId="182" fontId="24" fillId="0" borderId="101" xfId="0" applyNumberFormat="1" applyFont="1" applyFill="1" applyBorder="1" applyAlignment="1" applyProtection="1">
      <alignment vertical="center" wrapText="1"/>
    </xf>
    <xf numFmtId="0" fontId="11" fillId="5" borderId="1" xfId="0" applyFont="1" applyFill="1" applyBorder="1" applyAlignment="1" applyProtection="1">
      <alignment horizontal="center" vertical="center"/>
    </xf>
    <xf numFmtId="0" fontId="17" fillId="5" borderId="5" xfId="8" applyFont="1" applyFill="1" applyBorder="1" applyAlignment="1" applyProtection="1">
      <alignment horizontal="center" vertical="center" wrapText="1"/>
    </xf>
    <xf numFmtId="0" fontId="38" fillId="5" borderId="1" xfId="0" applyFont="1" applyFill="1" applyBorder="1" applyAlignment="1" applyProtection="1">
      <alignment horizontal="center" vertical="center"/>
    </xf>
    <xf numFmtId="0" fontId="14" fillId="5" borderId="5" xfId="0" applyFont="1" applyFill="1" applyBorder="1" applyAlignment="1" applyProtection="1">
      <alignment horizontal="center" vertical="center"/>
    </xf>
    <xf numFmtId="0" fontId="10" fillId="5" borderId="0" xfId="0" applyFont="1" applyFill="1" applyBorder="1" applyAlignment="1" applyProtection="1">
      <alignment horizontal="center" vertical="center"/>
    </xf>
    <xf numFmtId="0" fontId="10" fillId="5" borderId="0" xfId="0" applyFont="1" applyFill="1" applyAlignment="1" applyProtection="1">
      <alignment horizontal="center" vertical="center"/>
    </xf>
    <xf numFmtId="0" fontId="63" fillId="0" borderId="0" xfId="0" applyFont="1" applyAlignment="1" applyProtection="1">
      <alignment vertical="center" wrapText="1"/>
    </xf>
    <xf numFmtId="0" fontId="10" fillId="0" borderId="5" xfId="0" applyFont="1" applyFill="1" applyBorder="1" applyAlignment="1" applyProtection="1">
      <alignment horizontal="center" vertical="center"/>
    </xf>
    <xf numFmtId="182" fontId="10" fillId="5" borderId="0" xfId="0" applyNumberFormat="1" applyFont="1" applyFill="1" applyAlignment="1" applyProtection="1">
      <alignment horizontal="center" vertical="center"/>
    </xf>
    <xf numFmtId="0" fontId="63" fillId="0" borderId="0" xfId="0" applyFont="1" applyFill="1" applyAlignment="1" applyProtection="1">
      <alignment horizontal="centerContinuous" vertical="center" wrapText="1"/>
    </xf>
    <xf numFmtId="0" fontId="60" fillId="0" borderId="0" xfId="0" applyFont="1" applyFill="1" applyBorder="1" applyAlignment="1" applyProtection="1">
      <alignment horizontal="centerContinuous" vertical="center" wrapText="1"/>
    </xf>
    <xf numFmtId="0" fontId="63" fillId="11" borderId="0" xfId="0" applyFont="1" applyFill="1" applyAlignment="1" applyProtection="1">
      <alignment horizontal="centerContinuous" vertical="center" wrapText="1"/>
    </xf>
    <xf numFmtId="0" fontId="60" fillId="11" borderId="0" xfId="0" applyFont="1" applyFill="1" applyBorder="1" applyAlignment="1" applyProtection="1">
      <alignment horizontal="centerContinuous" vertical="center" wrapText="1"/>
    </xf>
    <xf numFmtId="0" fontId="146" fillId="11" borderId="69" xfId="0" applyFont="1" applyFill="1" applyBorder="1" applyAlignment="1" applyProtection="1">
      <alignment vertical="center" wrapText="1"/>
    </xf>
    <xf numFmtId="0" fontId="10" fillId="11" borderId="0" xfId="0" applyFont="1" applyFill="1" applyBorder="1" applyAlignment="1" applyProtection="1">
      <alignment horizontal="left" vertical="center" wrapText="1"/>
    </xf>
    <xf numFmtId="0" fontId="24" fillId="11" borderId="100" xfId="0" applyFont="1" applyFill="1" applyBorder="1" applyAlignment="1" applyProtection="1">
      <alignment vertical="center" wrapText="1"/>
    </xf>
    <xf numFmtId="182" fontId="24" fillId="11" borderId="101" xfId="0" applyNumberFormat="1" applyFont="1" applyFill="1" applyBorder="1" applyAlignment="1" applyProtection="1">
      <alignment vertical="center" wrapText="1"/>
    </xf>
    <xf numFmtId="0" fontId="10" fillId="11" borderId="0" xfId="0" applyFont="1" applyFill="1" applyAlignment="1" applyProtection="1">
      <alignment horizontal="center" vertical="center"/>
    </xf>
    <xf numFmtId="0" fontId="63" fillId="14" borderId="0" xfId="0" applyFont="1" applyFill="1" applyAlignment="1" applyProtection="1">
      <alignment horizontal="centerContinuous" vertical="center" wrapText="1"/>
    </xf>
    <xf numFmtId="0" fontId="60" fillId="14" borderId="0" xfId="0" applyFont="1" applyFill="1" applyBorder="1" applyAlignment="1" applyProtection="1">
      <alignment horizontal="centerContinuous" vertical="center" wrapText="1"/>
    </xf>
    <xf numFmtId="0" fontId="24" fillId="14" borderId="0" xfId="0" applyFont="1" applyFill="1" applyBorder="1" applyAlignment="1" applyProtection="1">
      <alignment vertical="center"/>
      <protection locked="0"/>
    </xf>
    <xf numFmtId="0" fontId="24" fillId="14" borderId="100" xfId="0" applyFont="1" applyFill="1" applyBorder="1" applyAlignment="1" applyProtection="1">
      <alignment vertical="center" wrapText="1"/>
    </xf>
    <xf numFmtId="182" fontId="24" fillId="14" borderId="101" xfId="0" applyNumberFormat="1" applyFont="1" applyFill="1" applyBorder="1" applyAlignment="1" applyProtection="1">
      <alignment vertical="center" wrapText="1"/>
    </xf>
    <xf numFmtId="0" fontId="24" fillId="14" borderId="100" xfId="0" applyFont="1" applyFill="1" applyBorder="1" applyAlignment="1" applyProtection="1">
      <alignment vertical="center"/>
    </xf>
    <xf numFmtId="0" fontId="10" fillId="14" borderId="0" xfId="0" applyFont="1" applyFill="1" applyAlignment="1" applyProtection="1">
      <alignment horizontal="center" vertical="center"/>
    </xf>
    <xf numFmtId="0" fontId="10" fillId="14" borderId="0" xfId="0" applyFont="1" applyFill="1" applyBorder="1" applyAlignment="1" applyProtection="1">
      <alignment horizontal="left" vertical="center" wrapText="1"/>
    </xf>
    <xf numFmtId="0" fontId="146" fillId="14" borderId="69" xfId="0" applyFont="1" applyFill="1" applyBorder="1" applyAlignment="1" applyProtection="1">
      <alignment vertical="center" wrapText="1"/>
    </xf>
    <xf numFmtId="0" fontId="151" fillId="0" borderId="1" xfId="0" applyNumberFormat="1" applyFont="1" applyBorder="1" applyAlignment="1" applyProtection="1">
      <alignment horizontal="center" vertical="center"/>
    </xf>
    <xf numFmtId="0" fontId="14" fillId="0" borderId="13" xfId="0" applyFont="1" applyFill="1" applyBorder="1" applyAlignment="1" applyProtection="1">
      <alignment horizontal="center" vertical="center"/>
    </xf>
    <xf numFmtId="182" fontId="24" fillId="0" borderId="105" xfId="0" applyNumberFormat="1" applyFont="1" applyFill="1" applyBorder="1" applyAlignment="1" applyProtection="1">
      <alignment vertical="center" wrapText="1"/>
    </xf>
    <xf numFmtId="182" fontId="24" fillId="14" borderId="105" xfId="0" applyNumberFormat="1" applyFont="1" applyFill="1" applyBorder="1" applyAlignment="1" applyProtection="1">
      <alignment vertical="center" wrapText="1"/>
    </xf>
    <xf numFmtId="182" fontId="24" fillId="11" borderId="105" xfId="0" applyNumberFormat="1" applyFont="1" applyFill="1" applyBorder="1" applyAlignment="1" applyProtection="1">
      <alignment vertical="center" wrapText="1"/>
    </xf>
    <xf numFmtId="0" fontId="24" fillId="0" borderId="99" xfId="0" applyFont="1" applyFill="1" applyBorder="1" applyAlignment="1" applyProtection="1">
      <alignment vertical="center"/>
    </xf>
    <xf numFmtId="0" fontId="151" fillId="0" borderId="3" xfId="0" applyFont="1" applyBorder="1" applyAlignment="1" applyProtection="1">
      <alignment horizontal="center" vertical="center"/>
    </xf>
    <xf numFmtId="0" fontId="11" fillId="5" borderId="86" xfId="0" applyFont="1" applyFill="1" applyBorder="1" applyAlignment="1" applyProtection="1">
      <alignment horizontal="center" vertical="center"/>
    </xf>
    <xf numFmtId="0" fontId="17" fillId="5" borderId="87" xfId="8" applyFont="1" applyFill="1" applyBorder="1" applyAlignment="1" applyProtection="1">
      <alignment horizontal="center" vertical="center" wrapText="1"/>
    </xf>
    <xf numFmtId="0" fontId="38" fillId="5" borderId="86" xfId="0" applyFont="1" applyFill="1" applyBorder="1" applyAlignment="1" applyProtection="1">
      <alignment horizontal="center" vertical="center"/>
    </xf>
    <xf numFmtId="0" fontId="14" fillId="5" borderId="87" xfId="0" applyFont="1" applyFill="1" applyBorder="1" applyAlignment="1" applyProtection="1">
      <alignment horizontal="center" vertical="center"/>
    </xf>
    <xf numFmtId="0" fontId="24" fillId="0" borderId="106" xfId="0" applyFont="1" applyFill="1" applyBorder="1" applyAlignment="1" applyProtection="1">
      <alignment vertical="center" wrapText="1"/>
    </xf>
    <xf numFmtId="0" fontId="24" fillId="0" borderId="107" xfId="0" applyFont="1" applyFill="1" applyBorder="1" applyAlignment="1" applyProtection="1">
      <alignment vertical="center"/>
    </xf>
    <xf numFmtId="0" fontId="24" fillId="14" borderId="107" xfId="0" applyFont="1" applyFill="1" applyBorder="1" applyAlignment="1" applyProtection="1">
      <alignment vertical="center"/>
    </xf>
    <xf numFmtId="182" fontId="24" fillId="14" borderId="106" xfId="0" applyNumberFormat="1" applyFont="1" applyFill="1" applyBorder="1" applyAlignment="1" applyProtection="1">
      <alignment vertical="center" wrapText="1"/>
    </xf>
    <xf numFmtId="0" fontId="151" fillId="0" borderId="86" xfId="0" applyFont="1" applyFill="1" applyBorder="1" applyAlignment="1" applyProtection="1">
      <alignment horizontal="center" vertical="center"/>
    </xf>
    <xf numFmtId="0" fontId="151" fillId="0" borderId="86" xfId="0" applyNumberFormat="1" applyFont="1" applyBorder="1" applyAlignment="1" applyProtection="1">
      <alignment horizontal="center" vertical="center"/>
    </xf>
    <xf numFmtId="182" fontId="24" fillId="0" borderId="1" xfId="0" applyNumberFormat="1" applyFont="1" applyFill="1" applyBorder="1" applyAlignment="1" applyProtection="1">
      <alignment vertical="center" wrapText="1"/>
    </xf>
    <xf numFmtId="0" fontId="24" fillId="14" borderId="1" xfId="0" applyFont="1" applyFill="1" applyBorder="1" applyAlignment="1" applyProtection="1">
      <alignment vertical="center"/>
    </xf>
    <xf numFmtId="0" fontId="24" fillId="0" borderId="1" xfId="0" applyFont="1" applyFill="1" applyBorder="1" applyAlignment="1" applyProtection="1">
      <alignment vertical="center"/>
    </xf>
    <xf numFmtId="0" fontId="24" fillId="0" borderId="1" xfId="0" applyFont="1" applyFill="1" applyBorder="1" applyAlignment="1" applyProtection="1">
      <alignment vertical="center" wrapText="1"/>
    </xf>
    <xf numFmtId="182" fontId="24" fillId="0" borderId="106" xfId="0" applyNumberFormat="1" applyFont="1" applyFill="1" applyBorder="1" applyAlignment="1" applyProtection="1">
      <alignment vertical="center" wrapText="1"/>
    </xf>
    <xf numFmtId="0" fontId="10" fillId="0" borderId="87" xfId="0" applyFont="1" applyFill="1" applyBorder="1" applyAlignment="1" applyProtection="1">
      <alignment horizontal="center" vertical="center"/>
    </xf>
    <xf numFmtId="0" fontId="24" fillId="0" borderId="108" xfId="0" applyFont="1" applyFill="1" applyBorder="1" applyAlignment="1" applyProtection="1">
      <alignment vertical="center"/>
    </xf>
    <xf numFmtId="0" fontId="24" fillId="0" borderId="109" xfId="0" applyFont="1" applyFill="1" applyBorder="1" applyAlignment="1" applyProtection="1">
      <alignment vertical="center" wrapText="1"/>
    </xf>
    <xf numFmtId="0" fontId="24" fillId="0" borderId="110" xfId="0" applyFont="1" applyFill="1" applyBorder="1" applyAlignment="1" applyProtection="1">
      <alignment vertical="center" wrapText="1"/>
    </xf>
    <xf numFmtId="0" fontId="24" fillId="14" borderId="3" xfId="0" applyFont="1" applyFill="1" applyBorder="1" applyAlignment="1" applyProtection="1">
      <alignment vertical="center"/>
    </xf>
    <xf numFmtId="0" fontId="10" fillId="14" borderId="0" xfId="0" applyFont="1" applyFill="1" applyBorder="1" applyAlignment="1" applyProtection="1">
      <alignment horizontal="center" vertical="center"/>
    </xf>
    <xf numFmtId="0" fontId="10" fillId="11" borderId="0" xfId="0" applyFont="1" applyFill="1" applyBorder="1" applyAlignment="1" applyProtection="1">
      <alignment horizontal="center" vertical="center"/>
    </xf>
    <xf numFmtId="0" fontId="10" fillId="0" borderId="87" xfId="0" applyFont="1" applyBorder="1" applyAlignment="1" applyProtection="1">
      <alignment horizontal="center" vertical="center"/>
    </xf>
    <xf numFmtId="182" fontId="24" fillId="0" borderId="5" xfId="0" applyNumberFormat="1" applyFont="1" applyFill="1" applyBorder="1" applyAlignment="1" applyProtection="1">
      <alignment vertical="center" wrapText="1"/>
    </xf>
    <xf numFmtId="0" fontId="24" fillId="0" borderId="13" xfId="0" applyFont="1" applyFill="1" applyBorder="1" applyAlignment="1" applyProtection="1">
      <alignment vertical="center" wrapText="1"/>
    </xf>
    <xf numFmtId="0" fontId="10" fillId="14" borderId="8" xfId="0" applyFont="1" applyFill="1" applyBorder="1" applyAlignment="1" applyProtection="1">
      <alignment horizontal="center" vertical="center"/>
    </xf>
    <xf numFmtId="0" fontId="10" fillId="11" borderId="8" xfId="0" applyFont="1" applyFill="1" applyBorder="1" applyAlignment="1" applyProtection="1">
      <alignment horizontal="center" vertical="center"/>
    </xf>
    <xf numFmtId="0" fontId="24" fillId="0" borderId="8" xfId="0" applyFont="1" applyFill="1" applyBorder="1" applyAlignment="1" applyProtection="1">
      <alignment vertical="center"/>
    </xf>
    <xf numFmtId="0" fontId="24" fillId="0" borderId="12" xfId="0" applyFont="1" applyFill="1" applyBorder="1" applyAlignment="1" applyProtection="1">
      <alignment vertical="center"/>
    </xf>
    <xf numFmtId="0" fontId="24" fillId="0" borderId="11" xfId="0" applyFont="1" applyFill="1" applyBorder="1" applyAlignment="1" applyProtection="1">
      <alignment vertical="center" wrapText="1"/>
    </xf>
    <xf numFmtId="0" fontId="24" fillId="0" borderId="16" xfId="0" applyFont="1" applyFill="1" applyBorder="1" applyAlignment="1" applyProtection="1">
      <alignment vertical="center"/>
    </xf>
    <xf numFmtId="0" fontId="24" fillId="0" borderId="87" xfId="0" applyFont="1" applyFill="1" applyBorder="1" applyAlignment="1" applyProtection="1">
      <alignment vertical="center" wrapText="1"/>
    </xf>
    <xf numFmtId="0" fontId="10" fillId="14" borderId="69" xfId="0" applyFont="1" applyFill="1" applyBorder="1" applyAlignment="1" applyProtection="1">
      <alignment horizontal="center" vertical="center"/>
    </xf>
    <xf numFmtId="0" fontId="10" fillId="11" borderId="69" xfId="0" applyFont="1" applyFill="1" applyBorder="1" applyAlignment="1" applyProtection="1">
      <alignment horizontal="center" vertical="center"/>
    </xf>
    <xf numFmtId="0" fontId="24" fillId="0" borderId="69" xfId="0" applyFont="1" applyFill="1" applyBorder="1" applyAlignment="1" applyProtection="1">
      <alignment vertical="center"/>
    </xf>
    <xf numFmtId="0" fontId="24" fillId="0" borderId="70" xfId="0" applyFont="1" applyFill="1" applyBorder="1" applyAlignment="1" applyProtection="1">
      <alignment vertical="center"/>
    </xf>
    <xf numFmtId="0" fontId="10" fillId="0" borderId="13" xfId="0" applyFont="1" applyFill="1" applyBorder="1" applyAlignment="1" applyProtection="1">
      <alignment horizontal="center" vertical="center"/>
    </xf>
    <xf numFmtId="0" fontId="10" fillId="0" borderId="8" xfId="0" applyFont="1" applyFill="1" applyBorder="1" applyAlignment="1" applyProtection="1">
      <alignment horizontal="center" vertical="center"/>
    </xf>
    <xf numFmtId="0" fontId="10" fillId="0" borderId="12" xfId="0" applyFont="1" applyFill="1" applyBorder="1" applyAlignment="1" applyProtection="1">
      <alignment horizontal="center" vertical="center"/>
    </xf>
    <xf numFmtId="0" fontId="10" fillId="0" borderId="11" xfId="0" applyFont="1" applyFill="1" applyBorder="1" applyAlignment="1" applyProtection="1">
      <alignment horizontal="center" vertical="center"/>
    </xf>
    <xf numFmtId="0" fontId="10" fillId="0" borderId="16" xfId="0" applyFont="1" applyFill="1" applyBorder="1" applyAlignment="1" applyProtection="1">
      <alignment horizontal="center" vertical="center"/>
    </xf>
    <xf numFmtId="182" fontId="24" fillId="0" borderId="87" xfId="0" applyNumberFormat="1" applyFont="1" applyFill="1" applyBorder="1" applyAlignment="1" applyProtection="1">
      <alignment vertical="center" wrapText="1"/>
    </xf>
    <xf numFmtId="182" fontId="24" fillId="0" borderId="69" xfId="0" applyNumberFormat="1" applyFont="1" applyFill="1" applyBorder="1" applyAlignment="1" applyProtection="1">
      <alignment vertical="center" wrapText="1"/>
    </xf>
    <xf numFmtId="182" fontId="24" fillId="0" borderId="70" xfId="0" applyNumberFormat="1" applyFont="1" applyFill="1" applyBorder="1" applyAlignment="1" applyProtection="1">
      <alignment vertical="center" wrapText="1"/>
    </xf>
    <xf numFmtId="0" fontId="230" fillId="0" borderId="0" xfId="0" applyFont="1" applyFill="1" applyAlignment="1">
      <alignment horizontal="left" vertical="center"/>
    </xf>
    <xf numFmtId="14" fontId="38" fillId="13" borderId="5" xfId="0" applyNumberFormat="1" applyFont="1" applyFill="1" applyBorder="1" applyAlignment="1" applyProtection="1">
      <alignment horizontal="left" vertical="center"/>
    </xf>
    <xf numFmtId="0" fontId="38" fillId="0" borderId="3" xfId="0" applyFont="1" applyFill="1" applyBorder="1" applyAlignment="1" applyProtection="1">
      <alignment horizontal="left" vertical="center" wrapText="1"/>
    </xf>
    <xf numFmtId="0" fontId="38" fillId="0" borderId="86" xfId="0" applyFont="1" applyFill="1" applyBorder="1" applyAlignment="1" applyProtection="1">
      <alignment horizontal="left" vertical="center" wrapText="1"/>
    </xf>
    <xf numFmtId="0" fontId="38" fillId="0" borderId="5" xfId="0" applyFont="1" applyFill="1" applyBorder="1" applyAlignment="1">
      <alignment horizontal="left" vertical="center"/>
    </xf>
    <xf numFmtId="0" fontId="38" fillId="0" borderId="3" xfId="0" applyFont="1" applyFill="1" applyBorder="1" applyAlignment="1">
      <alignment horizontal="left" vertical="center"/>
    </xf>
    <xf numFmtId="0" fontId="38" fillId="0" borderId="2" xfId="0" applyFont="1" applyFill="1" applyBorder="1" applyAlignment="1">
      <alignment horizontal="left" vertical="center"/>
    </xf>
    <xf numFmtId="0" fontId="38" fillId="0" borderId="1" xfId="0" applyFont="1" applyFill="1" applyBorder="1" applyAlignment="1" applyProtection="1">
      <alignment horizontal="left" vertical="center"/>
    </xf>
    <xf numFmtId="0" fontId="38" fillId="0" borderId="9" xfId="0" applyFont="1" applyFill="1" applyBorder="1" applyAlignment="1" applyProtection="1">
      <alignment horizontal="left" vertical="center"/>
    </xf>
    <xf numFmtId="0" fontId="38" fillId="0" borderId="3" xfId="0" applyFont="1" applyFill="1" applyBorder="1" applyAlignment="1" applyProtection="1">
      <alignment horizontal="left" vertical="center"/>
    </xf>
    <xf numFmtId="0" fontId="38" fillId="0" borderId="10" xfId="0" applyFont="1" applyFill="1" applyBorder="1" applyAlignment="1" applyProtection="1">
      <alignment horizontal="left" vertical="center"/>
    </xf>
    <xf numFmtId="0" fontId="38" fillId="0" borderId="7" xfId="0" applyFont="1" applyFill="1" applyBorder="1" applyAlignment="1">
      <alignment horizontal="left" vertical="center"/>
    </xf>
    <xf numFmtId="0" fontId="38" fillId="14" borderId="3" xfId="0" applyFont="1" applyFill="1" applyBorder="1" applyAlignment="1">
      <alignment horizontal="left" vertical="center"/>
    </xf>
    <xf numFmtId="0" fontId="38" fillId="0" borderId="101" xfId="0" applyFont="1" applyFill="1" applyBorder="1" applyAlignment="1" applyProtection="1">
      <alignment horizontal="centerContinuous" vertical="center" wrapText="1"/>
    </xf>
    <xf numFmtId="0" fontId="38" fillId="0" borderId="100" xfId="0" applyFont="1" applyFill="1" applyBorder="1" applyAlignment="1" applyProtection="1">
      <alignment horizontal="centerContinuous" vertical="center" wrapText="1"/>
    </xf>
    <xf numFmtId="0" fontId="0" fillId="0" borderId="46" xfId="0" applyFont="1" applyBorder="1" applyAlignment="1">
      <alignment horizontal="centerContinuous" vertical="center" wrapText="1"/>
    </xf>
    <xf numFmtId="0" fontId="38" fillId="0" borderId="100" xfId="0" applyFont="1" applyFill="1" applyBorder="1" applyAlignment="1" applyProtection="1">
      <alignment vertical="center"/>
    </xf>
    <xf numFmtId="0" fontId="38" fillId="0" borderId="100" xfId="0" applyFont="1" applyFill="1" applyBorder="1" applyAlignment="1" applyProtection="1">
      <alignment horizontal="centerContinuous" vertical="center"/>
    </xf>
    <xf numFmtId="0" fontId="38" fillId="0" borderId="46" xfId="0" applyFont="1" applyFill="1" applyBorder="1" applyAlignment="1" applyProtection="1">
      <alignment horizontal="centerContinuous" vertical="center"/>
    </xf>
    <xf numFmtId="176" fontId="50" fillId="0" borderId="101" xfId="1"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wrapText="1"/>
    </xf>
    <xf numFmtId="167" fontId="38" fillId="0" borderId="100" xfId="0" applyNumberFormat="1" applyFont="1" applyFill="1" applyBorder="1" applyAlignment="1">
      <alignment horizontal="center" vertical="center"/>
    </xf>
    <xf numFmtId="167" fontId="38" fillId="0" borderId="100" xfId="0" applyNumberFormat="1" applyFont="1" applyFill="1" applyBorder="1" applyAlignment="1" applyProtection="1">
      <alignment horizontal="center" vertical="center"/>
    </xf>
    <xf numFmtId="166" fontId="38" fillId="0" borderId="46" xfId="0" applyNumberFormat="1" applyFont="1" applyFill="1" applyBorder="1" applyAlignment="1">
      <alignment horizontal="center" vertical="center"/>
    </xf>
    <xf numFmtId="165" fontId="50" fillId="0" borderId="101" xfId="1" applyNumberFormat="1" applyFont="1" applyFill="1" applyBorder="1" applyAlignment="1" applyProtection="1">
      <alignment horizontal="center" vertical="center"/>
    </xf>
    <xf numFmtId="166" fontId="38" fillId="0" borderId="108" xfId="0" applyNumberFormat="1" applyFont="1" applyFill="1" applyBorder="1" applyAlignment="1">
      <alignment horizontal="center" vertical="center"/>
    </xf>
    <xf numFmtId="170" fontId="38" fillId="0" borderId="100" xfId="0" applyNumberFormat="1" applyFont="1" applyFill="1" applyBorder="1" applyAlignment="1" applyProtection="1">
      <alignment horizontal="center" vertical="center"/>
      <protection locked="0"/>
    </xf>
    <xf numFmtId="167" fontId="38" fillId="0" borderId="100" xfId="0" applyNumberFormat="1" applyFont="1" applyFill="1" applyBorder="1" applyAlignment="1" applyProtection="1">
      <alignment horizontal="center" vertical="center"/>
      <protection locked="0"/>
    </xf>
    <xf numFmtId="170" fontId="38" fillId="0" borderId="108" xfId="0" applyNumberFormat="1" applyFont="1" applyFill="1" applyBorder="1" applyAlignment="1" applyProtection="1">
      <alignment horizontal="center" vertical="center"/>
      <protection locked="0"/>
    </xf>
    <xf numFmtId="173" fontId="50" fillId="0" borderId="101" xfId="7"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xf>
    <xf numFmtId="166" fontId="38" fillId="0" borderId="100" xfId="0" applyNumberFormat="1" applyFont="1" applyFill="1" applyBorder="1" applyAlignment="1">
      <alignment horizontal="center" vertical="center"/>
    </xf>
    <xf numFmtId="168" fontId="38" fillId="0" borderId="100" xfId="0" applyNumberFormat="1" applyFont="1" applyFill="1" applyBorder="1" applyAlignment="1" applyProtection="1">
      <alignment horizontal="center" vertical="center"/>
    </xf>
    <xf numFmtId="168" fontId="38" fillId="0" borderId="46" xfId="0" applyNumberFormat="1" applyFont="1" applyFill="1" applyBorder="1" applyAlignment="1">
      <alignment horizontal="center" vertical="center"/>
    </xf>
    <xf numFmtId="0" fontId="38" fillId="0" borderId="100" xfId="0" applyFont="1" applyFill="1" applyBorder="1" applyAlignment="1" applyProtection="1">
      <alignment horizontal="center" vertical="center"/>
    </xf>
    <xf numFmtId="0" fontId="38" fillId="0" borderId="112" xfId="0" applyFont="1" applyFill="1" applyBorder="1" applyAlignment="1">
      <alignment horizontal="center" vertical="center"/>
    </xf>
    <xf numFmtId="0" fontId="38" fillId="0" borderId="113" xfId="0" applyFont="1" applyFill="1" applyBorder="1" applyAlignment="1">
      <alignment horizontal="center" vertical="center"/>
    </xf>
    <xf numFmtId="168" fontId="38" fillId="0" borderId="108" xfId="0" applyNumberFormat="1" applyFont="1" applyFill="1" applyBorder="1" applyAlignment="1">
      <alignment horizontal="center" vertical="center"/>
    </xf>
    <xf numFmtId="176" fontId="38" fillId="0" borderId="101" xfId="0" applyNumberFormat="1" applyFont="1" applyFill="1" applyBorder="1" applyAlignment="1" applyProtection="1">
      <alignment horizontal="center" vertical="center"/>
    </xf>
    <xf numFmtId="0" fontId="38" fillId="0" borderId="46" xfId="0" applyFont="1" applyFill="1" applyBorder="1" applyAlignment="1" applyProtection="1">
      <alignment horizontal="center" vertical="center"/>
    </xf>
    <xf numFmtId="173" fontId="38" fillId="0" borderId="101" xfId="7" applyNumberFormat="1" applyFont="1" applyFill="1" applyBorder="1" applyAlignment="1" applyProtection="1">
      <alignment horizontal="center" vertical="center"/>
    </xf>
    <xf numFmtId="182" fontId="24" fillId="0" borderId="101" xfId="8" applyNumberFormat="1" applyFont="1" applyFill="1" applyBorder="1" applyAlignment="1" applyProtection="1">
      <alignment horizontal="center" vertical="center" wrapText="1"/>
      <protection locked="0"/>
    </xf>
    <xf numFmtId="183" fontId="24" fillId="0" borderId="101" xfId="8" applyNumberFormat="1" applyFont="1" applyFill="1" applyBorder="1" applyAlignment="1" applyProtection="1">
      <alignment horizontal="center" vertical="center" wrapText="1"/>
      <protection locked="0"/>
    </xf>
    <xf numFmtId="0" fontId="38" fillId="0" borderId="111" xfId="0" applyFont="1" applyFill="1" applyBorder="1" applyAlignment="1">
      <alignment horizontal="center" vertical="center"/>
    </xf>
    <xf numFmtId="169" fontId="38" fillId="14" borderId="100" xfId="0" applyNumberFormat="1" applyFont="1" applyFill="1" applyBorder="1" applyAlignment="1">
      <alignment horizontal="center" vertical="center"/>
    </xf>
    <xf numFmtId="170" fontId="38" fillId="14" borderId="100" xfId="0" applyNumberFormat="1" applyFont="1" applyFill="1" applyBorder="1" applyAlignment="1" applyProtection="1">
      <alignment vertical="center"/>
      <protection locked="0"/>
    </xf>
    <xf numFmtId="170" fontId="38" fillId="0" borderId="108" xfId="0" applyNumberFormat="1" applyFont="1" applyFill="1" applyBorder="1" applyAlignment="1" applyProtection="1">
      <alignment vertical="center"/>
      <protection locked="0"/>
    </xf>
    <xf numFmtId="0" fontId="38" fillId="0" borderId="105" xfId="0" applyFont="1" applyFill="1" applyBorder="1" applyAlignment="1" applyProtection="1">
      <alignment horizontal="center" vertical="center" wrapText="1"/>
    </xf>
    <xf numFmtId="176" fontId="50" fillId="0" borderId="101" xfId="1" applyNumberFormat="1" applyFont="1" applyFill="1" applyBorder="1" applyAlignment="1" applyProtection="1">
      <alignment vertical="center"/>
    </xf>
    <xf numFmtId="169" fontId="38" fillId="0" borderId="100" xfId="0" applyNumberFormat="1" applyFont="1" applyFill="1" applyBorder="1" applyAlignment="1">
      <alignment vertical="center" wrapText="1"/>
    </xf>
    <xf numFmtId="167" fontId="38" fillId="0" borderId="100" xfId="0" applyNumberFormat="1" applyFont="1" applyFill="1" applyBorder="1" applyAlignment="1">
      <alignment vertical="center"/>
    </xf>
    <xf numFmtId="177" fontId="38" fillId="0" borderId="100" xfId="0" applyNumberFormat="1" applyFont="1" applyFill="1" applyBorder="1" applyAlignment="1" applyProtection="1">
      <alignment vertical="center"/>
    </xf>
    <xf numFmtId="166" fontId="38" fillId="0" borderId="46" xfId="8" applyNumberFormat="1" applyFont="1" applyFill="1" applyBorder="1" applyAlignment="1" applyProtection="1">
      <alignment horizontal="center" vertical="center"/>
    </xf>
    <xf numFmtId="166" fontId="38" fillId="0" borderId="46" xfId="0" applyNumberFormat="1" applyFont="1" applyFill="1" applyBorder="1" applyAlignment="1" applyProtection="1">
      <alignment horizontal="center" vertical="center"/>
    </xf>
    <xf numFmtId="167" fontId="38" fillId="0" borderId="46" xfId="8" applyNumberFormat="1" applyFont="1" applyFill="1" applyBorder="1" applyAlignment="1" applyProtection="1">
      <alignment horizontal="center" vertical="center"/>
    </xf>
    <xf numFmtId="165" fontId="50" fillId="0" borderId="101" xfId="1" applyNumberFormat="1" applyFont="1" applyFill="1" applyBorder="1" applyAlignment="1" applyProtection="1">
      <alignment vertical="center"/>
    </xf>
    <xf numFmtId="170" fontId="38" fillId="0" borderId="100" xfId="0" applyNumberFormat="1" applyFont="1" applyFill="1" applyBorder="1" applyAlignment="1" applyProtection="1">
      <alignment vertical="center"/>
      <protection locked="0"/>
    </xf>
    <xf numFmtId="167" fontId="38" fillId="0" borderId="100" xfId="0" applyNumberFormat="1" applyFont="1" applyFill="1" applyBorder="1" applyAlignment="1" applyProtection="1">
      <alignment vertical="center"/>
      <protection locked="0"/>
    </xf>
    <xf numFmtId="170" fontId="38" fillId="0" borderId="46" xfId="8" applyNumberFormat="1" applyFont="1" applyFill="1" applyBorder="1" applyAlignment="1" applyProtection="1">
      <alignment vertical="center"/>
    </xf>
    <xf numFmtId="173" fontId="50" fillId="0" borderId="101" xfId="7" applyNumberFormat="1" applyFont="1" applyFill="1" applyBorder="1" applyAlignment="1" applyProtection="1">
      <alignment vertical="center"/>
    </xf>
    <xf numFmtId="169" fontId="38" fillId="0" borderId="100" xfId="0" applyNumberFormat="1" applyFont="1" applyFill="1" applyBorder="1" applyAlignment="1">
      <alignment vertical="center"/>
    </xf>
    <xf numFmtId="166" fontId="38" fillId="0" borderId="100" xfId="0" applyNumberFormat="1" applyFont="1" applyFill="1" applyBorder="1" applyAlignment="1">
      <alignment vertical="center"/>
    </xf>
    <xf numFmtId="10" fontId="50" fillId="0" borderId="101" xfId="7" applyNumberFormat="1" applyFont="1" applyFill="1" applyBorder="1" applyAlignment="1" applyProtection="1">
      <alignment vertical="center"/>
    </xf>
    <xf numFmtId="176" fontId="38" fillId="0" borderId="100" xfId="0" applyNumberFormat="1" applyFont="1" applyFill="1" applyBorder="1" applyAlignment="1" applyProtection="1">
      <alignment vertical="center"/>
    </xf>
    <xf numFmtId="168" fontId="51" fillId="0" borderId="100" xfId="0" applyNumberFormat="1" applyFont="1" applyFill="1" applyBorder="1" applyAlignment="1" applyProtection="1">
      <alignment horizontal="center" vertical="center"/>
    </xf>
    <xf numFmtId="0" fontId="51" fillId="0" borderId="100" xfId="0" applyFont="1" applyFill="1" applyBorder="1" applyAlignment="1" applyProtection="1">
      <alignment horizontal="centerContinuous" vertical="center" wrapText="1"/>
    </xf>
    <xf numFmtId="170" fontId="38" fillId="0" borderId="46" xfId="0" applyNumberFormat="1" applyFont="1" applyFill="1" applyBorder="1" applyAlignment="1" applyProtection="1">
      <alignment vertical="center"/>
      <protection locked="0"/>
    </xf>
    <xf numFmtId="173" fontId="38" fillId="0" borderId="100" xfId="7" applyNumberFormat="1" applyFont="1" applyFill="1" applyBorder="1" applyAlignment="1" applyProtection="1">
      <alignment horizontal="center" vertical="center"/>
    </xf>
    <xf numFmtId="168" fontId="38" fillId="0" borderId="46" xfId="0" applyNumberFormat="1" applyFont="1" applyFill="1" applyBorder="1" applyAlignment="1" applyProtection="1">
      <alignment horizontal="center" vertical="center"/>
    </xf>
    <xf numFmtId="0" fontId="0" fillId="0" borderId="100" xfId="0" applyFont="1" applyBorder="1" applyAlignment="1">
      <alignment horizontal="centerContinuous" vertical="center" wrapText="1"/>
    </xf>
    <xf numFmtId="0" fontId="38" fillId="0" borderId="46" xfId="0" applyFont="1" applyFill="1" applyBorder="1" applyAlignment="1" applyProtection="1">
      <alignment vertical="center" wrapText="1"/>
    </xf>
    <xf numFmtId="167" fontId="51" fillId="0" borderId="100" xfId="0" applyNumberFormat="1" applyFont="1" applyFill="1" applyBorder="1" applyAlignment="1" applyProtection="1">
      <alignment horizontal="center" vertical="center"/>
      <protection locked="0"/>
    </xf>
    <xf numFmtId="169" fontId="38" fillId="0" borderId="101" xfId="0" applyNumberFormat="1" applyFont="1" applyFill="1" applyBorder="1" applyAlignment="1" applyProtection="1">
      <alignment horizontal="center" vertical="center"/>
    </xf>
    <xf numFmtId="167" fontId="51" fillId="0" borderId="100" xfId="0" applyNumberFormat="1" applyFont="1" applyFill="1" applyBorder="1" applyAlignment="1" applyProtection="1">
      <alignment horizontal="center" vertical="center"/>
    </xf>
    <xf numFmtId="187" fontId="38" fillId="0" borderId="46" xfId="0" applyNumberFormat="1" applyFont="1" applyFill="1" applyBorder="1" applyAlignment="1" applyProtection="1">
      <alignment vertical="center" wrapText="1"/>
    </xf>
    <xf numFmtId="187" fontId="38" fillId="0" borderId="108" xfId="0" applyNumberFormat="1" applyFont="1" applyFill="1" applyBorder="1" applyAlignment="1" applyProtection="1">
      <alignment vertical="center" wrapText="1"/>
    </xf>
    <xf numFmtId="0" fontId="38" fillId="0" borderId="85" xfId="0" applyFont="1" applyFill="1" applyBorder="1" applyAlignment="1" applyProtection="1">
      <alignment vertical="center" wrapText="1"/>
    </xf>
    <xf numFmtId="0" fontId="38" fillId="0" borderId="46" xfId="0" applyFont="1" applyFill="1" applyBorder="1" applyAlignment="1" applyProtection="1">
      <alignment horizontal="center" vertical="center" wrapText="1"/>
    </xf>
    <xf numFmtId="171" fontId="25" fillId="0" borderId="86" xfId="0" applyNumberFormat="1" applyFont="1" applyBorder="1" applyAlignment="1" applyProtection="1">
      <alignment horizontal="center" vertical="center"/>
      <protection locked="0"/>
    </xf>
    <xf numFmtId="0" fontId="24" fillId="0" borderId="86" xfId="0" applyFont="1" applyBorder="1" applyAlignment="1" applyProtection="1">
      <alignment horizontal="center" vertical="center"/>
      <protection locked="0"/>
    </xf>
    <xf numFmtId="171" fontId="25" fillId="0" borderId="0" xfId="0" applyNumberFormat="1" applyFont="1" applyBorder="1" applyAlignment="1" applyProtection="1">
      <alignment horizontal="center" vertical="center"/>
      <protection locked="0"/>
    </xf>
    <xf numFmtId="0" fontId="24" fillId="14" borderId="1" xfId="0" applyFont="1" applyFill="1" applyBorder="1" applyAlignment="1" applyProtection="1">
      <alignment horizontal="center" vertical="center" wrapText="1"/>
      <protection locked="0"/>
    </xf>
    <xf numFmtId="0" fontId="106" fillId="14" borderId="1" xfId="0" applyFont="1" applyFill="1" applyBorder="1" applyAlignment="1">
      <alignment horizontal="center" vertical="center" wrapText="1"/>
    </xf>
    <xf numFmtId="0" fontId="60" fillId="0" borderId="0" xfId="8"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 fillId="35" borderId="1" xfId="0" applyFont="1" applyFill="1" applyBorder="1" applyAlignment="1">
      <alignment horizontal="center" vertical="center"/>
    </xf>
    <xf numFmtId="20" fontId="2" fillId="35" borderId="1" xfId="0" applyNumberFormat="1" applyFont="1" applyFill="1" applyBorder="1" applyAlignment="1">
      <alignment horizontal="center" vertical="center"/>
    </xf>
    <xf numFmtId="0" fontId="2" fillId="35" borderId="0" xfId="0" applyFont="1" applyFill="1" applyAlignment="1">
      <alignment horizontal="center"/>
    </xf>
    <xf numFmtId="0" fontId="38" fillId="0" borderId="46" xfId="0" applyFont="1" applyFill="1" applyBorder="1" applyAlignment="1" applyProtection="1">
      <alignment horizontal="center" vertical="center" wrapText="1"/>
    </xf>
    <xf numFmtId="0" fontId="24" fillId="0" borderId="114" xfId="0" applyFont="1" applyFill="1" applyBorder="1" applyAlignment="1" applyProtection="1">
      <alignment horizontal="center" vertical="center" wrapText="1"/>
    </xf>
    <xf numFmtId="166" fontId="24" fillId="0" borderId="46" xfId="8" applyNumberFormat="1" applyFont="1" applyFill="1" applyBorder="1" applyAlignment="1" applyProtection="1">
      <alignment horizontal="center" vertical="center"/>
    </xf>
    <xf numFmtId="167" fontId="24" fillId="0" borderId="46" xfId="8" applyNumberFormat="1" applyFont="1" applyFill="1" applyBorder="1" applyAlignment="1" applyProtection="1">
      <alignment horizontal="center" vertical="center"/>
    </xf>
    <xf numFmtId="170" fontId="24" fillId="0" borderId="46" xfId="8" applyNumberFormat="1" applyFont="1" applyFill="1" applyBorder="1" applyAlignment="1" applyProtection="1">
      <alignment vertical="center"/>
    </xf>
    <xf numFmtId="0" fontId="2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xf>
    <xf numFmtId="0" fontId="229" fillId="0" borderId="0" xfId="0" applyFont="1" applyFill="1" applyBorder="1" applyAlignment="1" applyProtection="1">
      <alignment horizontal="center" vertical="center" wrapText="1"/>
    </xf>
    <xf numFmtId="0" fontId="62" fillId="0" borderId="0" xfId="0" applyFont="1" applyFill="1" applyBorder="1" applyAlignment="1" applyProtection="1">
      <alignment vertical="center" wrapText="1"/>
    </xf>
    <xf numFmtId="166" fontId="38" fillId="0" borderId="100" xfId="0" applyNumberFormat="1" applyFont="1" applyFill="1" applyBorder="1" applyAlignment="1" applyProtection="1">
      <alignment horizontal="center" vertical="center"/>
    </xf>
    <xf numFmtId="49" fontId="200" fillId="0" borderId="46" xfId="0" applyNumberFormat="1" applyFont="1" applyBorder="1" applyAlignment="1">
      <alignment horizontal="center" vertical="center"/>
    </xf>
    <xf numFmtId="0" fontId="24" fillId="0" borderId="46" xfId="0" applyFont="1" applyFill="1" applyBorder="1" applyAlignment="1" applyProtection="1">
      <alignment horizontal="center" vertical="center"/>
    </xf>
    <xf numFmtId="0" fontId="62" fillId="0" borderId="69" xfId="0" applyFont="1" applyFill="1" applyBorder="1" applyAlignment="1" applyProtection="1">
      <alignment vertical="center" wrapText="1"/>
    </xf>
    <xf numFmtId="0" fontId="24" fillId="0" borderId="110" xfId="0" applyFont="1" applyFill="1" applyBorder="1" applyAlignment="1" applyProtection="1">
      <alignment horizontal="center" vertical="center" wrapText="1"/>
    </xf>
    <xf numFmtId="168" fontId="10" fillId="0" borderId="100" xfId="0" applyNumberFormat="1" applyFont="1" applyFill="1" applyBorder="1" applyAlignment="1" applyProtection="1">
      <alignment horizontal="center" vertical="center"/>
    </xf>
    <xf numFmtId="49" fontId="200" fillId="0" borderId="46" xfId="0" applyNumberFormat="1" applyFont="1" applyFill="1" applyBorder="1" applyAlignment="1">
      <alignment horizontal="center" vertical="center"/>
    </xf>
    <xf numFmtId="0" fontId="10" fillId="0" borderId="46" xfId="0" applyFont="1" applyFill="1" applyBorder="1" applyAlignment="1" applyProtection="1">
      <alignment horizontal="center" vertical="center"/>
    </xf>
    <xf numFmtId="0" fontId="24" fillId="0" borderId="46" xfId="0" applyFont="1" applyFill="1" applyBorder="1" applyAlignment="1">
      <alignment horizontal="center" vertical="center"/>
    </xf>
    <xf numFmtId="166" fontId="10" fillId="0" borderId="100" xfId="0" applyNumberFormat="1" applyFont="1" applyFill="1" applyBorder="1" applyAlignment="1" applyProtection="1">
      <alignment horizontal="center" vertical="center"/>
    </xf>
    <xf numFmtId="0" fontId="10" fillId="0" borderId="100" xfId="0" applyFont="1" applyFill="1" applyBorder="1" applyAlignment="1" applyProtection="1">
      <alignment vertical="center"/>
    </xf>
    <xf numFmtId="0" fontId="14" fillId="0" borderId="46" xfId="0" applyFont="1" applyFill="1" applyBorder="1" applyAlignment="1">
      <alignment horizontal="center" vertical="center"/>
    </xf>
    <xf numFmtId="0" fontId="38" fillId="0" borderId="108" xfId="0" applyFont="1" applyFill="1" applyBorder="1" applyAlignment="1" applyProtection="1">
      <alignment vertical="center" wrapText="1"/>
    </xf>
    <xf numFmtId="41" fontId="38" fillId="0" borderId="46" xfId="0" applyNumberFormat="1" applyFont="1" applyFill="1" applyBorder="1" applyAlignment="1" applyProtection="1">
      <alignment vertical="center" wrapText="1"/>
    </xf>
    <xf numFmtId="41" fontId="38" fillId="0" borderId="108" xfId="0" applyNumberFormat="1" applyFont="1" applyFill="1" applyBorder="1" applyAlignment="1" applyProtection="1">
      <alignment vertical="center" wrapText="1"/>
    </xf>
    <xf numFmtId="0" fontId="24" fillId="0" borderId="100" xfId="0" applyFont="1" applyFill="1" applyBorder="1" applyAlignment="1" applyProtection="1">
      <alignment horizontal="center" vertical="center" wrapText="1"/>
    </xf>
    <xf numFmtId="181" fontId="141" fillId="0" borderId="69" xfId="0" applyNumberFormat="1" applyFont="1" applyFill="1" applyBorder="1" applyAlignment="1" applyProtection="1">
      <alignment horizontal="left" vertical="center"/>
      <protection locked="0"/>
    </xf>
    <xf numFmtId="181" fontId="116" fillId="0" borderId="69" xfId="0" applyNumberFormat="1" applyFont="1" applyFill="1" applyBorder="1" applyAlignment="1" applyProtection="1">
      <alignment horizontal="left" vertical="center"/>
      <protection locked="0"/>
    </xf>
    <xf numFmtId="181" fontId="98" fillId="0" borderId="69" xfId="0" applyNumberFormat="1" applyFont="1" applyFill="1" applyBorder="1" applyAlignment="1" applyProtection="1">
      <alignment horizontal="left" vertical="center"/>
      <protection locked="0"/>
    </xf>
    <xf numFmtId="14" fontId="18" fillId="0" borderId="69" xfId="8" applyNumberFormat="1" applyFont="1" applyFill="1" applyBorder="1" applyAlignment="1" applyProtection="1">
      <alignment horizontal="left" vertical="center"/>
    </xf>
    <xf numFmtId="179" fontId="71" fillId="0" borderId="0" xfId="0" applyNumberFormat="1" applyFont="1" applyFill="1" applyBorder="1" applyAlignment="1" applyProtection="1">
      <alignment horizontal="center" vertical="center"/>
      <protection locked="0"/>
    </xf>
    <xf numFmtId="0" fontId="144" fillId="0" borderId="7" xfId="0" applyFont="1" applyFill="1" applyBorder="1" applyAlignment="1">
      <alignment horizontal="left" vertical="center" wrapText="1"/>
    </xf>
    <xf numFmtId="0" fontId="146" fillId="0" borderId="9" xfId="0" applyFont="1" applyFill="1" applyBorder="1" applyAlignment="1" applyProtection="1">
      <alignment horizontal="left" vertical="center"/>
    </xf>
    <xf numFmtId="0" fontId="76" fillId="0" borderId="0" xfId="0" applyFont="1" applyFill="1" applyAlignment="1">
      <alignment horizontal="left" vertical="center"/>
    </xf>
    <xf numFmtId="181" fontId="98" fillId="38" borderId="69" xfId="0" applyNumberFormat="1" applyFont="1" applyFill="1" applyBorder="1" applyAlignment="1" applyProtection="1">
      <alignment horizontal="right" vertical="center"/>
      <protection locked="0"/>
    </xf>
    <xf numFmtId="0" fontId="50" fillId="0" borderId="86"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0" fontId="38" fillId="0" borderId="5"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181" fontId="141" fillId="13" borderId="69" xfId="0" applyNumberFormat="1" applyFont="1" applyFill="1" applyBorder="1" applyAlignment="1" applyProtection="1">
      <alignment horizontal="left" vertical="center"/>
      <protection locked="0"/>
    </xf>
    <xf numFmtId="179" fontId="40" fillId="13" borderId="7" xfId="0" applyNumberFormat="1" applyFont="1" applyFill="1" applyBorder="1" applyAlignment="1" applyProtection="1">
      <alignment horizontal="left" vertical="center"/>
      <protection locked="0"/>
    </xf>
    <xf numFmtId="179" fontId="40" fillId="5" borderId="7" xfId="0" applyNumberFormat="1" applyFont="1" applyFill="1" applyBorder="1" applyAlignment="1" applyProtection="1">
      <alignment horizontal="left" vertical="center"/>
      <protection locked="0"/>
    </xf>
    <xf numFmtId="0" fontId="38" fillId="0" borderId="117" xfId="0" applyFont="1" applyFill="1" applyBorder="1" applyAlignment="1">
      <alignment horizontal="left" vertical="center"/>
    </xf>
    <xf numFmtId="0" fontId="38" fillId="0" borderId="117" xfId="0" applyFont="1" applyFill="1" applyBorder="1" applyAlignment="1">
      <alignment horizontal="center" vertical="center"/>
    </xf>
    <xf numFmtId="0" fontId="38" fillId="0" borderId="118" xfId="0" applyFont="1" applyFill="1" applyBorder="1" applyAlignment="1">
      <alignment horizontal="center" vertical="center"/>
    </xf>
    <xf numFmtId="0" fontId="38" fillId="0" borderId="118" xfId="0" applyNumberFormat="1" applyFont="1" applyFill="1" applyBorder="1" applyAlignment="1" applyProtection="1">
      <alignment horizontal="center" vertical="center" wrapText="1"/>
    </xf>
    <xf numFmtId="0" fontId="211" fillId="0" borderId="118" xfId="0" applyFont="1" applyFill="1" applyBorder="1" applyAlignment="1">
      <alignment horizontal="center" vertical="center"/>
    </xf>
    <xf numFmtId="171" fontId="38" fillId="0" borderId="118" xfId="0" applyNumberFormat="1" applyFont="1" applyFill="1" applyBorder="1" applyAlignment="1">
      <alignment horizontal="center" vertical="center"/>
    </xf>
    <xf numFmtId="176" fontId="50" fillId="0" borderId="77" xfId="1" applyNumberFormat="1" applyFont="1" applyFill="1" applyBorder="1" applyAlignment="1" applyProtection="1">
      <alignment vertical="center"/>
    </xf>
    <xf numFmtId="169" fontId="38" fillId="0" borderId="78" xfId="0" applyNumberFormat="1" applyFont="1" applyFill="1" applyBorder="1" applyAlignment="1">
      <alignment vertical="center" wrapText="1"/>
    </xf>
    <xf numFmtId="167" fontId="38" fillId="0" borderId="78" xfId="0" applyNumberFormat="1" applyFont="1" applyFill="1" applyBorder="1" applyAlignment="1">
      <alignment vertical="center"/>
    </xf>
    <xf numFmtId="177" fontId="38" fillId="0" borderId="78" xfId="0" applyNumberFormat="1" applyFont="1" applyFill="1" applyBorder="1" applyAlignment="1" applyProtection="1">
      <alignment vertical="center"/>
    </xf>
    <xf numFmtId="177" fontId="51" fillId="0" borderId="78" xfId="0" applyNumberFormat="1" applyFont="1" applyFill="1" applyBorder="1" applyAlignment="1" applyProtection="1">
      <alignment vertical="center"/>
    </xf>
    <xf numFmtId="166" fontId="38" fillId="0" borderId="79" xfId="8" applyNumberFormat="1" applyFont="1" applyFill="1" applyBorder="1" applyAlignment="1" applyProtection="1">
      <alignment horizontal="center" vertical="center"/>
    </xf>
    <xf numFmtId="171" fontId="38" fillId="0" borderId="118" xfId="0" applyNumberFormat="1" applyFont="1" applyFill="1" applyBorder="1" applyAlignment="1">
      <alignment vertical="center"/>
    </xf>
    <xf numFmtId="0" fontId="38" fillId="0" borderId="119" xfId="0" applyFont="1" applyFill="1" applyBorder="1" applyAlignment="1">
      <alignment horizontal="left" vertical="center"/>
    </xf>
    <xf numFmtId="0" fontId="38" fillId="0" borderId="119" xfId="0" applyFont="1" applyFill="1" applyBorder="1" applyAlignment="1">
      <alignment horizontal="center" vertical="center"/>
    </xf>
    <xf numFmtId="0" fontId="38" fillId="0" borderId="119" xfId="0" applyFont="1" applyFill="1" applyBorder="1" applyAlignment="1">
      <alignment horizontal="center" vertical="center" wrapText="1"/>
    </xf>
    <xf numFmtId="0" fontId="38" fillId="0" borderId="120" xfId="0" applyFont="1" applyFill="1" applyBorder="1" applyAlignment="1">
      <alignment horizontal="center" vertical="center"/>
    </xf>
    <xf numFmtId="0" fontId="38" fillId="0" borderId="120" xfId="0" applyNumberFormat="1" applyFont="1" applyFill="1" applyBorder="1" applyAlignment="1" applyProtection="1">
      <alignment horizontal="center" vertical="center" wrapText="1"/>
    </xf>
    <xf numFmtId="0" fontId="211" fillId="0" borderId="120" xfId="0" applyFont="1" applyFill="1" applyBorder="1" applyAlignment="1">
      <alignment horizontal="center" vertical="center"/>
    </xf>
    <xf numFmtId="171" fontId="38" fillId="0" borderId="120" xfId="0" applyNumberFormat="1" applyFont="1" applyFill="1" applyBorder="1" applyAlignment="1">
      <alignment horizontal="center" vertical="center"/>
    </xf>
    <xf numFmtId="169" fontId="38" fillId="0" borderId="81" xfId="0" applyNumberFormat="1" applyFont="1" applyFill="1" applyBorder="1" applyAlignment="1">
      <alignment vertical="center" wrapText="1"/>
    </xf>
    <xf numFmtId="167" fontId="38" fillId="0" borderId="81" xfId="0" applyNumberFormat="1" applyFont="1" applyFill="1" applyBorder="1" applyAlignment="1">
      <alignment vertical="center"/>
    </xf>
    <xf numFmtId="177" fontId="51" fillId="0" borderId="81" xfId="0" applyNumberFormat="1" applyFont="1" applyFill="1" applyBorder="1" applyAlignment="1" applyProtection="1">
      <alignment vertical="center"/>
    </xf>
    <xf numFmtId="166" fontId="38" fillId="0" borderId="82" xfId="0" applyNumberFormat="1" applyFont="1" applyFill="1" applyBorder="1" applyAlignment="1" applyProtection="1">
      <alignment horizontal="center" vertical="center"/>
    </xf>
    <xf numFmtId="171" fontId="38" fillId="0" borderId="120" xfId="0" applyNumberFormat="1" applyFont="1" applyFill="1" applyBorder="1" applyAlignment="1">
      <alignment vertical="center"/>
    </xf>
    <xf numFmtId="0" fontId="38" fillId="0" borderId="121" xfId="0" applyFont="1" applyFill="1" applyBorder="1" applyAlignment="1">
      <alignment horizontal="left" vertical="center"/>
    </xf>
    <xf numFmtId="0" fontId="38" fillId="0" borderId="121" xfId="0" applyFont="1" applyFill="1" applyBorder="1" applyAlignment="1">
      <alignment horizontal="center" vertical="center"/>
    </xf>
    <xf numFmtId="0" fontId="38" fillId="0" borderId="121" xfId="0" applyFont="1" applyFill="1" applyBorder="1" applyAlignment="1">
      <alignment horizontal="center" vertical="center" wrapText="1"/>
    </xf>
    <xf numFmtId="0" fontId="38" fillId="0" borderId="122" xfId="0" applyFont="1" applyFill="1" applyBorder="1" applyAlignment="1">
      <alignment horizontal="center" vertical="center"/>
    </xf>
    <xf numFmtId="0" fontId="38" fillId="0" borderId="122" xfId="0" applyNumberFormat="1" applyFont="1" applyFill="1" applyBorder="1" applyAlignment="1" applyProtection="1">
      <alignment horizontal="center" vertical="center" wrapText="1"/>
    </xf>
    <xf numFmtId="0" fontId="211" fillId="0" borderId="122" xfId="0" applyFont="1" applyFill="1" applyBorder="1" applyAlignment="1">
      <alignment horizontal="center" vertical="center"/>
    </xf>
    <xf numFmtId="171" fontId="38" fillId="0" borderId="122" xfId="0" applyNumberFormat="1" applyFont="1" applyFill="1" applyBorder="1" applyAlignment="1">
      <alignment horizontal="center" vertical="center"/>
    </xf>
    <xf numFmtId="169" fontId="38" fillId="0" borderId="84" xfId="0" applyNumberFormat="1" applyFont="1" applyFill="1" applyBorder="1" applyAlignment="1">
      <alignment vertical="center" wrapText="1"/>
    </xf>
    <xf numFmtId="167" fontId="38" fillId="0" borderId="84" xfId="0" applyNumberFormat="1" applyFont="1" applyFill="1" applyBorder="1" applyAlignment="1">
      <alignment vertical="center"/>
    </xf>
    <xf numFmtId="177" fontId="51" fillId="0" borderId="84" xfId="0" applyNumberFormat="1" applyFont="1" applyFill="1" applyBorder="1" applyAlignment="1" applyProtection="1">
      <alignment vertical="center"/>
    </xf>
    <xf numFmtId="166" fontId="38" fillId="0" borderId="85" xfId="0" applyNumberFormat="1" applyFont="1" applyFill="1" applyBorder="1" applyAlignment="1" applyProtection="1">
      <alignment horizontal="center" vertical="center"/>
    </xf>
    <xf numFmtId="171" fontId="38" fillId="0" borderId="122" xfId="0" applyNumberFormat="1" applyFont="1" applyFill="1" applyBorder="1" applyAlignment="1">
      <alignment vertical="center"/>
    </xf>
    <xf numFmtId="176" fontId="38" fillId="0" borderId="81" xfId="0" applyNumberFormat="1" applyFont="1" applyFill="1" applyBorder="1" applyAlignment="1" applyProtection="1">
      <alignment horizontal="center" vertical="center"/>
    </xf>
    <xf numFmtId="176" fontId="38" fillId="0" borderId="84" xfId="0" applyNumberFormat="1" applyFont="1" applyFill="1" applyBorder="1" applyAlignment="1" applyProtection="1">
      <alignment horizontal="center" vertical="center"/>
    </xf>
    <xf numFmtId="182" fontId="38" fillId="0" borderId="77" xfId="0" applyNumberFormat="1" applyFont="1" applyFill="1" applyBorder="1" applyAlignment="1" applyProtection="1">
      <alignment horizontal="center" vertical="center"/>
    </xf>
    <xf numFmtId="0" fontId="38" fillId="0" borderId="121" xfId="0" applyFont="1" applyFill="1" applyBorder="1" applyAlignment="1" applyProtection="1">
      <alignment horizontal="center" vertical="center" wrapText="1"/>
    </xf>
    <xf numFmtId="0" fontId="38" fillId="0" borderId="117" xfId="0" applyFont="1" applyFill="1" applyBorder="1" applyAlignment="1">
      <alignment horizontal="center" vertical="center" wrapText="1"/>
    </xf>
    <xf numFmtId="171" fontId="38" fillId="0" borderId="100" xfId="0" applyNumberFormat="1" applyFont="1" applyFill="1" applyBorder="1" applyAlignment="1" applyProtection="1">
      <alignment horizontal="center" vertical="center"/>
    </xf>
    <xf numFmtId="169" fontId="38" fillId="0" borderId="101" xfId="0" applyNumberFormat="1" applyFont="1" applyFill="1" applyBorder="1" applyAlignment="1">
      <alignment horizontal="center" vertical="center"/>
    </xf>
    <xf numFmtId="170" fontId="38" fillId="0" borderId="101" xfId="0" applyNumberFormat="1" applyFont="1" applyFill="1" applyBorder="1" applyAlignment="1" applyProtection="1">
      <alignment horizontal="center" vertical="center"/>
      <protection locked="0"/>
    </xf>
    <xf numFmtId="170" fontId="38" fillId="0" borderId="46" xfId="0" applyNumberFormat="1" applyFont="1" applyFill="1" applyBorder="1" applyAlignment="1" applyProtection="1">
      <alignment horizontal="center" vertical="center"/>
      <protection locked="0"/>
    </xf>
    <xf numFmtId="0" fontId="38" fillId="0" borderId="9" xfId="0" applyFont="1" applyFill="1" applyBorder="1" applyAlignment="1" applyProtection="1">
      <alignment vertical="center"/>
    </xf>
    <xf numFmtId="0" fontId="38" fillId="0" borderId="101" xfId="0" applyFont="1" applyFill="1" applyBorder="1" applyAlignment="1" applyProtection="1">
      <alignment horizontal="center" vertical="center"/>
    </xf>
    <xf numFmtId="168" fontId="38" fillId="0" borderId="100" xfId="0" applyNumberFormat="1" applyFont="1" applyFill="1" applyBorder="1" applyAlignment="1">
      <alignment horizontal="center" vertical="center"/>
    </xf>
    <xf numFmtId="0" fontId="38" fillId="0" borderId="108" xfId="0" applyFont="1" applyFill="1" applyBorder="1" applyAlignment="1" applyProtection="1">
      <alignment horizontal="center" vertical="center"/>
    </xf>
    <xf numFmtId="191" fontId="38" fillId="0" borderId="101" xfId="0" applyNumberFormat="1" applyFont="1" applyFill="1" applyBorder="1" applyAlignment="1" applyProtection="1">
      <alignment horizontal="center" vertical="center"/>
    </xf>
    <xf numFmtId="0" fontId="24" fillId="0" borderId="80" xfId="0" applyFont="1" applyFill="1" applyBorder="1" applyAlignment="1" applyProtection="1">
      <alignment vertical="center" wrapText="1"/>
    </xf>
    <xf numFmtId="0" fontId="24" fillId="0" borderId="83" xfId="0" applyFont="1" applyFill="1" applyBorder="1" applyAlignment="1" applyProtection="1">
      <alignment vertical="center" wrapText="1"/>
    </xf>
    <xf numFmtId="182" fontId="24" fillId="0" borderId="83" xfId="0" applyNumberFormat="1" applyFont="1" applyFill="1" applyBorder="1" applyAlignment="1" applyProtection="1">
      <alignment vertical="center" wrapText="1"/>
    </xf>
    <xf numFmtId="0" fontId="50" fillId="0" borderId="118" xfId="0" applyNumberFormat="1" applyFont="1" applyFill="1" applyBorder="1" applyAlignment="1" applyProtection="1">
      <alignment horizontal="center" vertical="center" wrapText="1"/>
    </xf>
    <xf numFmtId="0" fontId="50" fillId="0" borderId="120" xfId="0" applyNumberFormat="1" applyFont="1" applyFill="1" applyBorder="1" applyAlignment="1" applyProtection="1">
      <alignment horizontal="center" vertical="center" wrapText="1"/>
    </xf>
    <xf numFmtId="0" fontId="50" fillId="0" borderId="122" xfId="0" applyNumberFormat="1" applyFont="1" applyFill="1" applyBorder="1" applyAlignment="1" applyProtection="1">
      <alignment horizontal="center" vertical="center" wrapText="1"/>
    </xf>
    <xf numFmtId="16" fontId="50" fillId="0" borderId="1" xfId="0" quotePrefix="1" applyNumberFormat="1" applyFont="1" applyFill="1" applyBorder="1" applyAlignment="1">
      <alignment horizontal="center" vertical="center" wrapText="1"/>
    </xf>
    <xf numFmtId="0" fontId="211" fillId="0" borderId="125" xfId="0" applyFont="1" applyFill="1" applyBorder="1" applyAlignment="1">
      <alignment horizontal="center" vertical="center"/>
    </xf>
    <xf numFmtId="0" fontId="211" fillId="0" borderId="126" xfId="0" applyFont="1" applyFill="1" applyBorder="1" applyAlignment="1">
      <alignment horizontal="center" vertical="center"/>
    </xf>
    <xf numFmtId="0" fontId="211" fillId="0" borderId="123" xfId="0" applyFont="1" applyFill="1" applyBorder="1" applyAlignment="1">
      <alignment horizontal="center" vertical="center"/>
    </xf>
    <xf numFmtId="168" fontId="211" fillId="0" borderId="6" xfId="0" applyNumberFormat="1" applyFont="1" applyFill="1" applyBorder="1" applyAlignment="1">
      <alignment horizontal="center" vertical="center"/>
    </xf>
    <xf numFmtId="171" fontId="211" fillId="0" borderId="6" xfId="0" quotePrefix="1" applyNumberFormat="1" applyFont="1" applyFill="1" applyBorder="1" applyAlignment="1">
      <alignment horizontal="center" vertical="center"/>
    </xf>
    <xf numFmtId="168" fontId="211" fillId="0" borderId="6" xfId="0" quotePrefix="1" applyNumberFormat="1" applyFont="1" applyFill="1" applyBorder="1" applyAlignment="1">
      <alignment horizontal="center" vertical="center"/>
    </xf>
    <xf numFmtId="173" fontId="211" fillId="0" borderId="6" xfId="0" applyNumberFormat="1" applyFont="1" applyFill="1" applyBorder="1" applyAlignment="1">
      <alignment horizontal="center" vertical="center"/>
    </xf>
    <xf numFmtId="10" fontId="211" fillId="0" borderId="70" xfId="0" applyNumberFormat="1" applyFont="1" applyFill="1" applyBorder="1" applyAlignment="1">
      <alignment horizontal="center" vertical="center"/>
    </xf>
    <xf numFmtId="166" fontId="211" fillId="0" borderId="6" xfId="0" quotePrefix="1" applyNumberFormat="1" applyFont="1" applyFill="1" applyBorder="1" applyAlignment="1">
      <alignment horizontal="center" vertical="center"/>
    </xf>
    <xf numFmtId="0" fontId="38" fillId="0" borderId="127" xfId="0" applyFont="1" applyFill="1" applyBorder="1" applyAlignment="1" applyProtection="1">
      <alignment vertical="center" wrapText="1"/>
    </xf>
    <xf numFmtId="0" fontId="50" fillId="0" borderId="128" xfId="0" applyFont="1" applyFill="1" applyBorder="1" applyAlignment="1" applyProtection="1">
      <alignment horizontal="center" vertical="center" wrapText="1"/>
    </xf>
    <xf numFmtId="0" fontId="50" fillId="0" borderId="129" xfId="0" applyNumberFormat="1" applyFont="1" applyFill="1" applyBorder="1" applyAlignment="1" applyProtection="1">
      <alignment horizontal="center" vertical="center" wrapText="1"/>
    </xf>
    <xf numFmtId="0" fontId="50" fillId="0" borderId="130" xfId="0" applyNumberFormat="1" applyFont="1" applyFill="1" applyBorder="1" applyAlignment="1" applyProtection="1">
      <alignment horizontal="center" vertical="center" wrapText="1"/>
    </xf>
    <xf numFmtId="0" fontId="50" fillId="0" borderId="131" xfId="0" applyNumberFormat="1" applyFont="1" applyFill="1" applyBorder="1" applyAlignment="1" applyProtection="1">
      <alignment horizontal="center" vertical="center" wrapText="1"/>
    </xf>
    <xf numFmtId="0" fontId="50" fillId="0" borderId="124" xfId="0" applyNumberFormat="1" applyFont="1" applyFill="1" applyBorder="1" applyAlignment="1">
      <alignment horizontal="center" vertical="center" wrapText="1"/>
    </xf>
    <xf numFmtId="0" fontId="50" fillId="0" borderId="124" xfId="0" applyNumberFormat="1" applyFont="1" applyFill="1" applyBorder="1" applyAlignment="1" applyProtection="1">
      <alignment horizontal="center" vertical="center" wrapText="1"/>
    </xf>
    <xf numFmtId="0" fontId="38" fillId="0" borderId="124" xfId="0" applyFont="1" applyFill="1" applyBorder="1" applyAlignment="1" applyProtection="1">
      <alignment horizontal="center" vertical="center" wrapText="1"/>
    </xf>
    <xf numFmtId="0" fontId="38" fillId="0" borderId="124" xfId="8" applyNumberFormat="1" applyFont="1" applyFill="1" applyBorder="1" applyAlignment="1" applyProtection="1">
      <alignment horizontal="center" vertical="center" wrapText="1"/>
    </xf>
    <xf numFmtId="0" fontId="211" fillId="0" borderId="70" xfId="0" applyNumberFormat="1" applyFont="1" applyFill="1" applyBorder="1" applyAlignment="1" applyProtection="1">
      <alignment horizontal="center" vertical="center" wrapText="1"/>
    </xf>
    <xf numFmtId="0" fontId="38" fillId="0" borderId="124" xfId="8" applyNumberFormat="1" applyFont="1" applyFill="1" applyBorder="1" applyAlignment="1" applyProtection="1">
      <alignment horizontal="center" vertical="center"/>
      <protection locked="0"/>
    </xf>
    <xf numFmtId="0" fontId="38" fillId="0" borderId="124" xfId="8" applyNumberFormat="1" applyFont="1" applyFill="1" applyBorder="1" applyAlignment="1" applyProtection="1">
      <alignment horizontal="center" vertical="center" wrapText="1"/>
      <protection locked="0"/>
    </xf>
    <xf numFmtId="0" fontId="38" fillId="0" borderId="127" xfId="0" applyFont="1" applyFill="1" applyBorder="1" applyAlignment="1" applyProtection="1">
      <alignment horizontal="center" vertical="center"/>
    </xf>
    <xf numFmtId="0" fontId="38" fillId="0" borderId="128" xfId="0" applyFont="1" applyFill="1" applyBorder="1" applyAlignment="1" applyProtection="1">
      <alignment horizontal="center" vertical="center" wrapText="1"/>
    </xf>
    <xf numFmtId="0" fontId="38" fillId="0" borderId="129" xfId="0" applyNumberFormat="1" applyFont="1" applyFill="1" applyBorder="1" applyAlignment="1" applyProtection="1">
      <alignment horizontal="center" vertical="center" wrapText="1"/>
    </xf>
    <xf numFmtId="0" fontId="38" fillId="0" borderId="131" xfId="0" applyNumberFormat="1" applyFont="1" applyFill="1" applyBorder="1" applyAlignment="1" applyProtection="1">
      <alignment horizontal="center" vertical="center" wrapText="1"/>
    </xf>
    <xf numFmtId="0" fontId="38" fillId="0" borderId="124" xfId="0" applyNumberFormat="1" applyFont="1" applyFill="1" applyBorder="1" applyAlignment="1" applyProtection="1">
      <alignment horizontal="center" vertical="center" wrapText="1"/>
    </xf>
    <xf numFmtId="0" fontId="38" fillId="0" borderId="124" xfId="0" applyNumberFormat="1" applyFont="1" applyFill="1" applyBorder="1" applyAlignment="1">
      <alignment horizontal="center" vertical="center" wrapText="1"/>
    </xf>
    <xf numFmtId="181" fontId="141" fillId="5" borderId="69" xfId="0" applyNumberFormat="1" applyFont="1" applyFill="1" applyBorder="1" applyAlignment="1" applyProtection="1">
      <alignment horizontal="right" vertical="center"/>
      <protection locked="0"/>
    </xf>
    <xf numFmtId="181" fontId="141" fillId="13" borderId="69" xfId="0" applyNumberFormat="1" applyFont="1" applyFill="1" applyBorder="1" applyAlignment="1" applyProtection="1">
      <alignment horizontal="center" vertical="center"/>
      <protection locked="0"/>
    </xf>
    <xf numFmtId="174" fontId="50" fillId="13" borderId="5" xfId="0" applyNumberFormat="1" applyFont="1" applyFill="1" applyBorder="1" applyAlignment="1" applyProtection="1">
      <alignment vertical="center" wrapText="1"/>
    </xf>
    <xf numFmtId="174" fontId="60" fillId="13" borderId="9" xfId="0" applyNumberFormat="1" applyFont="1" applyFill="1" applyBorder="1" applyAlignment="1" applyProtection="1">
      <alignment vertical="center"/>
    </xf>
    <xf numFmtId="174" fontId="211" fillId="0" borderId="9" xfId="0" applyNumberFormat="1" applyFont="1" applyFill="1" applyBorder="1" applyAlignment="1" applyProtection="1">
      <alignment vertical="center" wrapText="1"/>
    </xf>
    <xf numFmtId="174" fontId="211" fillId="13" borderId="9" xfId="0" applyNumberFormat="1" applyFont="1" applyFill="1" applyBorder="1" applyAlignment="1" applyProtection="1">
      <alignment vertical="center" wrapText="1"/>
    </xf>
    <xf numFmtId="174" fontId="50" fillId="13" borderId="9" xfId="0" applyNumberFormat="1" applyFont="1" applyFill="1" applyBorder="1" applyAlignment="1" applyProtection="1">
      <alignment vertical="center" wrapText="1"/>
    </xf>
    <xf numFmtId="181" fontId="141" fillId="13" borderId="9" xfId="0" applyNumberFormat="1" applyFont="1" applyFill="1" applyBorder="1" applyAlignment="1" applyProtection="1">
      <alignment horizontal="center" vertical="center"/>
      <protection locked="0"/>
    </xf>
    <xf numFmtId="0" fontId="38" fillId="0" borderId="1" xfId="8" applyFont="1" applyFill="1" applyBorder="1" applyAlignment="1" applyProtection="1">
      <alignment horizontal="center" vertical="center" wrapText="1"/>
      <protection locked="0"/>
    </xf>
    <xf numFmtId="174" fontId="60" fillId="13" borderId="9" xfId="0" applyNumberFormat="1" applyFont="1" applyFill="1" applyBorder="1" applyAlignment="1" applyProtection="1">
      <alignment vertical="center" wrapText="1"/>
    </xf>
    <xf numFmtId="174" fontId="233" fillId="13" borderId="9" xfId="0" applyNumberFormat="1" applyFont="1" applyFill="1" applyBorder="1" applyAlignment="1" applyProtection="1">
      <alignment vertical="center" wrapText="1"/>
    </xf>
    <xf numFmtId="0" fontId="55" fillId="35" borderId="132" xfId="0" applyFont="1" applyFill="1" applyBorder="1" applyAlignment="1">
      <alignment vertical="center"/>
    </xf>
    <xf numFmtId="0" fontId="38" fillId="0" borderId="0" xfId="0" applyFont="1" applyFill="1" applyAlignment="1" applyProtection="1">
      <alignment horizontal="center" vertical="center"/>
    </xf>
    <xf numFmtId="165" fontId="38" fillId="0" borderId="105" xfId="1" applyFont="1" applyFill="1" applyBorder="1" applyAlignment="1" applyProtection="1">
      <alignment horizontal="center" vertical="center"/>
    </xf>
    <xf numFmtId="165" fontId="38" fillId="0" borderId="100" xfId="1" applyFont="1" applyFill="1" applyBorder="1" applyAlignment="1" applyProtection="1">
      <alignment vertical="center"/>
    </xf>
    <xf numFmtId="165" fontId="38" fillId="0" borderId="100" xfId="1" applyFont="1" applyFill="1" applyBorder="1" applyAlignment="1" applyProtection="1">
      <alignment horizontal="centerContinuous" vertical="center"/>
    </xf>
    <xf numFmtId="165" fontId="38" fillId="0" borderId="46" xfId="1" applyFont="1" applyFill="1" applyBorder="1" applyAlignment="1" applyProtection="1">
      <alignment horizontal="centerContinuous" vertical="center"/>
    </xf>
    <xf numFmtId="0" fontId="38" fillId="0" borderId="118" xfId="0" applyFont="1" applyFill="1" applyBorder="1" applyAlignment="1" applyProtection="1">
      <alignment horizontal="center" vertical="center"/>
    </xf>
    <xf numFmtId="171" fontId="50" fillId="0" borderId="118" xfId="0" applyNumberFormat="1" applyFont="1" applyFill="1" applyBorder="1" applyAlignment="1">
      <alignment horizontal="center" vertical="center"/>
    </xf>
    <xf numFmtId="0" fontId="38" fillId="0" borderId="78" xfId="0" applyFont="1" applyFill="1" applyBorder="1" applyAlignment="1" applyProtection="1">
      <alignment horizontal="center" vertical="center"/>
    </xf>
    <xf numFmtId="167" fontId="38" fillId="0" borderId="78" xfId="0" applyNumberFormat="1" applyFont="1" applyFill="1" applyBorder="1" applyAlignment="1" applyProtection="1">
      <alignment horizontal="center" vertical="center"/>
    </xf>
    <xf numFmtId="166" fontId="38" fillId="0" borderId="133" xfId="0" applyNumberFormat="1" applyFont="1" applyFill="1" applyBorder="1" applyAlignment="1">
      <alignment horizontal="center" vertical="center"/>
    </xf>
    <xf numFmtId="0" fontId="38" fillId="0" borderId="125" xfId="0" applyFont="1" applyFill="1" applyBorder="1" applyAlignment="1" applyProtection="1">
      <alignment horizontal="center" vertical="center"/>
    </xf>
    <xf numFmtId="0" fontId="38" fillId="0" borderId="118" xfId="0" applyNumberFormat="1" applyFont="1" applyFill="1" applyBorder="1" applyAlignment="1" applyProtection="1">
      <alignment horizontal="center" vertical="center"/>
    </xf>
    <xf numFmtId="166" fontId="38" fillId="0" borderId="79" xfId="0" applyNumberFormat="1" applyFont="1" applyFill="1" applyBorder="1" applyAlignment="1">
      <alignment horizontal="center" vertical="center"/>
    </xf>
    <xf numFmtId="171" fontId="50" fillId="0" borderId="122" xfId="0" applyNumberFormat="1" applyFont="1" applyFill="1" applyBorder="1" applyAlignment="1">
      <alignment horizontal="center" vertical="center"/>
    </xf>
    <xf numFmtId="0" fontId="38" fillId="0" borderId="84" xfId="0" applyFont="1" applyFill="1" applyBorder="1" applyAlignment="1" applyProtection="1">
      <alignment horizontal="center" vertical="center"/>
    </xf>
    <xf numFmtId="167" fontId="38" fillId="0" borderId="84" xfId="0" applyNumberFormat="1" applyFont="1" applyFill="1" applyBorder="1" applyAlignment="1" applyProtection="1">
      <alignment horizontal="center" vertical="center"/>
    </xf>
    <xf numFmtId="166" fontId="38" fillId="0" borderId="134" xfId="0" applyNumberFormat="1" applyFont="1" applyFill="1" applyBorder="1" applyAlignment="1">
      <alignment horizontal="center" vertical="center"/>
    </xf>
    <xf numFmtId="0" fontId="38" fillId="0" borderId="123" xfId="0" applyFont="1" applyFill="1" applyBorder="1" applyAlignment="1" applyProtection="1">
      <alignment horizontal="center" vertical="center"/>
    </xf>
    <xf numFmtId="0" fontId="38" fillId="0" borderId="122" xfId="0" applyNumberFormat="1" applyFont="1" applyFill="1" applyBorder="1" applyAlignment="1" applyProtection="1">
      <alignment horizontal="center" vertical="center"/>
    </xf>
    <xf numFmtId="166" fontId="38" fillId="0" borderId="85" xfId="0" applyNumberFormat="1" applyFont="1" applyFill="1" applyBorder="1" applyAlignment="1">
      <alignment horizontal="center" vertical="center"/>
    </xf>
    <xf numFmtId="169" fontId="38" fillId="0" borderId="78" xfId="0" applyNumberFormat="1" applyFont="1" applyFill="1" applyBorder="1" applyAlignment="1">
      <alignment horizontal="center" vertical="center" wrapText="1"/>
    </xf>
    <xf numFmtId="171" fontId="38" fillId="0" borderId="125" xfId="0" applyNumberFormat="1" applyFont="1" applyFill="1" applyBorder="1" applyAlignment="1">
      <alignment horizontal="center" vertical="center"/>
    </xf>
    <xf numFmtId="169" fontId="38" fillId="0" borderId="84" xfId="0" applyNumberFormat="1" applyFont="1" applyFill="1" applyBorder="1" applyAlignment="1">
      <alignment horizontal="center" vertical="center" wrapText="1"/>
    </xf>
    <xf numFmtId="171" fontId="38" fillId="0" borderId="123" xfId="0" applyNumberFormat="1" applyFont="1" applyFill="1" applyBorder="1" applyAlignment="1">
      <alignment horizontal="center" vertical="center"/>
    </xf>
    <xf numFmtId="176" fontId="50" fillId="0" borderId="77" xfId="1" applyNumberFormat="1" applyFont="1" applyFill="1" applyBorder="1" applyAlignment="1" applyProtection="1">
      <alignment horizontal="center" vertical="center"/>
    </xf>
    <xf numFmtId="0" fontId="38" fillId="0" borderId="105" xfId="0" applyFont="1" applyFill="1" applyBorder="1" applyAlignment="1" applyProtection="1">
      <alignment horizontal="center" vertical="center"/>
    </xf>
    <xf numFmtId="0" fontId="38" fillId="0" borderId="8" xfId="0" applyFont="1" applyFill="1" applyBorder="1" applyAlignment="1" applyProtection="1">
      <alignment vertical="center"/>
    </xf>
    <xf numFmtId="0" fontId="38" fillId="0" borderId="8" xfId="0" applyFont="1" applyFill="1" applyBorder="1" applyAlignment="1" applyProtection="1">
      <alignment horizontal="centerContinuous" vertical="center"/>
    </xf>
    <xf numFmtId="0" fontId="38" fillId="0" borderId="12" xfId="0" applyFont="1" applyFill="1" applyBorder="1" applyAlignment="1" applyProtection="1">
      <alignment horizontal="centerContinuous" vertical="center"/>
    </xf>
    <xf numFmtId="177" fontId="38" fillId="0" borderId="81" xfId="0" applyNumberFormat="1" applyFont="1" applyFill="1" applyBorder="1" applyAlignment="1" applyProtection="1">
      <alignment vertical="center"/>
    </xf>
    <xf numFmtId="166" fontId="38" fillId="0" borderId="82" xfId="8" applyNumberFormat="1" applyFont="1" applyFill="1" applyBorder="1" applyAlignment="1" applyProtection="1">
      <alignment horizontal="center" vertical="center"/>
    </xf>
    <xf numFmtId="14" fontId="38" fillId="58" borderId="5" xfId="0" applyNumberFormat="1" applyFont="1" applyFill="1" applyBorder="1" applyAlignment="1" applyProtection="1">
      <alignment vertical="center"/>
    </xf>
    <xf numFmtId="14" fontId="38" fillId="58" borderId="9" xfId="0" applyNumberFormat="1" applyFont="1" applyFill="1" applyBorder="1" applyAlignment="1" applyProtection="1">
      <alignment vertical="center"/>
    </xf>
    <xf numFmtId="0" fontId="38" fillId="58" borderId="9" xfId="0" applyFont="1" applyFill="1" applyBorder="1" applyAlignment="1" applyProtection="1">
      <alignment vertical="center" wrapText="1"/>
    </xf>
    <xf numFmtId="0" fontId="50" fillId="58" borderId="9" xfId="0" applyFont="1" applyFill="1" applyBorder="1" applyAlignment="1" applyProtection="1">
      <alignment vertical="center" wrapText="1"/>
    </xf>
    <xf numFmtId="181" fontId="141" fillId="58" borderId="9" xfId="0" applyNumberFormat="1" applyFont="1" applyFill="1" applyBorder="1" applyAlignment="1" applyProtection="1">
      <alignment horizontal="center" vertical="center"/>
      <protection locked="0"/>
    </xf>
    <xf numFmtId="174" fontId="50" fillId="58" borderId="9" xfId="0" applyNumberFormat="1" applyFont="1" applyFill="1" applyBorder="1" applyAlignment="1" applyProtection="1">
      <alignment vertical="center" wrapText="1"/>
    </xf>
    <xf numFmtId="174" fontId="38" fillId="58" borderId="9" xfId="0" applyNumberFormat="1" applyFont="1" applyFill="1" applyBorder="1" applyAlignment="1" applyProtection="1">
      <alignment vertical="center" wrapText="1"/>
    </xf>
    <xf numFmtId="179" fontId="40" fillId="58" borderId="7" xfId="0" applyNumberFormat="1" applyFont="1" applyFill="1" applyBorder="1" applyAlignment="1" applyProtection="1">
      <alignment horizontal="left" vertical="center"/>
      <protection locked="0"/>
    </xf>
    <xf numFmtId="174" fontId="95" fillId="58" borderId="9" xfId="0" applyNumberFormat="1" applyFont="1" applyFill="1" applyBorder="1" applyAlignment="1" applyProtection="1">
      <alignment vertical="center" wrapText="1"/>
    </xf>
    <xf numFmtId="0" fontId="38" fillId="58" borderId="0" xfId="0" applyFont="1" applyFill="1" applyAlignment="1">
      <alignment horizontal="center" vertical="center"/>
    </xf>
    <xf numFmtId="0" fontId="38" fillId="58" borderId="9" xfId="0" applyFont="1" applyFill="1" applyBorder="1" applyAlignment="1">
      <alignment horizontal="center" vertical="center"/>
    </xf>
    <xf numFmtId="0" fontId="38" fillId="58" borderId="6" xfId="0" applyFont="1" applyFill="1" applyBorder="1" applyAlignment="1">
      <alignment horizontal="center" vertical="center"/>
    </xf>
    <xf numFmtId="14" fontId="38" fillId="58" borderId="5" xfId="0" applyNumberFormat="1" applyFont="1" applyFill="1" applyBorder="1" applyAlignment="1" applyProtection="1">
      <alignment horizontal="left" vertical="center"/>
    </xf>
    <xf numFmtId="174" fontId="211" fillId="58" borderId="9" xfId="0" applyNumberFormat="1" applyFont="1" applyFill="1" applyBorder="1" applyAlignment="1" applyProtection="1">
      <alignment vertical="center" wrapText="1"/>
    </xf>
    <xf numFmtId="181" fontId="141" fillId="58" borderId="69" xfId="0" applyNumberFormat="1" applyFont="1" applyFill="1" applyBorder="1" applyAlignment="1" applyProtection="1">
      <alignment horizontal="left" vertical="center"/>
      <protection locked="0"/>
    </xf>
    <xf numFmtId="174" fontId="232" fillId="58" borderId="9" xfId="0" applyNumberFormat="1" applyFont="1" applyFill="1" applyBorder="1" applyAlignment="1" applyProtection="1">
      <alignment vertical="center" wrapText="1"/>
    </xf>
    <xf numFmtId="174" fontId="51" fillId="58" borderId="9" xfId="0" applyNumberFormat="1" applyFont="1" applyFill="1" applyBorder="1" applyAlignment="1" applyProtection="1">
      <alignment vertical="center" wrapText="1"/>
    </xf>
    <xf numFmtId="174" fontId="60" fillId="58" borderId="9" xfId="0" applyNumberFormat="1" applyFont="1" applyFill="1" applyBorder="1" applyAlignment="1" applyProtection="1">
      <alignment vertical="center"/>
    </xf>
    <xf numFmtId="0" fontId="51" fillId="58" borderId="9" xfId="0" applyFont="1" applyFill="1" applyBorder="1" applyAlignment="1">
      <alignment horizontal="center" vertical="center"/>
    </xf>
    <xf numFmtId="181" fontId="141" fillId="11" borderId="69" xfId="0" applyNumberFormat="1" applyFont="1" applyFill="1" applyBorder="1" applyAlignment="1" applyProtection="1">
      <alignment horizontal="center" vertical="center"/>
      <protection locked="0"/>
    </xf>
    <xf numFmtId="0" fontId="141" fillId="11" borderId="7" xfId="0" applyFont="1" applyFill="1" applyBorder="1" applyAlignment="1" applyProtection="1">
      <alignment vertical="center" wrapText="1"/>
    </xf>
    <xf numFmtId="179" fontId="141"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horizontal="right" vertical="center"/>
      <protection locked="0"/>
    </xf>
    <xf numFmtId="0" fontId="40" fillId="11" borderId="7" xfId="0" applyFont="1" applyFill="1" applyBorder="1" applyAlignment="1" applyProtection="1">
      <alignment vertical="center" wrapText="1"/>
    </xf>
    <xf numFmtId="179" fontId="40"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vertical="center"/>
      <protection locked="0"/>
    </xf>
    <xf numFmtId="0" fontId="50" fillId="6" borderId="0" xfId="0" applyFont="1" applyFill="1" applyBorder="1" applyAlignment="1">
      <alignment horizontal="center" vertical="center"/>
    </xf>
    <xf numFmtId="0" fontId="50" fillId="12" borderId="0" xfId="0" applyFont="1" applyFill="1" applyBorder="1" applyAlignment="1">
      <alignment horizontal="center" vertical="center"/>
    </xf>
    <xf numFmtId="14" fontId="60" fillId="13" borderId="5" xfId="0" applyNumberFormat="1" applyFont="1" applyFill="1" applyBorder="1" applyAlignment="1" applyProtection="1">
      <alignment vertical="center"/>
    </xf>
    <xf numFmtId="14" fontId="60" fillId="13" borderId="9" xfId="0" applyNumberFormat="1" applyFont="1" applyFill="1" applyBorder="1" applyAlignment="1" applyProtection="1">
      <alignment vertical="center"/>
    </xf>
    <xf numFmtId="0" fontId="60" fillId="13" borderId="9" xfId="0" applyFont="1" applyFill="1" applyBorder="1" applyAlignment="1" applyProtection="1">
      <alignment vertical="center" wrapText="1"/>
    </xf>
    <xf numFmtId="0" fontId="60" fillId="13" borderId="6" xfId="0" applyFont="1" applyFill="1" applyBorder="1" applyAlignment="1" applyProtection="1">
      <alignment vertical="center" wrapText="1"/>
    </xf>
    <xf numFmtId="174" fontId="60" fillId="13" borderId="5" xfId="0" applyNumberFormat="1" applyFont="1" applyFill="1" applyBorder="1" applyAlignment="1" applyProtection="1">
      <alignment vertical="center" wrapText="1"/>
    </xf>
    <xf numFmtId="174" fontId="60" fillId="13" borderId="1" xfId="0" applyNumberFormat="1" applyFont="1" applyFill="1" applyBorder="1" applyAlignment="1" applyProtection="1">
      <alignment horizontal="centerContinuous" vertical="center"/>
    </xf>
    <xf numFmtId="14" fontId="60" fillId="13" borderId="5" xfId="0" applyNumberFormat="1" applyFont="1" applyFill="1" applyBorder="1" applyAlignment="1">
      <alignment horizontal="left" vertical="center"/>
    </xf>
    <xf numFmtId="0" fontId="60" fillId="13" borderId="9" xfId="0" applyFont="1" applyFill="1" applyBorder="1" applyAlignment="1">
      <alignment vertical="center" wrapText="1"/>
    </xf>
    <xf numFmtId="0" fontId="60" fillId="13" borderId="6" xfId="0" applyFont="1" applyFill="1" applyBorder="1" applyAlignment="1">
      <alignment vertical="center" wrapText="1"/>
    </xf>
    <xf numFmtId="174" fontId="60" fillId="13" borderId="13" xfId="0" applyNumberFormat="1" applyFont="1" applyFill="1" applyBorder="1" applyAlignment="1">
      <alignment vertical="center" wrapText="1"/>
    </xf>
    <xf numFmtId="0" fontId="234" fillId="13" borderId="8" xfId="0" applyFont="1" applyFill="1" applyBorder="1" applyAlignment="1">
      <alignment vertical="center"/>
    </xf>
    <xf numFmtId="0" fontId="65" fillId="13" borderId="5" xfId="0" applyFont="1" applyFill="1" applyBorder="1" applyAlignment="1">
      <alignment horizontal="centerContinuous" vertical="center"/>
    </xf>
    <xf numFmtId="0" fontId="65" fillId="13" borderId="9" xfId="0" applyFont="1" applyFill="1" applyBorder="1" applyAlignment="1">
      <alignment horizontal="centerContinuous" vertical="center"/>
    </xf>
    <xf numFmtId="0" fontId="65" fillId="13" borderId="6" xfId="0" applyFont="1" applyFill="1" applyBorder="1" applyAlignment="1">
      <alignment horizontal="centerContinuous" vertical="center"/>
    </xf>
    <xf numFmtId="14" fontId="74" fillId="13" borderId="5" xfId="0" applyNumberFormat="1" applyFont="1" applyFill="1" applyBorder="1" applyAlignment="1" applyProtection="1">
      <alignment vertical="center"/>
    </xf>
    <xf numFmtId="14" fontId="74" fillId="13" borderId="9" xfId="0" applyNumberFormat="1" applyFont="1" applyFill="1" applyBorder="1" applyAlignment="1" applyProtection="1">
      <alignment vertical="center"/>
    </xf>
    <xf numFmtId="0" fontId="74" fillId="13" borderId="9" xfId="0" applyFont="1" applyFill="1" applyBorder="1" applyAlignment="1" applyProtection="1">
      <alignment vertical="center" wrapText="1"/>
    </xf>
    <xf numFmtId="174" fontId="74" fillId="13" borderId="5" xfId="0" applyNumberFormat="1" applyFont="1" applyFill="1" applyBorder="1" applyAlignment="1" applyProtection="1">
      <alignment vertical="center" wrapText="1"/>
    </xf>
    <xf numFmtId="174" fontId="74" fillId="13" borderId="9" xfId="0" applyNumberFormat="1" applyFont="1" applyFill="1" applyBorder="1" applyAlignment="1" applyProtection="1">
      <alignment vertical="center" wrapText="1"/>
    </xf>
    <xf numFmtId="174" fontId="74" fillId="13" borderId="1" xfId="0" applyNumberFormat="1" applyFont="1" applyFill="1" applyBorder="1" applyAlignment="1" applyProtection="1">
      <alignment horizontal="centerContinuous" vertical="center"/>
    </xf>
    <xf numFmtId="174" fontId="74" fillId="13" borderId="86" xfId="0" applyNumberFormat="1" applyFont="1" applyFill="1" applyBorder="1" applyAlignment="1" applyProtection="1">
      <alignment horizontal="centerContinuous" vertical="center"/>
    </xf>
    <xf numFmtId="179" fontId="141" fillId="13" borderId="9" xfId="0" applyNumberFormat="1" applyFont="1" applyFill="1" applyBorder="1" applyAlignment="1">
      <alignment horizontal="right" vertical="center" wrapText="1"/>
    </xf>
    <xf numFmtId="0" fontId="74" fillId="13" borderId="9" xfId="0" applyFont="1" applyFill="1" applyBorder="1" applyAlignment="1">
      <alignment vertical="center" wrapText="1"/>
    </xf>
    <xf numFmtId="179" fontId="74" fillId="13" borderId="9" xfId="0" applyNumberFormat="1" applyFont="1" applyFill="1" applyBorder="1" applyAlignment="1">
      <alignment vertical="center" wrapText="1"/>
    </xf>
    <xf numFmtId="0" fontId="74" fillId="13" borderId="6" xfId="0" applyFont="1" applyFill="1" applyBorder="1" applyAlignment="1">
      <alignment vertical="center" wrapText="1"/>
    </xf>
    <xf numFmtId="174" fontId="74" fillId="13" borderId="13" xfId="0" applyNumberFormat="1" applyFont="1" applyFill="1" applyBorder="1" applyAlignment="1">
      <alignment vertical="center" wrapText="1"/>
    </xf>
    <xf numFmtId="0" fontId="236" fillId="13" borderId="8" xfId="0" applyFont="1" applyFill="1" applyBorder="1" applyAlignment="1">
      <alignment vertical="center"/>
    </xf>
    <xf numFmtId="0" fontId="146" fillId="13" borderId="5" xfId="0" applyFont="1" applyFill="1" applyBorder="1" applyAlignment="1">
      <alignment horizontal="centerContinuous" vertical="center"/>
    </xf>
    <xf numFmtId="0" fontId="146" fillId="13" borderId="9" xfId="0" applyFont="1" applyFill="1" applyBorder="1" applyAlignment="1">
      <alignment horizontal="centerContinuous" vertical="center"/>
    </xf>
    <xf numFmtId="0" fontId="146" fillId="13" borderId="6" xfId="0" applyFont="1" applyFill="1" applyBorder="1" applyAlignment="1">
      <alignment horizontal="centerContinuous" vertical="center"/>
    </xf>
    <xf numFmtId="14" fontId="40" fillId="0" borderId="69" xfId="8" applyNumberFormat="1" applyFont="1" applyFill="1" applyBorder="1" applyAlignment="1" applyProtection="1">
      <alignment horizontal="left" vertical="center"/>
    </xf>
    <xf numFmtId="181" fontId="141" fillId="0" borderId="0" xfId="0" applyNumberFormat="1" applyFont="1" applyFill="1" applyBorder="1" applyAlignment="1" applyProtection="1">
      <alignment horizontal="left" vertical="center"/>
      <protection locked="0"/>
    </xf>
    <xf numFmtId="14" fontId="40" fillId="11" borderId="69" xfId="8" applyNumberFormat="1" applyFont="1" applyFill="1" applyBorder="1" applyAlignment="1" applyProtection="1">
      <alignment horizontal="left" vertical="center"/>
    </xf>
    <xf numFmtId="0" fontId="24" fillId="6" borderId="0" xfId="0" applyFont="1" applyFill="1" applyAlignment="1">
      <alignment horizontal="center" vertical="center" wrapText="1"/>
    </xf>
    <xf numFmtId="0" fontId="24" fillId="0" borderId="0" xfId="0" applyFont="1" applyFill="1" applyBorder="1" applyAlignment="1">
      <alignment horizontal="center" vertical="center"/>
    </xf>
    <xf numFmtId="0" fontId="40" fillId="0" borderId="0" xfId="8" applyFont="1" applyFill="1" applyBorder="1" applyAlignment="1" applyProtection="1">
      <alignment vertical="center" wrapText="1"/>
    </xf>
    <xf numFmtId="181" fontId="141"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horizontal="right" vertical="center"/>
      <protection locked="0"/>
    </xf>
    <xf numFmtId="179" fontId="116" fillId="0" borderId="7" xfId="0" applyNumberFormat="1" applyFont="1" applyFill="1" applyBorder="1" applyAlignment="1" applyProtection="1">
      <alignment horizontal="left" vertical="center"/>
      <protection locked="0"/>
    </xf>
    <xf numFmtId="174" fontId="10" fillId="0" borderId="7" xfId="0" applyNumberFormat="1" applyFont="1" applyFill="1" applyBorder="1" applyAlignment="1">
      <alignment vertical="center" wrapText="1"/>
    </xf>
    <xf numFmtId="174" fontId="146" fillId="5" borderId="9" xfId="0" quotePrefix="1" applyNumberFormat="1" applyFont="1" applyFill="1" applyBorder="1" applyAlignment="1">
      <alignment horizontal="centerContinuous" vertical="center"/>
    </xf>
    <xf numFmtId="174" fontId="146" fillId="5" borderId="6" xfId="0" quotePrefix="1" applyNumberFormat="1" applyFont="1" applyFill="1" applyBorder="1" applyAlignment="1">
      <alignment horizontal="centerContinuous" vertical="center"/>
    </xf>
    <xf numFmtId="2" fontId="24" fillId="0" borderId="0" xfId="0" applyNumberFormat="1" applyFont="1" applyFill="1">
      <alignment vertical="center"/>
    </xf>
    <xf numFmtId="0" fontId="14" fillId="0" borderId="0" xfId="0" applyFont="1" applyFill="1" applyAlignment="1">
      <alignment vertical="center" wrapText="1"/>
    </xf>
    <xf numFmtId="170" fontId="32" fillId="0" borderId="0" xfId="0" quotePrefix="1" applyNumberFormat="1" applyFont="1" applyFill="1" applyBorder="1" applyAlignment="1" applyProtection="1">
      <alignment horizontal="center" vertical="center"/>
    </xf>
    <xf numFmtId="176" fontId="50" fillId="0" borderId="135" xfId="1" applyNumberFormat="1" applyFont="1" applyFill="1" applyBorder="1" applyAlignment="1" applyProtection="1">
      <alignment horizontal="center" vertical="center"/>
    </xf>
    <xf numFmtId="169" fontId="38" fillId="0" borderId="136" xfId="0" applyNumberFormat="1" applyFont="1" applyFill="1" applyBorder="1" applyAlignment="1">
      <alignment vertical="center" wrapText="1"/>
    </xf>
    <xf numFmtId="167" fontId="38" fillId="0" borderId="136" xfId="0" applyNumberFormat="1" applyFont="1" applyFill="1" applyBorder="1" applyAlignment="1">
      <alignment vertical="center"/>
    </xf>
    <xf numFmtId="177" fontId="38" fillId="0" borderId="136" xfId="0" applyNumberFormat="1" applyFont="1" applyFill="1" applyBorder="1" applyAlignment="1" applyProtection="1">
      <alignment vertical="center"/>
    </xf>
    <xf numFmtId="166" fontId="38" fillId="0" borderId="137" xfId="8" applyNumberFormat="1" applyFont="1" applyFill="1" applyBorder="1" applyAlignment="1" applyProtection="1">
      <alignment horizontal="center" vertical="center"/>
    </xf>
    <xf numFmtId="0" fontId="38" fillId="0" borderId="101" xfId="0" applyFont="1" applyFill="1" applyBorder="1" applyAlignment="1" applyProtection="1">
      <alignment horizontal="center" vertical="center" wrapText="1"/>
    </xf>
    <xf numFmtId="171" fontId="8" fillId="13" borderId="1" xfId="0" applyNumberFormat="1" applyFont="1" applyFill="1" applyBorder="1" applyAlignment="1">
      <alignment horizontal="left" vertical="center" wrapText="1"/>
    </xf>
    <xf numFmtId="170" fontId="32" fillId="0" borderId="5" xfId="0" applyNumberFormat="1" applyFont="1" applyFill="1" applyBorder="1" applyAlignment="1" applyProtection="1">
      <alignment horizontal="center" vertical="center"/>
      <protection locked="0"/>
    </xf>
    <xf numFmtId="170" fontId="32" fillId="50" borderId="5" xfId="0" applyNumberFormat="1" applyFont="1" applyFill="1" applyBorder="1" applyAlignment="1" applyProtection="1">
      <alignment horizontal="center" vertical="center"/>
      <protection locked="0"/>
    </xf>
    <xf numFmtId="170" fontId="32" fillId="5" borderId="5" xfId="0" applyNumberFormat="1" applyFont="1" applyFill="1" applyBorder="1" applyAlignment="1" applyProtection="1">
      <alignment horizontal="center" vertical="center"/>
      <protection locked="0"/>
    </xf>
    <xf numFmtId="170" fontId="32" fillId="6" borderId="5" xfId="0" applyNumberFormat="1" applyFont="1" applyFill="1" applyBorder="1" applyAlignment="1" applyProtection="1">
      <alignment horizontal="center" vertical="center"/>
      <protection locked="0"/>
    </xf>
    <xf numFmtId="0" fontId="55" fillId="11" borderId="1" xfId="0" applyNumberFormat="1" applyFont="1" applyFill="1" applyBorder="1" applyAlignment="1">
      <alignment horizontal="center" vertical="center" wrapText="1"/>
    </xf>
    <xf numFmtId="0" fontId="14" fillId="11" borderId="1" xfId="0" applyNumberFormat="1" applyFont="1" applyFill="1" applyBorder="1" applyAlignment="1" applyProtection="1">
      <alignment horizontal="center" vertical="center" wrapText="1"/>
    </xf>
    <xf numFmtId="170" fontId="14" fillId="11" borderId="1" xfId="0" applyNumberFormat="1" applyFont="1" applyFill="1" applyBorder="1" applyAlignment="1" applyProtection="1">
      <alignment horizontal="center" vertical="center"/>
      <protection locked="0"/>
    </xf>
    <xf numFmtId="0" fontId="24" fillId="11" borderId="1" xfId="0" applyNumberFormat="1" applyFont="1" applyFill="1" applyBorder="1" applyAlignment="1" applyProtection="1">
      <alignment horizontal="center" vertical="center" wrapText="1"/>
    </xf>
    <xf numFmtId="0" fontId="14"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4" fillId="11" borderId="1" xfId="0" applyFont="1" applyFill="1" applyBorder="1" applyAlignment="1">
      <alignment vertical="center"/>
    </xf>
    <xf numFmtId="0" fontId="14" fillId="11" borderId="1" xfId="8" applyNumberFormat="1" applyFont="1" applyFill="1" applyBorder="1" applyAlignment="1" applyProtection="1">
      <alignment horizontal="center" vertical="center" wrapText="1"/>
    </xf>
    <xf numFmtId="0" fontId="14" fillId="11" borderId="1" xfId="0" applyNumberFormat="1" applyFont="1" applyFill="1" applyBorder="1" applyAlignment="1">
      <alignment horizontal="center" vertical="center" wrapText="1"/>
    </xf>
    <xf numFmtId="0" fontId="24" fillId="11"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xf>
    <xf numFmtId="180" fontId="105" fillId="0" borderId="1" xfId="0" applyNumberFormat="1" applyFont="1" applyFill="1" applyBorder="1" applyAlignment="1">
      <alignment horizontal="center" vertical="center"/>
    </xf>
    <xf numFmtId="0" fontId="68" fillId="0" borderId="105" xfId="0" applyFont="1" applyFill="1" applyBorder="1" applyAlignment="1" applyProtection="1">
      <alignment horizontal="center" vertical="center" wrapText="1"/>
    </xf>
    <xf numFmtId="0" fontId="68" fillId="0" borderId="101" xfId="0" applyFont="1" applyFill="1" applyBorder="1" applyAlignment="1" applyProtection="1">
      <alignment horizontal="center" vertical="center" wrapText="1"/>
    </xf>
    <xf numFmtId="0" fontId="151" fillId="0" borderId="101" xfId="0" applyFont="1" applyFill="1" applyBorder="1" applyAlignment="1" applyProtection="1">
      <alignment horizontal="center" vertical="center"/>
    </xf>
    <xf numFmtId="14" fontId="60" fillId="11" borderId="0" xfId="0" applyNumberFormat="1" applyFont="1" applyFill="1" applyAlignment="1">
      <alignment horizontal="center" vertical="center"/>
    </xf>
    <xf numFmtId="181" fontId="77" fillId="0" borderId="0" xfId="8" applyNumberFormat="1" applyFont="1" applyFill="1" applyBorder="1" applyAlignment="1" applyProtection="1">
      <alignment vertical="center" wrapText="1"/>
    </xf>
    <xf numFmtId="181" fontId="50" fillId="59" borderId="0" xfId="0" applyNumberFormat="1" applyFont="1" applyFill="1" applyBorder="1" applyAlignment="1" applyProtection="1">
      <alignment horizontal="left" vertical="center"/>
      <protection locked="0"/>
    </xf>
    <xf numFmtId="182" fontId="14" fillId="0" borderId="101" xfId="8" applyNumberFormat="1" applyFont="1" applyFill="1" applyBorder="1" applyAlignment="1" applyProtection="1">
      <alignment horizontal="center" vertical="center" wrapText="1"/>
    </xf>
    <xf numFmtId="183" fontId="14" fillId="0" borderId="101" xfId="8" applyNumberFormat="1" applyFont="1" applyFill="1" applyBorder="1" applyAlignment="1" applyProtection="1">
      <alignment horizontal="center" vertical="center" wrapText="1"/>
    </xf>
    <xf numFmtId="0" fontId="145" fillId="0" borderId="0" xfId="4" applyFont="1" applyAlignment="1">
      <alignment horizontal="center" vertical="center"/>
    </xf>
    <xf numFmtId="20" fontId="52" fillId="0" borderId="0" xfId="4" applyNumberFormat="1" applyFont="1">
      <alignment vertical="center"/>
    </xf>
    <xf numFmtId="0" fontId="52" fillId="11" borderId="0" xfId="4" applyFont="1" applyFill="1" applyBorder="1">
      <alignment vertical="center"/>
    </xf>
    <xf numFmtId="0" fontId="218" fillId="13" borderId="0" xfId="4" applyFont="1" applyFill="1" applyBorder="1">
      <alignment vertical="center"/>
    </xf>
    <xf numFmtId="0" fontId="208" fillId="13" borderId="1" xfId="4" applyFont="1" applyFill="1" applyBorder="1" applyAlignment="1">
      <alignment horizontal="center" vertical="center"/>
    </xf>
    <xf numFmtId="0" fontId="52" fillId="13" borderId="1" xfId="4" applyFont="1" applyFill="1" applyBorder="1">
      <alignment vertical="center"/>
    </xf>
    <xf numFmtId="165" fontId="14" fillId="13" borderId="1" xfId="1" applyFont="1" applyFill="1" applyBorder="1" applyAlignment="1">
      <alignment horizontal="center" vertical="center" shrinkToFit="1"/>
    </xf>
    <xf numFmtId="0" fontId="14" fillId="13" borderId="1" xfId="4" applyFont="1" applyFill="1" applyBorder="1" applyAlignment="1">
      <alignment horizontal="center" vertical="center" shrinkToFit="1"/>
    </xf>
    <xf numFmtId="0" fontId="52" fillId="13" borderId="1" xfId="4" applyFont="1" applyFill="1" applyBorder="1" applyAlignment="1">
      <alignment horizontal="center" vertical="center"/>
    </xf>
    <xf numFmtId="168" fontId="52" fillId="13" borderId="1" xfId="4" quotePrefix="1" applyNumberFormat="1" applyFont="1" applyFill="1" applyBorder="1" applyAlignment="1">
      <alignment horizontal="right" vertical="center"/>
    </xf>
    <xf numFmtId="177" fontId="51" fillId="0" borderId="78" xfId="0" applyNumberFormat="1" applyFont="1" applyFill="1" applyBorder="1" applyAlignment="1" applyProtection="1">
      <alignment vertical="center" shrinkToFit="1"/>
    </xf>
    <xf numFmtId="177" fontId="51" fillId="0" borderId="81" xfId="0" applyNumberFormat="1" applyFont="1" applyFill="1" applyBorder="1" applyAlignment="1" applyProtection="1">
      <alignment vertical="center" shrinkToFit="1"/>
    </xf>
    <xf numFmtId="177" fontId="51" fillId="0" borderId="84" xfId="0" applyNumberFormat="1" applyFont="1" applyFill="1" applyBorder="1" applyAlignment="1" applyProtection="1">
      <alignment vertical="center" shrinkToFit="1"/>
    </xf>
    <xf numFmtId="177" fontId="51" fillId="0" borderId="100" xfId="0" applyNumberFormat="1" applyFont="1" applyFill="1" applyBorder="1" applyAlignment="1" applyProtection="1">
      <alignment vertical="center" shrinkToFit="1"/>
    </xf>
    <xf numFmtId="176" fontId="51" fillId="0" borderId="100" xfId="0" applyNumberFormat="1" applyFont="1" applyFill="1" applyBorder="1" applyAlignment="1" applyProtection="1">
      <alignment vertical="center" shrinkToFit="1"/>
    </xf>
    <xf numFmtId="168" fontId="51" fillId="0" borderId="100" xfId="0" applyNumberFormat="1" applyFont="1" applyFill="1" applyBorder="1" applyAlignment="1" applyProtection="1">
      <alignment horizontal="center" vertical="center" shrinkToFit="1"/>
    </xf>
    <xf numFmtId="0" fontId="10" fillId="0" borderId="5" xfId="0" applyNumberFormat="1" applyFont="1" applyFill="1" applyBorder="1" applyAlignment="1" applyProtection="1">
      <alignment vertical="center" wrapText="1"/>
      <protection locked="0"/>
    </xf>
    <xf numFmtId="0" fontId="10" fillId="0" borderId="46" xfId="8" applyFont="1" applyFill="1" applyBorder="1" applyAlignment="1">
      <alignment vertical="center" wrapTex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38" fillId="0" borderId="46" xfId="0" applyFont="1" applyFill="1" applyBorder="1" applyAlignment="1" applyProtection="1">
      <alignment horizontal="centerContinuous" vertical="center" wrapText="1"/>
    </xf>
    <xf numFmtId="0" fontId="38" fillId="0" borderId="110" xfId="0" applyFont="1" applyFill="1" applyBorder="1" applyAlignment="1" applyProtection="1">
      <alignment horizontal="centerContinuous" vertical="center" wrapText="1"/>
    </xf>
    <xf numFmtId="0" fontId="38" fillId="0" borderId="1" xfId="0" applyFont="1" applyFill="1" applyBorder="1" applyAlignment="1" applyProtection="1">
      <alignment horizontal="centerContinuous" vertical="center" wrapText="1"/>
    </xf>
    <xf numFmtId="41" fontId="38" fillId="0" borderId="9" xfId="0" applyNumberFormat="1" applyFont="1" applyFill="1" applyBorder="1" applyAlignment="1" applyProtection="1">
      <alignment vertical="center" wrapText="1"/>
    </xf>
    <xf numFmtId="0" fontId="14" fillId="14" borderId="1" xfId="0" applyNumberFormat="1" applyFont="1" applyFill="1" applyBorder="1" applyAlignment="1" applyProtection="1">
      <alignment horizontal="center" vertical="center" wrapText="1"/>
    </xf>
    <xf numFmtId="0" fontId="14" fillId="14" borderId="1" xfId="0" applyFont="1" applyFill="1" applyBorder="1" applyAlignment="1">
      <alignment horizontal="center" vertical="center"/>
    </xf>
    <xf numFmtId="0" fontId="26" fillId="14" borderId="1" xfId="0" applyFont="1" applyFill="1" applyBorder="1" applyAlignment="1" applyProtection="1">
      <alignment horizontal="center" vertical="center"/>
    </xf>
    <xf numFmtId="0" fontId="14" fillId="14" borderId="6" xfId="0" applyNumberFormat="1" applyFont="1" applyFill="1" applyBorder="1" applyAlignment="1">
      <alignment horizontal="center" vertical="center" wrapText="1"/>
    </xf>
    <xf numFmtId="0" fontId="198" fillId="14" borderId="1" xfId="0" applyFont="1" applyFill="1" applyBorder="1" applyAlignment="1" applyProtection="1">
      <alignment horizontal="center" vertical="center"/>
    </xf>
    <xf numFmtId="166" fontId="10" fillId="0" borderId="1" xfId="0" applyNumberFormat="1" applyFont="1" applyFill="1" applyBorder="1" applyAlignment="1" applyProtection="1">
      <alignment horizontal="right" vertical="center"/>
    </xf>
    <xf numFmtId="177" fontId="11" fillId="0" borderId="1" xfId="1" applyNumberFormat="1" applyFont="1" applyFill="1" applyBorder="1" applyAlignment="1" applyProtection="1">
      <alignment horizontal="center" vertical="center"/>
    </xf>
    <xf numFmtId="0" fontId="10" fillId="0" borderId="5" xfId="0" applyFont="1" applyBorder="1" applyAlignment="1" applyProtection="1">
      <alignment horizontal="center" vertical="center"/>
    </xf>
    <xf numFmtId="0" fontId="14" fillId="0" borderId="1" xfId="0" applyNumberFormat="1" applyFont="1" applyFill="1" applyBorder="1" applyAlignment="1" applyProtection="1">
      <alignment horizontal="left" vertical="center" wrapText="1"/>
    </xf>
    <xf numFmtId="0" fontId="10" fillId="40" borderId="0" xfId="0" applyFont="1" applyFill="1" applyBorder="1" applyAlignment="1" applyProtection="1">
      <alignment horizontal="center" vertical="center"/>
    </xf>
    <xf numFmtId="0" fontId="10" fillId="40" borderId="0" xfId="0" applyFont="1" applyFill="1" applyBorder="1" applyAlignment="1" applyProtection="1">
      <alignment horizontal="center" vertical="center" wrapText="1"/>
    </xf>
    <xf numFmtId="0" fontId="26" fillId="40" borderId="0" xfId="0" applyFont="1" applyFill="1" applyBorder="1" applyAlignment="1" applyProtection="1">
      <alignment horizontal="center" vertical="center"/>
    </xf>
    <xf numFmtId="0" fontId="14" fillId="40" borderId="0" xfId="0" applyNumberFormat="1" applyFont="1" applyFill="1" applyBorder="1" applyAlignment="1">
      <alignment horizontal="center" vertical="center" wrapText="1"/>
    </xf>
    <xf numFmtId="165" fontId="38" fillId="14" borderId="100" xfId="0" applyNumberFormat="1" applyFont="1" applyFill="1" applyBorder="1" applyAlignment="1" applyProtection="1">
      <alignment vertical="center"/>
      <protection locked="0"/>
    </xf>
    <xf numFmtId="165" fontId="38" fillId="0" borderId="100" xfId="0" applyNumberFormat="1" applyFont="1" applyFill="1" applyBorder="1" applyAlignment="1">
      <alignment horizontal="center" vertical="center"/>
    </xf>
    <xf numFmtId="165" fontId="38" fillId="0" borderId="100" xfId="0" applyNumberFormat="1" applyFont="1" applyFill="1" applyBorder="1" applyAlignment="1" applyProtection="1">
      <alignment horizontal="center" vertical="center"/>
    </xf>
    <xf numFmtId="165" fontId="51" fillId="0" borderId="100" xfId="0" applyNumberFormat="1" applyFont="1" applyFill="1" applyBorder="1" applyAlignment="1" applyProtection="1">
      <alignment horizontal="center" vertical="center"/>
    </xf>
    <xf numFmtId="165" fontId="38" fillId="0" borderId="46" xfId="0" applyNumberFormat="1" applyFont="1" applyFill="1" applyBorder="1" applyAlignment="1" applyProtection="1">
      <alignment vertical="center"/>
      <protection locked="0"/>
    </xf>
    <xf numFmtId="165" fontId="38" fillId="0" borderId="9" xfId="0" applyNumberFormat="1" applyFont="1" applyFill="1" applyBorder="1" applyAlignment="1" applyProtection="1">
      <alignment vertical="center"/>
      <protection locked="0"/>
    </xf>
    <xf numFmtId="165" fontId="38" fillId="7" borderId="9" xfId="0" applyNumberFormat="1" applyFont="1" applyFill="1" applyBorder="1" applyAlignment="1" applyProtection="1">
      <alignment vertical="center"/>
      <protection locked="0"/>
    </xf>
    <xf numFmtId="165" fontId="38" fillId="0" borderId="108" xfId="0" applyNumberFormat="1" applyFont="1" applyFill="1" applyBorder="1" applyAlignment="1" applyProtection="1">
      <alignment vertical="center"/>
      <protection locked="0"/>
    </xf>
    <xf numFmtId="165" fontId="38" fillId="14" borderId="5" xfId="0" applyNumberFormat="1" applyFont="1" applyFill="1" applyBorder="1" applyAlignment="1" applyProtection="1">
      <alignment vertical="center"/>
      <protection locked="0"/>
    </xf>
    <xf numFmtId="165" fontId="38" fillId="0" borderId="5" xfId="0" applyNumberFormat="1" applyFont="1" applyFill="1" applyBorder="1" applyAlignment="1" applyProtection="1">
      <alignment vertical="center"/>
      <protection locked="0"/>
    </xf>
    <xf numFmtId="165" fontId="38" fillId="7" borderId="6" xfId="0" applyNumberFormat="1" applyFont="1" applyFill="1" applyBorder="1" applyAlignment="1" applyProtection="1">
      <alignment vertical="center"/>
      <protection locked="0"/>
    </xf>
    <xf numFmtId="0" fontId="38" fillId="11" borderId="0" xfId="0" applyFont="1" applyFill="1" applyAlignment="1">
      <alignment horizontal="center" vertical="center"/>
    </xf>
    <xf numFmtId="179" fontId="38" fillId="0" borderId="0" xfId="0" applyNumberFormat="1" applyFont="1" applyFill="1" applyAlignment="1">
      <alignment horizontal="center" vertical="center"/>
    </xf>
    <xf numFmtId="179" fontId="18" fillId="0" borderId="0" xfId="0" applyNumberFormat="1" applyFont="1" applyFill="1" applyAlignment="1">
      <alignment horizontal="center" vertical="center"/>
    </xf>
    <xf numFmtId="180" fontId="38" fillId="11" borderId="0" xfId="0" applyNumberFormat="1" applyFont="1" applyFill="1" applyAlignment="1">
      <alignment horizontal="center" vertical="center"/>
    </xf>
    <xf numFmtId="180" fontId="38" fillId="0" borderId="0" xfId="0" applyNumberFormat="1" applyFont="1" applyFill="1" applyAlignment="1">
      <alignment horizontal="center" vertical="center"/>
    </xf>
    <xf numFmtId="0" fontId="18" fillId="0" borderId="0" xfId="0" applyFont="1" applyFill="1" applyAlignment="1">
      <alignment horizontal="center" vertical="center"/>
    </xf>
    <xf numFmtId="169" fontId="38" fillId="11" borderId="0" xfId="0" applyNumberFormat="1" applyFont="1" applyFill="1" applyBorder="1" applyAlignment="1">
      <alignment horizontal="center" vertical="center"/>
    </xf>
    <xf numFmtId="166" fontId="38" fillId="7" borderId="0" xfId="0" applyNumberFormat="1" applyFont="1" applyFill="1" applyBorder="1" applyAlignment="1" applyProtection="1">
      <alignment horizontal="center" vertical="center"/>
    </xf>
    <xf numFmtId="171" fontId="38" fillId="7" borderId="0" xfId="0" applyNumberFormat="1" applyFont="1" applyFill="1" applyBorder="1" applyAlignment="1" applyProtection="1">
      <alignment horizontal="center" vertical="center"/>
    </xf>
    <xf numFmtId="0" fontId="239" fillId="0" borderId="0" xfId="0" applyFont="1" applyFill="1" applyBorder="1" applyAlignment="1" applyProtection="1">
      <alignment vertical="center"/>
    </xf>
    <xf numFmtId="0" fontId="14" fillId="0" borderId="0" xfId="0" applyFont="1" applyFill="1" applyBorder="1" applyAlignment="1" applyProtection="1">
      <alignment vertical="center"/>
    </xf>
    <xf numFmtId="181" fontId="38" fillId="0" borderId="0" xfId="0" quotePrefix="1" applyNumberFormat="1" applyFont="1" applyFill="1" applyBorder="1" applyAlignment="1" applyProtection="1">
      <alignment vertical="center"/>
    </xf>
    <xf numFmtId="181" fontId="239" fillId="0" borderId="0" xfId="0" applyNumberFormat="1" applyFont="1" applyFill="1" applyBorder="1" applyAlignment="1" applyProtection="1">
      <alignment horizontal="center" vertical="center"/>
    </xf>
    <xf numFmtId="181" fontId="239" fillId="0" borderId="0" xfId="0" applyNumberFormat="1" applyFont="1" applyFill="1" applyBorder="1" applyAlignment="1" applyProtection="1">
      <alignment vertical="center"/>
    </xf>
    <xf numFmtId="181" fontId="38" fillId="11" borderId="0" xfId="0" applyNumberFormat="1" applyFont="1" applyFill="1" applyAlignment="1">
      <alignment horizontal="center" vertical="center"/>
    </xf>
    <xf numFmtId="179" fontId="38" fillId="11" borderId="0" xfId="0" applyNumberFormat="1" applyFont="1" applyFill="1" applyAlignment="1">
      <alignment horizontal="center" vertical="center"/>
    </xf>
    <xf numFmtId="0" fontId="18" fillId="11" borderId="0" xfId="0" applyFont="1" applyFill="1" applyAlignment="1">
      <alignment horizontal="left" vertical="center"/>
    </xf>
    <xf numFmtId="0" fontId="38" fillId="11" borderId="0" xfId="0" applyFont="1" applyFill="1" applyAlignment="1" applyProtection="1">
      <alignment horizontal="center" vertical="center"/>
    </xf>
    <xf numFmtId="0" fontId="241" fillId="58" borderId="9" xfId="0" applyFont="1" applyFill="1" applyBorder="1" applyAlignment="1" applyProtection="1">
      <alignment vertical="center" wrapText="1"/>
    </xf>
    <xf numFmtId="0" fontId="240" fillId="13" borderId="9" xfId="0" applyFont="1" applyFill="1" applyBorder="1" applyAlignment="1" applyProtection="1">
      <alignment vertical="center" wrapText="1"/>
    </xf>
    <xf numFmtId="0" fontId="240" fillId="13" borderId="6" xfId="0" applyFont="1" applyFill="1" applyBorder="1" applyAlignment="1">
      <alignment vertical="center" wrapText="1"/>
    </xf>
    <xf numFmtId="0" fontId="240" fillId="13" borderId="6" xfId="0" applyFont="1" applyFill="1" applyBorder="1" applyAlignment="1" applyProtection="1">
      <alignment vertical="center" wrapText="1"/>
    </xf>
    <xf numFmtId="0" fontId="38" fillId="0" borderId="0" xfId="0" quotePrefix="1" applyFont="1" applyFill="1" applyBorder="1" applyAlignment="1" applyProtection="1">
      <alignment horizontal="centerContinuous" vertical="center"/>
    </xf>
    <xf numFmtId="0" fontId="24" fillId="0" borderId="3" xfId="0" applyFont="1" applyFill="1" applyBorder="1" applyAlignment="1">
      <alignment horizontal="center" vertical="center"/>
    </xf>
    <xf numFmtId="170" fontId="32" fillId="0" borderId="3" xfId="0" applyNumberFormat="1" applyFont="1" applyFill="1" applyBorder="1" applyAlignment="1" applyProtection="1">
      <alignment horizontal="center" vertical="center"/>
      <protection locked="0"/>
    </xf>
    <xf numFmtId="170" fontId="32" fillId="0" borderId="13" xfId="0" applyNumberFormat="1" applyFont="1" applyFill="1" applyBorder="1" applyAlignment="1" applyProtection="1">
      <alignment horizontal="center" vertical="center"/>
      <protection locked="0"/>
    </xf>
    <xf numFmtId="0" fontId="14" fillId="11" borderId="3" xfId="0" applyNumberFormat="1" applyFont="1" applyFill="1" applyBorder="1" applyAlignment="1">
      <alignment horizontal="center" vertical="center" wrapText="1"/>
    </xf>
    <xf numFmtId="0" fontId="24" fillId="50" borderId="86" xfId="0" applyFont="1" applyFill="1" applyBorder="1" applyAlignment="1">
      <alignment horizontal="center" vertical="center"/>
    </xf>
    <xf numFmtId="170" fontId="32" fillId="50" borderId="86" xfId="0" applyNumberFormat="1" applyFont="1" applyFill="1" applyBorder="1" applyAlignment="1" applyProtection="1">
      <alignment horizontal="center" vertical="center"/>
      <protection locked="0"/>
    </xf>
    <xf numFmtId="170" fontId="32" fillId="50" borderId="87" xfId="0" applyNumberFormat="1" applyFont="1" applyFill="1" applyBorder="1" applyAlignment="1" applyProtection="1">
      <alignment horizontal="center" vertical="center"/>
      <protection locked="0"/>
    </xf>
    <xf numFmtId="0" fontId="14" fillId="11" borderId="86" xfId="0" applyNumberFormat="1" applyFont="1" applyFill="1" applyBorder="1" applyAlignment="1">
      <alignment horizontal="center" vertical="center" wrapText="1"/>
    </xf>
    <xf numFmtId="0" fontId="24" fillId="50" borderId="138" xfId="0" applyFont="1" applyFill="1" applyBorder="1" applyAlignment="1">
      <alignment horizontal="center" vertical="center"/>
    </xf>
    <xf numFmtId="170" fontId="32" fillId="50" borderId="139" xfId="0" applyNumberFormat="1" applyFont="1" applyFill="1" applyBorder="1" applyAlignment="1" applyProtection="1">
      <alignment horizontal="center" vertical="center"/>
      <protection locked="0"/>
    </xf>
    <xf numFmtId="170" fontId="32" fillId="50" borderId="140" xfId="0" applyNumberFormat="1" applyFont="1" applyFill="1" applyBorder="1" applyAlignment="1" applyProtection="1">
      <alignment horizontal="center" vertical="center"/>
      <protection locked="0"/>
    </xf>
    <xf numFmtId="0" fontId="14" fillId="11" borderId="139" xfId="0" applyNumberFormat="1" applyFont="1" applyFill="1" applyBorder="1" applyAlignment="1">
      <alignment horizontal="center" vertical="center" wrapText="1"/>
    </xf>
    <xf numFmtId="0" fontId="24" fillId="11" borderId="3" xfId="0" applyNumberFormat="1" applyFont="1" applyFill="1" applyBorder="1" applyAlignment="1">
      <alignment horizontal="center" vertical="center" wrapText="1"/>
    </xf>
    <xf numFmtId="0" fontId="24" fillId="11" borderId="86" xfId="0" applyNumberFormat="1" applyFont="1" applyFill="1" applyBorder="1" applyAlignment="1">
      <alignment horizontal="center" vertical="center" wrapText="1"/>
    </xf>
    <xf numFmtId="0" fontId="24" fillId="11" borderId="3" xfId="0" applyNumberFormat="1" applyFont="1" applyFill="1" applyBorder="1" applyAlignment="1" applyProtection="1">
      <alignment horizontal="center" vertical="center" wrapText="1"/>
    </xf>
    <xf numFmtId="0" fontId="24" fillId="11" borderId="86" xfId="0" applyNumberFormat="1" applyFont="1" applyFill="1" applyBorder="1" applyAlignment="1" applyProtection="1">
      <alignment horizontal="center" vertical="center" wrapText="1"/>
    </xf>
    <xf numFmtId="0" fontId="24" fillId="11" borderId="139" xfId="0" applyNumberFormat="1" applyFont="1" applyFill="1" applyBorder="1" applyAlignment="1" applyProtection="1">
      <alignment horizontal="center" vertical="center" wrapText="1"/>
    </xf>
    <xf numFmtId="169" fontId="38" fillId="0" borderId="141" xfId="0" applyNumberFormat="1" applyFont="1" applyFill="1" applyBorder="1" applyAlignment="1">
      <alignment vertical="center" wrapText="1"/>
    </xf>
    <xf numFmtId="169" fontId="38" fillId="0" borderId="142" xfId="0" applyNumberFormat="1" applyFont="1" applyFill="1" applyBorder="1" applyAlignment="1">
      <alignment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49" fontId="91" fillId="0" borderId="3" xfId="0" applyNumberFormat="1" applyFont="1" applyFill="1" applyBorder="1" applyAlignment="1">
      <alignment horizontal="center" vertical="center"/>
    </xf>
    <xf numFmtId="169" fontId="50" fillId="0" borderId="3" xfId="0" applyNumberFormat="1" applyFont="1" applyFill="1" applyBorder="1" applyAlignment="1" applyProtection="1">
      <alignment horizontal="center" vertical="center"/>
    </xf>
    <xf numFmtId="176" fontId="50" fillId="0" borderId="89" xfId="0" applyNumberFormat="1" applyFont="1" applyFill="1" applyBorder="1" applyAlignment="1" applyProtection="1">
      <alignment horizontal="center" vertical="center"/>
    </xf>
    <xf numFmtId="176" fontId="51" fillId="0" borderId="143" xfId="0" applyNumberFormat="1" applyFont="1" applyFill="1" applyBorder="1" applyAlignment="1" applyProtection="1">
      <alignment horizontal="center" vertical="center"/>
    </xf>
    <xf numFmtId="167" fontId="192" fillId="0" borderId="144" xfId="0" applyNumberFormat="1" applyFont="1" applyFill="1" applyBorder="1" applyAlignment="1" applyProtection="1">
      <alignment horizontal="center" vertical="center"/>
    </xf>
    <xf numFmtId="192" fontId="51" fillId="0" borderId="144" xfId="0" applyNumberFormat="1" applyFont="1" applyFill="1" applyBorder="1" applyAlignment="1" applyProtection="1">
      <alignment horizontal="center" vertical="center"/>
    </xf>
    <xf numFmtId="166" fontId="51" fillId="0" borderId="145" xfId="0" applyNumberFormat="1" applyFont="1" applyFill="1" applyBorder="1" applyAlignment="1" applyProtection="1">
      <alignment horizontal="center" vertical="center"/>
    </xf>
    <xf numFmtId="0" fontId="53" fillId="0" borderId="86" xfId="0" applyFont="1" applyFill="1" applyBorder="1" applyAlignment="1" applyProtection="1">
      <alignment horizontal="center" vertical="center"/>
    </xf>
    <xf numFmtId="173" fontId="50" fillId="0" borderId="86" xfId="7" applyNumberFormat="1" applyFont="1" applyFill="1" applyBorder="1" applyAlignment="1" applyProtection="1">
      <alignment horizontal="center" vertical="center"/>
    </xf>
    <xf numFmtId="166" fontId="53" fillId="0" borderId="87" xfId="0" applyNumberFormat="1" applyFont="1" applyFill="1" applyBorder="1" applyAlignment="1" applyProtection="1">
      <alignment horizontal="right" vertical="center"/>
    </xf>
    <xf numFmtId="177" fontId="53" fillId="0" borderId="146" xfId="1" applyNumberFormat="1" applyFont="1" applyFill="1" applyBorder="1" applyAlignment="1" applyProtection="1">
      <alignment horizontal="center" vertical="center"/>
    </xf>
    <xf numFmtId="168" fontId="53" fillId="0" borderId="69" xfId="0" applyNumberFormat="1" applyFont="1" applyFill="1" applyBorder="1" applyAlignment="1" applyProtection="1">
      <alignment horizontal="center" vertical="center"/>
    </xf>
    <xf numFmtId="176" fontId="50" fillId="0" borderId="150" xfId="1" applyNumberFormat="1" applyFont="1" applyFill="1" applyBorder="1" applyAlignment="1" applyProtection="1">
      <alignment horizontal="center" vertical="center"/>
    </xf>
    <xf numFmtId="165" fontId="50" fillId="0" borderId="155" xfId="1" applyNumberFormat="1" applyFont="1" applyFill="1" applyBorder="1" applyAlignment="1" applyProtection="1">
      <alignment horizontal="center" vertical="center"/>
    </xf>
    <xf numFmtId="0" fontId="51" fillId="0" borderId="10" xfId="0" applyFont="1" applyFill="1" applyBorder="1" applyAlignment="1" applyProtection="1">
      <alignment horizontal="center" vertical="center" wrapText="1"/>
    </xf>
    <xf numFmtId="0" fontId="51" fillId="0" borderId="3" xfId="0" applyNumberFormat="1" applyFont="1" applyFill="1" applyBorder="1" applyAlignment="1" applyProtection="1">
      <alignment horizontal="center" vertical="center" wrapText="1"/>
    </xf>
    <xf numFmtId="0" fontId="38" fillId="0" borderId="127" xfId="0" applyNumberFormat="1" applyFont="1" applyFill="1" applyBorder="1" applyAlignment="1" applyProtection="1">
      <alignment horizontal="center" vertical="center" wrapText="1"/>
    </xf>
    <xf numFmtId="171" fontId="38" fillId="0" borderId="3" xfId="0" applyNumberFormat="1" applyFont="1" applyFill="1" applyBorder="1" applyAlignment="1">
      <alignment horizontal="center" vertical="center"/>
    </xf>
    <xf numFmtId="165" fontId="50" fillId="0" borderId="105" xfId="1" applyNumberFormat="1" applyFont="1" applyFill="1" applyBorder="1" applyAlignment="1" applyProtection="1">
      <alignment horizontal="center" vertical="center"/>
    </xf>
    <xf numFmtId="170" fontId="38" fillId="0" borderId="114" xfId="0" applyNumberFormat="1" applyFont="1" applyFill="1" applyBorder="1" applyAlignment="1" applyProtection="1">
      <alignment horizontal="center" vertical="center"/>
      <protection locked="0"/>
    </xf>
    <xf numFmtId="167" fontId="38" fillId="0" borderId="114" xfId="0" applyNumberFormat="1" applyFont="1" applyFill="1" applyBorder="1" applyAlignment="1" applyProtection="1">
      <alignment horizontal="center" vertical="center"/>
      <protection locked="0"/>
    </xf>
    <xf numFmtId="170" fontId="38" fillId="0" borderId="157" xfId="0" applyNumberFormat="1" applyFont="1" applyFill="1" applyBorder="1" applyAlignment="1" applyProtection="1">
      <alignment horizontal="center" vertical="center"/>
      <protection locked="0"/>
    </xf>
    <xf numFmtId="0" fontId="38" fillId="0" borderId="114" xfId="0" applyFont="1" applyFill="1" applyBorder="1" applyAlignment="1" applyProtection="1">
      <alignment horizontal="center" vertical="center"/>
    </xf>
    <xf numFmtId="168" fontId="38" fillId="0" borderId="99" xfId="0" applyNumberFormat="1" applyFont="1" applyFill="1" applyBorder="1" applyAlignment="1">
      <alignment horizontal="center" vertical="center"/>
    </xf>
    <xf numFmtId="0" fontId="38" fillId="0" borderId="13" xfId="0" applyNumberFormat="1" applyFont="1" applyFill="1" applyBorder="1" applyAlignment="1" applyProtection="1">
      <alignment horizontal="center" vertical="center"/>
    </xf>
    <xf numFmtId="0" fontId="38" fillId="0" borderId="12" xfId="0" applyFont="1" applyFill="1" applyBorder="1" applyAlignment="1" applyProtection="1">
      <alignment horizontal="center" vertical="center"/>
    </xf>
    <xf numFmtId="170" fontId="38" fillId="0" borderId="99" xfId="0" applyNumberFormat="1" applyFont="1" applyFill="1" applyBorder="1" applyAlignment="1" applyProtection="1">
      <alignment vertical="center"/>
      <protection locked="0"/>
    </xf>
    <xf numFmtId="0" fontId="50" fillId="0" borderId="69" xfId="0" applyFont="1" applyFill="1" applyBorder="1" applyAlignment="1" applyProtection="1">
      <alignment horizontal="centerContinuous" vertical="center"/>
    </xf>
    <xf numFmtId="0" fontId="38" fillId="0" borderId="69" xfId="0" applyFont="1" applyFill="1" applyBorder="1" applyAlignment="1" applyProtection="1">
      <alignment horizontal="centerContinuous" vertical="center"/>
    </xf>
    <xf numFmtId="0" fontId="38" fillId="4" borderId="70" xfId="0" applyFont="1" applyFill="1" applyBorder="1" applyAlignment="1" applyProtection="1">
      <alignment horizontal="centerContinuous" vertical="center"/>
    </xf>
    <xf numFmtId="0" fontId="38" fillId="14" borderId="158" xfId="0" applyFont="1" applyFill="1" applyBorder="1" applyAlignment="1">
      <alignment horizontal="left" vertical="center" wrapText="1"/>
    </xf>
    <xf numFmtId="0" fontId="38" fillId="14" borderId="149" xfId="0" applyFont="1" applyFill="1" applyBorder="1" applyAlignment="1">
      <alignment horizontal="center" vertical="center"/>
    </xf>
    <xf numFmtId="0" fontId="50" fillId="0" borderId="149" xfId="0" applyNumberFormat="1" applyFont="1" applyFill="1" applyBorder="1" applyAlignment="1" applyProtection="1">
      <alignment horizontal="center" vertical="center" wrapText="1"/>
    </xf>
    <xf numFmtId="0" fontId="38" fillId="0" borderId="159" xfId="0" applyNumberFormat="1" applyFont="1" applyFill="1" applyBorder="1" applyAlignment="1" applyProtection="1">
      <alignment horizontal="center" vertical="center" wrapText="1"/>
    </xf>
    <xf numFmtId="0" fontId="50" fillId="0" borderId="149" xfId="0" applyFont="1" applyFill="1" applyBorder="1" applyAlignment="1">
      <alignment horizontal="center" vertical="center"/>
    </xf>
    <xf numFmtId="171" fontId="38" fillId="0" borderId="149" xfId="0" applyNumberFormat="1" applyFont="1" applyFill="1" applyBorder="1" applyAlignment="1">
      <alignment horizontal="center" vertical="center"/>
    </xf>
    <xf numFmtId="169" fontId="38" fillId="14" borderId="160" xfId="0" applyNumberFormat="1" applyFont="1" applyFill="1" applyBorder="1" applyAlignment="1">
      <alignment horizontal="center" vertical="center"/>
    </xf>
    <xf numFmtId="166" fontId="38" fillId="0" borderId="160" xfId="0" applyNumberFormat="1" applyFont="1" applyFill="1" applyBorder="1" applyAlignment="1">
      <alignment horizontal="center" vertical="center"/>
    </xf>
    <xf numFmtId="168" fontId="38" fillId="0" borderId="160" xfId="0" applyNumberFormat="1" applyFont="1" applyFill="1" applyBorder="1" applyAlignment="1" applyProtection="1">
      <alignment horizontal="center" vertical="center"/>
    </xf>
    <xf numFmtId="168" fontId="51" fillId="0" borderId="160" xfId="0" applyNumberFormat="1" applyFont="1" applyFill="1" applyBorder="1" applyAlignment="1" applyProtection="1">
      <alignment horizontal="center" vertical="center"/>
    </xf>
    <xf numFmtId="168" fontId="38" fillId="0" borderId="161" xfId="0" applyNumberFormat="1" applyFont="1" applyFill="1" applyBorder="1" applyAlignment="1">
      <alignment horizontal="center" vertical="center"/>
    </xf>
    <xf numFmtId="170" fontId="38" fillId="0" borderId="151" xfId="0" applyNumberFormat="1" applyFont="1" applyFill="1" applyBorder="1" applyAlignment="1" applyProtection="1">
      <alignment vertical="center"/>
      <protection locked="0"/>
    </xf>
    <xf numFmtId="170" fontId="38" fillId="7" borderId="151" xfId="0" applyNumberFormat="1" applyFont="1" applyFill="1" applyBorder="1" applyAlignment="1" applyProtection="1">
      <alignment vertical="center"/>
      <protection locked="0"/>
    </xf>
    <xf numFmtId="170" fontId="38" fillId="14" borderId="147" xfId="0" applyNumberFormat="1" applyFont="1" applyFill="1" applyBorder="1" applyAlignment="1" applyProtection="1">
      <alignment vertical="center"/>
      <protection locked="0"/>
    </xf>
    <xf numFmtId="170" fontId="38" fillId="0" borderId="149" xfId="0" applyNumberFormat="1" applyFont="1" applyFill="1" applyBorder="1" applyAlignment="1" applyProtection="1">
      <alignment horizontal="center" vertical="center"/>
      <protection locked="0"/>
    </xf>
    <xf numFmtId="170" fontId="38" fillId="7" borderId="148" xfId="0" applyNumberFormat="1" applyFont="1" applyFill="1" applyBorder="1" applyAlignment="1" applyProtection="1">
      <alignment horizontal="center" vertical="center"/>
      <protection locked="0"/>
    </xf>
    <xf numFmtId="168" fontId="38" fillId="0" borderId="162" xfId="0" applyNumberFormat="1" applyFont="1" applyFill="1" applyBorder="1" applyAlignment="1">
      <alignment horizontal="center" vertical="center"/>
    </xf>
    <xf numFmtId="0" fontId="38" fillId="14" borderId="163" xfId="0" applyFont="1" applyFill="1" applyBorder="1" applyAlignment="1">
      <alignment horizontal="left" vertical="center" wrapText="1"/>
    </xf>
    <xf numFmtId="168" fontId="38" fillId="0" borderId="164" xfId="0" applyNumberFormat="1" applyFont="1" applyFill="1" applyBorder="1" applyAlignment="1">
      <alignment horizontal="center" vertical="center"/>
    </xf>
    <xf numFmtId="0" fontId="38" fillId="14" borderId="165" xfId="0" applyFont="1" applyFill="1" applyBorder="1" applyAlignment="1">
      <alignment horizontal="center" vertical="center" wrapText="1"/>
    </xf>
    <xf numFmtId="0" fontId="38" fillId="14" borderId="154" xfId="0" applyFont="1" applyFill="1" applyBorder="1" applyAlignment="1">
      <alignment horizontal="center" vertical="center"/>
    </xf>
    <xf numFmtId="0" fontId="50" fillId="0" borderId="154" xfId="0" applyNumberFormat="1" applyFont="1" applyFill="1" applyBorder="1" applyAlignment="1" applyProtection="1">
      <alignment horizontal="center" vertical="center" wrapText="1"/>
    </xf>
    <xf numFmtId="0" fontId="38" fillId="0" borderId="166" xfId="0" applyNumberFormat="1" applyFont="1" applyFill="1" applyBorder="1" applyAlignment="1" applyProtection="1">
      <alignment horizontal="center" vertical="center" wrapText="1"/>
    </xf>
    <xf numFmtId="0" fontId="50" fillId="0" borderId="154" xfId="0" applyFont="1" applyFill="1" applyBorder="1" applyAlignment="1">
      <alignment horizontal="center" vertical="center"/>
    </xf>
    <xf numFmtId="171" fontId="38" fillId="0" borderId="154" xfId="0" applyNumberFormat="1" applyFont="1" applyFill="1" applyBorder="1" applyAlignment="1">
      <alignment horizontal="center" vertical="center"/>
    </xf>
    <xf numFmtId="165" fontId="38" fillId="14" borderId="167" xfId="0" applyNumberFormat="1" applyFont="1" applyFill="1" applyBorder="1" applyAlignment="1" applyProtection="1">
      <alignment vertical="center"/>
      <protection locked="0"/>
    </xf>
    <xf numFmtId="165" fontId="38" fillId="0" borderId="167" xfId="0" applyNumberFormat="1" applyFont="1" applyFill="1" applyBorder="1" applyAlignment="1">
      <alignment horizontal="center" vertical="center"/>
    </xf>
    <xf numFmtId="165" fontId="38" fillId="0" borderId="167" xfId="0" applyNumberFormat="1" applyFont="1" applyFill="1" applyBorder="1" applyAlignment="1" applyProtection="1">
      <alignment horizontal="center" vertical="center"/>
    </xf>
    <xf numFmtId="165" fontId="51" fillId="0" borderId="167" xfId="0" applyNumberFormat="1" applyFont="1" applyFill="1" applyBorder="1" applyAlignment="1" applyProtection="1">
      <alignment horizontal="center" vertical="center"/>
    </xf>
    <xf numFmtId="165" fontId="38" fillId="0" borderId="168" xfId="0" applyNumberFormat="1" applyFont="1" applyFill="1" applyBorder="1" applyAlignment="1" applyProtection="1">
      <alignment vertical="center"/>
      <protection locked="0"/>
    </xf>
    <xf numFmtId="165" fontId="38" fillId="0" borderId="152" xfId="0" applyNumberFormat="1" applyFont="1" applyFill="1" applyBorder="1" applyAlignment="1" applyProtection="1">
      <alignment vertical="center"/>
      <protection locked="0"/>
    </xf>
    <xf numFmtId="165" fontId="38" fillId="7" borderId="152" xfId="0" applyNumberFormat="1" applyFont="1" applyFill="1" applyBorder="1" applyAlignment="1" applyProtection="1">
      <alignment vertical="center"/>
      <protection locked="0"/>
    </xf>
    <xf numFmtId="165" fontId="38" fillId="0" borderId="169" xfId="0" applyNumberFormat="1" applyFont="1" applyFill="1" applyBorder="1" applyAlignment="1" applyProtection="1">
      <alignment vertical="center"/>
      <protection locked="0"/>
    </xf>
    <xf numFmtId="165" fontId="38" fillId="14" borderId="156" xfId="0" applyNumberFormat="1" applyFont="1" applyFill="1" applyBorder="1" applyAlignment="1" applyProtection="1">
      <alignment vertical="center"/>
      <protection locked="0"/>
    </xf>
    <xf numFmtId="165" fontId="38" fillId="0" borderId="156" xfId="0" applyNumberFormat="1" applyFont="1" applyFill="1" applyBorder="1" applyAlignment="1" applyProtection="1">
      <alignment vertical="center"/>
      <protection locked="0"/>
    </xf>
    <xf numFmtId="165" fontId="38" fillId="7" borderId="153" xfId="0" applyNumberFormat="1" applyFont="1" applyFill="1" applyBorder="1" applyAlignment="1" applyProtection="1">
      <alignment vertical="center"/>
      <protection locked="0"/>
    </xf>
    <xf numFmtId="170" fontId="38" fillId="14" borderId="167" xfId="0" applyNumberFormat="1" applyFont="1" applyFill="1" applyBorder="1" applyAlignment="1" applyProtection="1">
      <alignment vertical="center"/>
      <protection locked="0"/>
    </xf>
    <xf numFmtId="170" fontId="38" fillId="0" borderId="167" xfId="0" applyNumberFormat="1" applyFont="1" applyFill="1" applyBorder="1" applyAlignment="1" applyProtection="1">
      <alignment vertical="center"/>
      <protection locked="0"/>
    </xf>
    <xf numFmtId="167" fontId="38" fillId="0" borderId="167" xfId="0" applyNumberFormat="1" applyFont="1" applyFill="1" applyBorder="1" applyAlignment="1" applyProtection="1">
      <alignment horizontal="center" vertical="center"/>
    </xf>
    <xf numFmtId="167" fontId="51" fillId="0" borderId="167" xfId="0" applyNumberFormat="1" applyFont="1" applyFill="1" applyBorder="1" applyAlignment="1" applyProtection="1">
      <alignment horizontal="center" vertical="center"/>
    </xf>
    <xf numFmtId="170" fontId="38" fillId="0" borderId="170" xfId="0" applyNumberFormat="1" applyFont="1" applyFill="1" applyBorder="1" applyAlignment="1" applyProtection="1">
      <alignment vertical="center"/>
      <protection locked="0"/>
    </xf>
    <xf numFmtId="170" fontId="24" fillId="0" borderId="1" xfId="0" applyNumberFormat="1" applyFont="1" applyFill="1" applyBorder="1" applyAlignment="1" applyProtection="1">
      <alignment horizontal="center" vertical="center"/>
      <protection locked="0"/>
    </xf>
    <xf numFmtId="0" fontId="38" fillId="0" borderId="46" xfId="0" applyFont="1" applyFill="1" applyBorder="1" applyAlignment="1">
      <alignment horizontal="center" vertical="center"/>
    </xf>
    <xf numFmtId="0" fontId="38" fillId="54" borderId="124" xfId="0" applyNumberFormat="1" applyFont="1" applyFill="1" applyBorder="1" applyAlignment="1" applyProtection="1">
      <alignment horizontal="center" vertical="center" wrapText="1"/>
    </xf>
    <xf numFmtId="171" fontId="38" fillId="0" borderId="5" xfId="0" applyNumberFormat="1" applyFont="1" applyFill="1" applyBorder="1" applyAlignment="1">
      <alignment horizontal="center" vertical="center"/>
    </xf>
    <xf numFmtId="0" fontId="50" fillId="0" borderId="124" xfId="8" applyNumberFormat="1" applyFont="1" applyFill="1" applyBorder="1" applyAlignment="1" applyProtection="1">
      <alignment horizontal="center" vertical="center" wrapText="1"/>
    </xf>
    <xf numFmtId="0" fontId="24" fillId="11" borderId="140" xfId="0" applyNumberFormat="1" applyFont="1" applyFill="1" applyBorder="1" applyAlignment="1">
      <alignment horizontal="center" vertical="center" wrapText="1"/>
    </xf>
    <xf numFmtId="0" fontId="14" fillId="11" borderId="140" xfId="0" applyNumberFormat="1" applyFont="1" applyFill="1" applyBorder="1" applyAlignment="1">
      <alignment horizontal="center" vertical="center" wrapText="1"/>
    </xf>
    <xf numFmtId="0" fontId="24" fillId="11" borderId="140" xfId="0" applyNumberFormat="1" applyFont="1" applyFill="1" applyBorder="1" applyAlignment="1" applyProtection="1">
      <alignment horizontal="center" vertical="center" wrapText="1"/>
    </xf>
    <xf numFmtId="0" fontId="38" fillId="54" borderId="1" xfId="0"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10" fontId="211" fillId="0" borderId="171" xfId="7" applyNumberFormat="1"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24" fillId="0" borderId="10" xfId="0" applyFont="1" applyFill="1" applyBorder="1" applyAlignment="1" applyProtection="1">
      <alignment horizontal="center" vertical="center" wrapText="1"/>
    </xf>
    <xf numFmtId="0" fontId="242" fillId="0" borderId="9" xfId="0" applyFont="1" applyFill="1" applyBorder="1" applyAlignment="1" applyProtection="1">
      <alignment vertical="center"/>
    </xf>
    <xf numFmtId="0" fontId="52" fillId="0" borderId="9" xfId="0" applyFont="1" applyBorder="1" applyAlignment="1" applyProtection="1">
      <alignment vertical="center" wrapText="1"/>
    </xf>
    <xf numFmtId="0" fontId="38"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1" xfId="0" applyFont="1" applyFill="1" applyBorder="1" applyAlignment="1">
      <alignment horizontal="center" vertical="center"/>
    </xf>
    <xf numFmtId="0" fontId="38" fillId="0" borderId="6" xfId="0" applyFont="1" applyFill="1" applyBorder="1" applyAlignment="1">
      <alignment horizontal="center" vertical="center"/>
    </xf>
    <xf numFmtId="0" fontId="6" fillId="0" borderId="6" xfId="84" applyFont="1" applyFill="1" applyBorder="1" applyAlignment="1" applyProtection="1">
      <alignment vertical="center"/>
    </xf>
    <xf numFmtId="0" fontId="99" fillId="0" borderId="6" xfId="84" applyFill="1" applyBorder="1" applyAlignment="1" applyProtection="1">
      <alignment vertical="center"/>
    </xf>
    <xf numFmtId="0" fontId="38" fillId="4" borderId="1" xfId="0" applyFont="1" applyFill="1" applyBorder="1" applyAlignment="1" applyProtection="1">
      <alignment horizontal="center" vertical="center"/>
    </xf>
    <xf numFmtId="0" fontId="38" fillId="13" borderId="1" xfId="0" applyFont="1" applyFill="1" applyBorder="1" applyAlignment="1" applyProtection="1">
      <alignment horizontal="center" vertical="center"/>
    </xf>
    <xf numFmtId="0" fontId="38" fillId="0" borderId="1" xfId="0" applyFont="1" applyFill="1" applyBorder="1" applyAlignment="1">
      <alignment horizontal="center" vertical="center"/>
    </xf>
    <xf numFmtId="177" fontId="38" fillId="0" borderId="46" xfId="0" applyNumberFormat="1" applyFont="1" applyFill="1" applyBorder="1" applyAlignment="1" applyProtection="1">
      <alignment vertical="center" wrapText="1"/>
    </xf>
    <xf numFmtId="177" fontId="38" fillId="0" borderId="85" xfId="0" applyNumberFormat="1" applyFont="1" applyFill="1" applyBorder="1" applyAlignment="1" applyProtection="1">
      <alignment vertical="center" wrapText="1"/>
    </xf>
    <xf numFmtId="177" fontId="50" fillId="0" borderId="101" xfId="1" applyNumberFormat="1" applyFont="1" applyFill="1" applyBorder="1" applyAlignment="1" applyProtection="1">
      <alignment horizontal="center" vertical="center"/>
    </xf>
    <xf numFmtId="0" fontId="38" fillId="0" borderId="100" xfId="0" applyFont="1" applyFill="1" applyBorder="1" applyAlignment="1" applyProtection="1">
      <alignment horizontal="center" vertical="center" wrapText="1"/>
    </xf>
    <xf numFmtId="0" fontId="38" fillId="0" borderId="1" xfId="0" applyFont="1" applyFill="1" applyBorder="1" applyAlignment="1">
      <alignment horizontal="center" vertical="center"/>
    </xf>
    <xf numFmtId="16" fontId="50"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24" fillId="0" borderId="6"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24" fillId="0" borderId="1" xfId="8"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10" fontId="50" fillId="0" borderId="1" xfId="7" applyNumberFormat="1" applyFont="1" applyFill="1" applyBorder="1" applyAlignment="1" applyProtection="1">
      <alignment vertical="center"/>
    </xf>
    <xf numFmtId="172" fontId="38" fillId="0" borderId="1" xfId="8" applyNumberFormat="1" applyFont="1" applyFill="1" applyBorder="1" applyAlignment="1" applyProtection="1">
      <alignment horizontal="center" vertical="center" wrapText="1"/>
    </xf>
    <xf numFmtId="0" fontId="38" fillId="0" borderId="86" xfId="0" applyFont="1" applyFill="1" applyBorder="1" applyAlignment="1">
      <alignment vertical="center" wrapText="1"/>
    </xf>
    <xf numFmtId="0" fontId="52" fillId="0" borderId="5" xfId="8" applyFont="1" applyFill="1" applyBorder="1" applyAlignment="1" applyProtection="1">
      <alignment horizontal="center" vertical="center"/>
    </xf>
    <xf numFmtId="167" fontId="24" fillId="0" borderId="9" xfId="8" applyNumberFormat="1" applyFont="1" applyFill="1" applyBorder="1" applyAlignment="1" applyProtection="1">
      <alignment horizontal="center" vertical="center"/>
    </xf>
    <xf numFmtId="166" fontId="24" fillId="0" borderId="9" xfId="8" applyNumberFormat="1" applyFont="1" applyFill="1" applyBorder="1" applyAlignment="1" applyProtection="1">
      <alignment horizontal="center" vertical="center"/>
    </xf>
    <xf numFmtId="169" fontId="38" fillId="0" borderId="100" xfId="0" applyNumberFormat="1" applyFont="1" applyFill="1" applyBorder="1" applyAlignment="1" applyProtection="1">
      <alignment horizontal="center" vertical="center"/>
    </xf>
    <xf numFmtId="171" fontId="51" fillId="0" borderId="100" xfId="0" applyNumberFormat="1" applyFont="1" applyFill="1" applyBorder="1" applyAlignment="1" applyProtection="1">
      <alignment horizontal="center" vertical="center" shrinkToFit="1"/>
    </xf>
    <xf numFmtId="165" fontId="50" fillId="0" borderId="77" xfId="1" applyNumberFormat="1" applyFont="1" applyFill="1" applyBorder="1" applyAlignment="1" applyProtection="1">
      <alignment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105" fillId="0" borderId="87" xfId="8" applyFont="1" applyFill="1" applyBorder="1" applyAlignment="1" applyProtection="1">
      <alignment horizontal="center" vertical="center" wrapText="1"/>
    </xf>
    <xf numFmtId="165" fontId="51" fillId="0" borderId="100" xfId="0" applyNumberFormat="1" applyFont="1" applyFill="1" applyBorder="1" applyAlignment="1" applyProtection="1">
      <alignment vertical="center" shrinkToFit="1"/>
    </xf>
    <xf numFmtId="165" fontId="38" fillId="0" borderId="108" xfId="0" applyNumberFormat="1" applyFont="1" applyFill="1" applyBorder="1" applyAlignment="1">
      <alignment horizontal="center" vertical="center"/>
    </xf>
    <xf numFmtId="165" fontId="38" fillId="0" borderId="1" xfId="0" applyNumberFormat="1" applyFont="1" applyFill="1" applyBorder="1" applyAlignment="1" applyProtection="1">
      <alignment horizontal="center" vertical="center"/>
      <protection locked="0"/>
    </xf>
    <xf numFmtId="0" fontId="50" fillId="0" borderId="172" xfId="8" applyNumberFormat="1" applyFont="1" applyFill="1" applyBorder="1" applyAlignment="1" applyProtection="1">
      <alignment horizontal="center" vertical="center" wrapText="1"/>
    </xf>
    <xf numFmtId="0" fontId="38" fillId="0" borderId="6" xfId="0" applyNumberFormat="1" applyFont="1" applyFill="1" applyBorder="1" applyAlignment="1" applyProtection="1">
      <alignment horizontal="center" vertical="center" wrapText="1"/>
      <protection locked="0"/>
    </xf>
    <xf numFmtId="0" fontId="38" fillId="0" borderId="124" xfId="0" applyNumberFormat="1" applyFont="1" applyFill="1" applyBorder="1" applyAlignment="1" applyProtection="1">
      <alignment horizontal="center" vertical="center" wrapText="1"/>
      <protection locked="0"/>
    </xf>
    <xf numFmtId="16" fontId="50" fillId="0" borderId="1" xfId="0" quotePrefix="1" applyNumberFormat="1" applyFont="1" applyFill="1" applyBorder="1" applyAlignment="1" applyProtection="1">
      <alignment horizontal="center" vertical="center" wrapText="1"/>
    </xf>
    <xf numFmtId="0" fontId="50" fillId="0" borderId="5" xfId="8" applyNumberFormat="1" applyFont="1" applyFill="1" applyBorder="1" applyAlignment="1" applyProtection="1">
      <alignment horizontal="center" vertical="center" wrapText="1"/>
    </xf>
    <xf numFmtId="0" fontId="38" fillId="0" borderId="128" xfId="0" applyNumberFormat="1" applyFont="1" applyFill="1" applyBorder="1" applyAlignment="1" applyProtection="1">
      <alignment horizontal="center" vertical="center" wrapText="1"/>
    </xf>
    <xf numFmtId="172" fontId="50" fillId="0" borderId="1" xfId="8" applyNumberFormat="1" applyFont="1" applyFill="1" applyBorder="1" applyAlignment="1" applyProtection="1">
      <alignment horizontal="center" vertical="center" wrapText="1"/>
    </xf>
    <xf numFmtId="0" fontId="51" fillId="4" borderId="69" xfId="0" applyFont="1" applyFill="1" applyBorder="1" applyAlignment="1" applyProtection="1">
      <alignment horizontal="centerContinuous" vertical="center"/>
    </xf>
    <xf numFmtId="0" fontId="53" fillId="0" borderId="1" xfId="0" applyFont="1" applyFill="1" applyBorder="1" applyAlignment="1" applyProtection="1">
      <alignment horizontal="center" vertical="center" wrapText="1"/>
    </xf>
    <xf numFmtId="0" fontId="52" fillId="0" borderId="12" xfId="0" applyFont="1" applyFill="1" applyBorder="1" applyAlignment="1" applyProtection="1">
      <alignment vertical="center" wrapText="1"/>
    </xf>
    <xf numFmtId="176" fontId="50" fillId="0" borderId="6" xfId="1" applyNumberFormat="1" applyFont="1" applyFill="1" applyBorder="1" applyAlignment="1" applyProtection="1">
      <alignment vertical="center"/>
    </xf>
    <xf numFmtId="0" fontId="24" fillId="0" borderId="6" xfId="0" applyFont="1" applyFill="1" applyBorder="1" applyAlignment="1" applyProtection="1">
      <alignment vertical="center" wrapText="1"/>
    </xf>
    <xf numFmtId="182" fontId="38" fillId="0" borderId="6" xfId="0" applyNumberFormat="1" applyFont="1" applyFill="1" applyBorder="1" applyAlignment="1" applyProtection="1">
      <alignment horizontal="center" vertical="center"/>
    </xf>
    <xf numFmtId="182" fontId="24" fillId="0" borderId="6" xfId="0" applyNumberFormat="1" applyFont="1" applyFill="1" applyBorder="1" applyAlignment="1" applyProtection="1">
      <alignment vertical="center" wrapText="1"/>
    </xf>
    <xf numFmtId="176" fontId="50" fillId="0" borderId="110" xfId="1" applyNumberFormat="1" applyFont="1" applyFill="1" applyBorder="1" applyAlignment="1" applyProtection="1">
      <alignment vertical="center"/>
    </xf>
    <xf numFmtId="165" fontId="50" fillId="0" borderId="110" xfId="1" applyNumberFormat="1" applyFont="1" applyFill="1" applyBorder="1" applyAlignment="1" applyProtection="1">
      <alignment vertical="center"/>
    </xf>
    <xf numFmtId="165" fontId="50" fillId="0" borderId="110" xfId="1" applyNumberFormat="1" applyFont="1" applyFill="1" applyBorder="1" applyAlignment="1" applyProtection="1">
      <alignment horizontal="center" vertical="center"/>
    </xf>
    <xf numFmtId="173" fontId="50" fillId="0" borderId="110" xfId="7" applyNumberFormat="1" applyFont="1" applyFill="1" applyBorder="1" applyAlignment="1" applyProtection="1">
      <alignment horizontal="center" vertical="center"/>
    </xf>
    <xf numFmtId="173" fontId="50" fillId="0" borderId="110" xfId="7" applyNumberFormat="1" applyFont="1" applyFill="1" applyBorder="1" applyAlignment="1" applyProtection="1">
      <alignment vertical="center"/>
    </xf>
    <xf numFmtId="10" fontId="50" fillId="0" borderId="110" xfId="7" applyNumberFormat="1" applyFont="1" applyFill="1" applyBorder="1" applyAlignment="1" applyProtection="1">
      <alignment vertical="center"/>
    </xf>
    <xf numFmtId="176" fontId="50" fillId="0" borderId="141" xfId="1" applyNumberFormat="1" applyFont="1" applyFill="1" applyBorder="1" applyAlignment="1" applyProtection="1">
      <alignment vertical="center"/>
    </xf>
    <xf numFmtId="165" fontId="50" fillId="0" borderId="141" xfId="1" applyNumberFormat="1" applyFont="1" applyFill="1" applyBorder="1" applyAlignment="1" applyProtection="1">
      <alignment vertical="center"/>
    </xf>
    <xf numFmtId="0" fontId="14" fillId="0" borderId="124" xfId="0" applyNumberFormat="1" applyFont="1" applyFill="1" applyBorder="1" applyAlignment="1" applyProtection="1">
      <alignment horizontal="center" vertical="center" wrapText="1"/>
    </xf>
    <xf numFmtId="0" fontId="24" fillId="0" borderId="124" xfId="0" applyNumberFormat="1" applyFont="1" applyFill="1" applyBorder="1" applyAlignment="1">
      <alignment horizontal="center" vertical="center" wrapText="1"/>
    </xf>
    <xf numFmtId="0" fontId="53" fillId="0" borderId="124" xfId="0" applyFont="1" applyFill="1" applyBorder="1" applyAlignment="1" applyProtection="1">
      <alignment horizontal="center" vertical="center" wrapText="1"/>
    </xf>
    <xf numFmtId="176" fontId="50" fillId="0" borderId="6" xfId="1" applyNumberFormat="1" applyFont="1" applyFill="1" applyBorder="1" applyAlignment="1" applyProtection="1">
      <alignment horizontal="center" vertical="center"/>
    </xf>
    <xf numFmtId="0" fontId="14" fillId="0" borderId="124" xfId="0" applyNumberFormat="1" applyFont="1" applyFill="1" applyBorder="1" applyAlignment="1">
      <alignment horizontal="center" vertical="center" wrapText="1"/>
    </xf>
    <xf numFmtId="176" fontId="38" fillId="0" borderId="6" xfId="0" applyNumberFormat="1" applyFont="1" applyFill="1" applyBorder="1" applyAlignment="1" applyProtection="1">
      <alignment horizontal="center" vertical="center"/>
    </xf>
    <xf numFmtId="176" fontId="50" fillId="0" borderId="141" xfId="1" applyNumberFormat="1" applyFont="1" applyFill="1" applyBorder="1" applyAlignment="1" applyProtection="1">
      <alignment horizontal="center" vertical="center"/>
    </xf>
    <xf numFmtId="165" fontId="50" fillId="0" borderId="6" xfId="1" applyNumberFormat="1" applyFont="1" applyFill="1" applyBorder="1" applyAlignment="1" applyProtection="1">
      <alignment horizontal="center" vertical="center"/>
    </xf>
    <xf numFmtId="173" fontId="38" fillId="0" borderId="6" xfId="7" applyNumberFormat="1" applyFont="1" applyFill="1" applyBorder="1" applyAlignment="1" applyProtection="1">
      <alignment horizontal="center" vertical="center"/>
    </xf>
    <xf numFmtId="173" fontId="50" fillId="0" borderId="6" xfId="7" applyNumberFormat="1" applyFont="1" applyFill="1" applyBorder="1" applyAlignment="1" applyProtection="1">
      <alignment horizontal="center" vertical="center"/>
    </xf>
    <xf numFmtId="10" fontId="50" fillId="0" borderId="6" xfId="7" applyNumberFormat="1" applyFont="1" applyFill="1" applyBorder="1" applyAlignment="1" applyProtection="1">
      <alignment vertical="center"/>
    </xf>
    <xf numFmtId="169" fontId="38" fillId="0" borderId="6" xfId="0" applyNumberFormat="1" applyFont="1" applyFill="1" applyBorder="1" applyAlignment="1" applyProtection="1">
      <alignment horizontal="center" vertical="center"/>
    </xf>
    <xf numFmtId="169" fontId="50" fillId="0" borderId="6" xfId="0" applyNumberFormat="1" applyFont="1" applyFill="1" applyBorder="1" applyAlignment="1" applyProtection="1">
      <alignment horizontal="center" vertical="center"/>
    </xf>
    <xf numFmtId="169" fontId="50" fillId="0" borderId="12" xfId="0" applyNumberFormat="1" applyFont="1" applyFill="1" applyBorder="1" applyAlignment="1" applyProtection="1">
      <alignment horizontal="center" vertical="center"/>
    </xf>
    <xf numFmtId="169" fontId="38" fillId="0" borderId="110" xfId="0" applyNumberFormat="1" applyFont="1" applyFill="1" applyBorder="1" applyAlignment="1" applyProtection="1">
      <alignment horizontal="center" vertical="center"/>
    </xf>
    <xf numFmtId="173" fontId="50" fillId="0" borderId="70" xfId="7" applyNumberFormat="1" applyFont="1" applyFill="1" applyBorder="1" applyAlignment="1" applyProtection="1">
      <alignment horizontal="center" vertical="center"/>
    </xf>
    <xf numFmtId="10" fontId="50" fillId="0" borderId="6" xfId="7" applyNumberFormat="1" applyFont="1" applyFill="1" applyBorder="1" applyAlignment="1" applyProtection="1">
      <alignment horizontal="center" vertical="center"/>
    </xf>
    <xf numFmtId="0" fontId="14" fillId="0" borderId="127" xfId="0" applyNumberFormat="1" applyFont="1" applyFill="1" applyBorder="1" applyAlignment="1" applyProtection="1">
      <alignment horizontal="center" vertical="center" wrapText="1"/>
    </xf>
    <xf numFmtId="0" fontId="14" fillId="14" borderId="124" xfId="0" applyNumberFormat="1" applyFont="1" applyFill="1" applyBorder="1" applyAlignment="1" applyProtection="1">
      <alignment horizontal="center" vertical="center" wrapText="1"/>
    </xf>
    <xf numFmtId="0" fontId="14" fillId="0" borderId="128" xfId="0" applyNumberFormat="1" applyFont="1" applyFill="1" applyBorder="1" applyAlignment="1" applyProtection="1">
      <alignment horizontal="center" vertical="center" wrapText="1"/>
    </xf>
    <xf numFmtId="0" fontId="14" fillId="14" borderId="124" xfId="0" applyNumberFormat="1" applyFont="1" applyFill="1" applyBorder="1" applyAlignment="1">
      <alignment horizontal="center" vertical="center" wrapText="1"/>
    </xf>
    <xf numFmtId="0" fontId="24" fillId="0" borderId="12" xfId="0" applyFont="1" applyFill="1" applyBorder="1" applyAlignment="1" applyProtection="1">
      <alignment vertical="center" wrapText="1"/>
    </xf>
    <xf numFmtId="0" fontId="24" fillId="0" borderId="124" xfId="0" applyNumberFormat="1" applyFont="1" applyFill="1" applyBorder="1" applyAlignment="1" applyProtection="1">
      <alignment horizontal="center" vertical="center" wrapText="1"/>
    </xf>
    <xf numFmtId="0" fontId="14" fillId="0" borderId="124" xfId="8" applyNumberFormat="1" applyFont="1" applyFill="1" applyBorder="1" applyAlignment="1" applyProtection="1">
      <alignment horizontal="center" vertical="center" wrapText="1"/>
    </xf>
    <xf numFmtId="0" fontId="14" fillId="0" borderId="124" xfId="8" applyNumberFormat="1" applyFont="1" applyFill="1" applyBorder="1" applyAlignment="1" applyProtection="1">
      <alignment horizontal="center" vertical="center"/>
      <protection locked="0"/>
    </xf>
    <xf numFmtId="0" fontId="14" fillId="0" borderId="124" xfId="8" applyNumberFormat="1" applyFont="1" applyFill="1" applyBorder="1" applyAlignment="1" applyProtection="1">
      <alignment horizontal="center" vertical="center" wrapText="1"/>
      <protection locked="0"/>
    </xf>
    <xf numFmtId="170" fontId="38" fillId="0" borderId="6" xfId="0" applyNumberFormat="1" applyFont="1" applyFill="1" applyBorder="1" applyAlignment="1" applyProtection="1">
      <alignment horizontal="center" vertical="center"/>
    </xf>
    <xf numFmtId="0" fontId="62" fillId="0" borderId="69" xfId="0" applyFont="1" applyFill="1" applyBorder="1" applyAlignment="1" applyProtection="1">
      <alignment vertical="center"/>
    </xf>
    <xf numFmtId="0" fontId="14" fillId="0" borderId="173" xfId="8" applyNumberFormat="1" applyFont="1" applyFill="1" applyBorder="1" applyAlignment="1" applyProtection="1">
      <alignment horizontal="center" vertical="center" wrapText="1"/>
    </xf>
    <xf numFmtId="165" fontId="50" fillId="0" borderId="77" xfId="1" applyNumberFormat="1" applyFont="1" applyFill="1" applyBorder="1" applyAlignment="1" applyProtection="1">
      <alignment horizontal="center" vertical="center"/>
    </xf>
    <xf numFmtId="0" fontId="38" fillId="0" borderId="3" xfId="0" applyFont="1" applyFill="1" applyBorder="1" applyAlignment="1">
      <alignment horizontal="center" vertical="center" wrapText="1"/>
    </xf>
    <xf numFmtId="165" fontId="50" fillId="0" borderId="141" xfId="1" applyNumberFormat="1" applyFont="1" applyFill="1" applyBorder="1" applyAlignment="1" applyProtection="1">
      <alignment horizontal="center" vertical="center"/>
    </xf>
    <xf numFmtId="165" fontId="50" fillId="0" borderId="171" xfId="1" applyNumberFormat="1" applyFont="1" applyFill="1" applyBorder="1" applyAlignment="1" applyProtection="1">
      <alignment vertical="center"/>
    </xf>
    <xf numFmtId="165" fontId="50" fillId="0" borderId="1" xfId="1" applyNumberFormat="1" applyFont="1" applyFill="1" applyBorder="1" applyAlignment="1" applyProtection="1">
      <alignment vertical="center"/>
    </xf>
    <xf numFmtId="166" fontId="38" fillId="0" borderId="5" xfId="0" applyNumberFormat="1" applyFont="1" applyFill="1" applyBorder="1" applyAlignment="1" applyProtection="1">
      <alignment horizontal="center" vertical="center"/>
    </xf>
    <xf numFmtId="0" fontId="24" fillId="0" borderId="1" xfId="0" applyFont="1" applyFill="1" applyBorder="1" applyAlignment="1">
      <alignment horizontal="left" vertical="center" wrapText="1"/>
    </xf>
    <xf numFmtId="0" fontId="38" fillId="0" borderId="1" xfId="0" applyFont="1" applyFill="1" applyBorder="1" applyAlignment="1">
      <alignment horizontal="left" vertical="center" wrapText="1"/>
    </xf>
    <xf numFmtId="177" fontId="51" fillId="0" borderId="136" xfId="0" applyNumberFormat="1" applyFont="1" applyFill="1" applyBorder="1" applyAlignment="1" applyProtection="1">
      <alignment vertical="center" shrinkToFit="1"/>
    </xf>
    <xf numFmtId="171" fontId="38" fillId="0" borderId="174" xfId="0" applyNumberFormat="1" applyFont="1" applyFill="1" applyBorder="1" applyAlignment="1">
      <alignment vertical="center"/>
    </xf>
    <xf numFmtId="176" fontId="51" fillId="0" borderId="80" xfId="1" applyNumberFormat="1"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38" fillId="0" borderId="0" xfId="0" applyFont="1" applyFill="1" applyBorder="1" applyAlignment="1" applyProtection="1">
      <alignment horizontal="center" vertical="center" wrapText="1"/>
      <protection locked="0"/>
    </xf>
    <xf numFmtId="173" fontId="50" fillId="0" borderId="12" xfId="7" applyNumberFormat="1" applyFont="1" applyFill="1" applyBorder="1" applyAlignment="1" applyProtection="1">
      <alignment horizontal="center" vertical="center" wrapText="1"/>
    </xf>
    <xf numFmtId="0" fontId="52" fillId="0" borderId="0" xfId="8" applyFont="1" applyFill="1" applyBorder="1" applyAlignment="1" applyProtection="1">
      <alignment horizontal="center" vertical="center"/>
    </xf>
    <xf numFmtId="0" fontId="55" fillId="0" borderId="0" xfId="0" applyFont="1" applyFill="1" applyBorder="1" applyAlignment="1" applyProtection="1">
      <alignment horizontal="center" vertical="center" wrapText="1"/>
    </xf>
    <xf numFmtId="0" fontId="59" fillId="0" borderId="0" xfId="8"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177" fontId="38" fillId="0" borderId="0"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10" fillId="0" borderId="5" xfId="0" applyFont="1" applyBorder="1" applyAlignment="1" applyProtection="1">
      <alignment horizontal="center" vertical="center"/>
    </xf>
    <xf numFmtId="0" fontId="14" fillId="0" borderId="5" xfId="0" applyNumberFormat="1" applyFont="1" applyFill="1" applyBorder="1" applyAlignment="1" applyProtection="1">
      <alignment horizontal="center" vertical="center" wrapText="1"/>
    </xf>
    <xf numFmtId="0" fontId="14" fillId="0" borderId="9" xfId="0" applyNumberFormat="1" applyFont="1" applyFill="1" applyBorder="1" applyAlignment="1" applyProtection="1">
      <alignment horizontal="center" vertical="center" wrapText="1"/>
    </xf>
    <xf numFmtId="0" fontId="198" fillId="0" borderId="9" xfId="0" applyFont="1" applyFill="1" applyBorder="1" applyAlignment="1" applyProtection="1">
      <alignment horizontal="center" vertical="center"/>
    </xf>
    <xf numFmtId="0" fontId="38" fillId="0" borderId="86" xfId="0" applyFont="1" applyFill="1" applyBorder="1" applyAlignment="1">
      <alignment horizontal="center" vertical="center"/>
    </xf>
    <xf numFmtId="0" fontId="38" fillId="0" borderId="1" xfId="0" applyFont="1" applyFill="1" applyBorder="1" applyAlignment="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0" fillId="0" borderId="1" xfId="0" applyBorder="1">
      <alignment vertical="center"/>
    </xf>
    <xf numFmtId="181" fontId="116" fillId="0" borderId="0" xfId="0" applyNumberFormat="1" applyFont="1" applyFill="1" applyBorder="1" applyAlignment="1" applyProtection="1">
      <alignment horizontal="left" vertical="center"/>
      <protection locked="0"/>
    </xf>
    <xf numFmtId="0" fontId="24" fillId="0" borderId="1" xfId="8"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38" fillId="0" borderId="86" xfId="0" applyFont="1" applyFill="1" applyBorder="1" applyAlignment="1">
      <alignment horizontal="left" vertical="center"/>
    </xf>
    <xf numFmtId="1" fontId="52" fillId="0" borderId="0" xfId="6" applyNumberFormat="1" applyFont="1"/>
    <xf numFmtId="0" fontId="38" fillId="35" borderId="5" xfId="0" applyFont="1" applyFill="1" applyBorder="1" applyAlignment="1">
      <alignment vertical="center"/>
    </xf>
    <xf numFmtId="0" fontId="38" fillId="35" borderId="6" xfId="0" applyFont="1" applyFill="1" applyBorder="1" applyAlignment="1">
      <alignment vertical="center"/>
    </xf>
    <xf numFmtId="0" fontId="38" fillId="35" borderId="9" xfId="0" applyFont="1" applyFill="1" applyBorder="1" applyAlignment="1">
      <alignment vertical="center"/>
    </xf>
    <xf numFmtId="0" fontId="51" fillId="14" borderId="1" xfId="0" applyFont="1" applyFill="1" applyBorder="1" applyAlignment="1">
      <alignment horizontal="left" vertical="center" wrapText="1"/>
    </xf>
    <xf numFmtId="41" fontId="192" fillId="0" borderId="2" xfId="0" applyNumberFormat="1"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xf>
    <xf numFmtId="0" fontId="10" fillId="0" borderId="103" xfId="0" applyFont="1" applyBorder="1" applyAlignment="1" applyProtection="1">
      <alignment horizontal="center" vertical="center"/>
    </xf>
    <xf numFmtId="176" fontId="50" fillId="0" borderId="175" xfId="1" applyNumberFormat="1" applyFont="1" applyFill="1" applyBorder="1" applyAlignment="1" applyProtection="1">
      <alignment horizontal="center" vertical="center"/>
    </xf>
    <xf numFmtId="166" fontId="53" fillId="0" borderId="13" xfId="0" applyNumberFormat="1" applyFont="1" applyFill="1" applyBorder="1" applyAlignment="1" applyProtection="1">
      <alignment horizontal="right" vertical="center"/>
    </xf>
    <xf numFmtId="177" fontId="53" fillId="0" borderId="89" xfId="1" applyNumberFormat="1" applyFont="1" applyFill="1" applyBorder="1" applyAlignment="1" applyProtection="1">
      <alignment horizontal="center" vertical="center"/>
    </xf>
    <xf numFmtId="168" fontId="53" fillId="0" borderId="8" xfId="0" applyNumberFormat="1" applyFont="1" applyFill="1" applyBorder="1" applyAlignment="1" applyProtection="1">
      <alignment horizontal="center" vertical="center"/>
    </xf>
    <xf numFmtId="167" fontId="68" fillId="0" borderId="144" xfId="8" applyNumberFormat="1" applyFont="1" applyFill="1" applyBorder="1" applyAlignment="1" applyProtection="1">
      <alignment horizontal="center" vertical="center"/>
    </xf>
    <xf numFmtId="190" fontId="51" fillId="0" borderId="144" xfId="0" applyNumberFormat="1" applyFont="1" applyFill="1" applyBorder="1" applyAlignment="1">
      <alignment horizontal="center" vertical="center" wrapText="1"/>
    </xf>
    <xf numFmtId="166" fontId="68" fillId="0" borderId="145" xfId="8" applyNumberFormat="1" applyFont="1" applyFill="1" applyBorder="1" applyAlignment="1" applyProtection="1">
      <alignment horizontal="center" vertical="center"/>
    </xf>
    <xf numFmtId="173" fontId="38" fillId="0" borderId="70" xfId="7" applyNumberFormat="1" applyFont="1" applyFill="1" applyBorder="1" applyAlignment="1" applyProtection="1">
      <alignment horizontal="center" vertical="center"/>
    </xf>
    <xf numFmtId="173" fontId="51" fillId="0" borderId="135" xfId="7" applyNumberFormat="1" applyFont="1" applyFill="1" applyBorder="1" applyAlignment="1" applyProtection="1">
      <alignment horizontal="center" vertical="center"/>
    </xf>
    <xf numFmtId="167" fontId="68" fillId="0" borderId="136" xfId="8" applyNumberFormat="1" applyFont="1" applyFill="1" applyBorder="1" applyAlignment="1" applyProtection="1">
      <alignment horizontal="center" vertical="center"/>
    </xf>
    <xf numFmtId="190" fontId="51" fillId="0" borderId="136" xfId="0" applyNumberFormat="1" applyFont="1" applyFill="1" applyBorder="1" applyAlignment="1">
      <alignment horizontal="center" vertical="center"/>
    </xf>
    <xf numFmtId="166" fontId="68" fillId="0" borderId="137" xfId="8" applyNumberFormat="1" applyFont="1" applyFill="1" applyBorder="1" applyAlignment="1" applyProtection="1">
      <alignment horizontal="center" vertical="center"/>
    </xf>
    <xf numFmtId="0" fontId="53" fillId="0" borderId="179" xfId="0" applyFont="1" applyFill="1" applyBorder="1" applyAlignment="1" applyProtection="1">
      <alignment horizontal="center" vertical="center"/>
    </xf>
    <xf numFmtId="0" fontId="68" fillId="0" borderId="179" xfId="0" applyNumberFormat="1" applyFont="1" applyFill="1" applyBorder="1" applyAlignment="1" applyProtection="1">
      <alignment horizontal="center" vertical="center" wrapText="1"/>
    </xf>
    <xf numFmtId="0" fontId="68" fillId="0" borderId="180" xfId="0" applyNumberFormat="1" applyFont="1" applyFill="1" applyBorder="1" applyAlignment="1" applyProtection="1">
      <alignment horizontal="center" vertical="center" wrapText="1"/>
    </xf>
    <xf numFmtId="176" fontId="50" fillId="0" borderId="181" xfId="1" applyNumberFormat="1" applyFont="1" applyFill="1" applyBorder="1" applyAlignment="1" applyProtection="1">
      <alignment horizontal="center" vertical="center"/>
    </xf>
    <xf numFmtId="166" fontId="53" fillId="0" borderId="182" xfId="0" applyNumberFormat="1" applyFont="1" applyFill="1" applyBorder="1" applyAlignment="1" applyProtection="1">
      <alignment horizontal="right" vertical="center"/>
    </xf>
    <xf numFmtId="177" fontId="53" fillId="0" borderId="183" xfId="1" applyNumberFormat="1" applyFont="1" applyFill="1" applyBorder="1" applyAlignment="1" applyProtection="1">
      <alignment horizontal="center" vertical="center"/>
    </xf>
    <xf numFmtId="168" fontId="53" fillId="0" borderId="184" xfId="0" applyNumberFormat="1" applyFont="1" applyFill="1" applyBorder="1" applyAlignment="1" applyProtection="1">
      <alignment horizontal="center" vertical="center"/>
    </xf>
    <xf numFmtId="176" fontId="51" fillId="0" borderId="185" xfId="0" applyNumberFormat="1" applyFont="1" applyFill="1" applyBorder="1" applyAlignment="1" applyProtection="1">
      <alignment horizontal="center" vertical="center"/>
    </xf>
    <xf numFmtId="167" fontId="192" fillId="0" borderId="186" xfId="0" applyNumberFormat="1" applyFont="1" applyFill="1" applyBorder="1" applyAlignment="1" applyProtection="1">
      <alignment horizontal="center" vertical="center"/>
    </xf>
    <xf numFmtId="190" fontId="51" fillId="0" borderId="186" xfId="0" applyNumberFormat="1" applyFont="1" applyFill="1" applyBorder="1" applyAlignment="1">
      <alignment horizontal="center" vertical="center"/>
    </xf>
    <xf numFmtId="166" fontId="51" fillId="0" borderId="187" xfId="0" applyNumberFormat="1" applyFont="1" applyFill="1" applyBorder="1" applyAlignment="1" applyProtection="1">
      <alignment horizontal="center" vertical="center"/>
    </xf>
    <xf numFmtId="176" fontId="50" fillId="0" borderId="188" xfId="1" applyNumberFormat="1" applyFont="1" applyFill="1" applyBorder="1" applyAlignment="1" applyProtection="1">
      <alignment horizontal="center" vertical="center"/>
    </xf>
    <xf numFmtId="0" fontId="24" fillId="0" borderId="189" xfId="8" applyFont="1" applyFill="1" applyBorder="1" applyAlignment="1" applyProtection="1">
      <alignment horizontal="center" vertical="center" wrapText="1"/>
    </xf>
    <xf numFmtId="0" fontId="53" fillId="0" borderId="193" xfId="0" applyFont="1" applyFill="1" applyBorder="1" applyAlignment="1" applyProtection="1">
      <alignment horizontal="center" vertical="center"/>
    </xf>
    <xf numFmtId="0" fontId="68" fillId="0" borderId="193" xfId="0" applyNumberFormat="1" applyFont="1" applyFill="1" applyBorder="1" applyAlignment="1" applyProtection="1">
      <alignment horizontal="center" vertical="center" wrapText="1"/>
    </xf>
    <xf numFmtId="0" fontId="68" fillId="0" borderId="194" xfId="0" applyNumberFormat="1" applyFont="1" applyFill="1" applyBorder="1" applyAlignment="1" applyProtection="1">
      <alignment horizontal="center" vertical="center" wrapText="1"/>
    </xf>
    <xf numFmtId="165" fontId="50" fillId="0" borderId="195" xfId="1" applyNumberFormat="1" applyFont="1" applyFill="1" applyBorder="1" applyAlignment="1" applyProtection="1">
      <alignment horizontal="center" vertical="center"/>
    </xf>
    <xf numFmtId="170" fontId="53" fillId="0" borderId="196" xfId="0" applyNumberFormat="1" applyFont="1" applyFill="1" applyBorder="1" applyAlignment="1" applyProtection="1">
      <alignment horizontal="right" vertical="center"/>
    </xf>
    <xf numFmtId="170" fontId="53" fillId="0" borderId="197" xfId="1" applyNumberFormat="1" applyFont="1" applyFill="1" applyBorder="1" applyAlignment="1" applyProtection="1">
      <alignment horizontal="center" vertical="center"/>
    </xf>
    <xf numFmtId="170" fontId="53" fillId="0" borderId="198" xfId="0" applyNumberFormat="1" applyFont="1" applyFill="1" applyBorder="1" applyAlignment="1" applyProtection="1">
      <alignment horizontal="center" vertical="center"/>
    </xf>
    <xf numFmtId="176" fontId="51" fillId="0" borderId="199" xfId="0" applyNumberFormat="1" applyFont="1" applyFill="1" applyBorder="1" applyAlignment="1" applyProtection="1">
      <alignment horizontal="center" vertical="center"/>
    </xf>
    <xf numFmtId="170" fontId="68" fillId="0" borderId="200" xfId="8" applyNumberFormat="1" applyFont="1" applyFill="1" applyBorder="1" applyAlignment="1" applyProtection="1">
      <alignment vertical="center"/>
    </xf>
    <xf numFmtId="190" fontId="51" fillId="0" borderId="200" xfId="0" applyNumberFormat="1" applyFont="1" applyFill="1" applyBorder="1" applyAlignment="1" applyProtection="1">
      <alignment horizontal="center" vertical="center"/>
    </xf>
    <xf numFmtId="170" fontId="68" fillId="0" borderId="201" xfId="8" applyNumberFormat="1" applyFont="1" applyFill="1" applyBorder="1" applyAlignment="1" applyProtection="1">
      <alignment vertical="center"/>
    </xf>
    <xf numFmtId="165" fontId="50" fillId="0" borderId="202" xfId="1" applyNumberFormat="1" applyFont="1" applyFill="1" applyBorder="1" applyAlignment="1" applyProtection="1">
      <alignment horizontal="center" vertical="center"/>
    </xf>
    <xf numFmtId="166" fontId="53" fillId="0" borderId="196" xfId="0" applyNumberFormat="1" applyFont="1" applyFill="1" applyBorder="1" applyAlignment="1" applyProtection="1">
      <alignment horizontal="right" vertical="center"/>
    </xf>
    <xf numFmtId="177" fontId="53" fillId="0" borderId="197" xfId="1" applyNumberFormat="1" applyFont="1" applyFill="1" applyBorder="1" applyAlignment="1" applyProtection="1">
      <alignment horizontal="center" vertical="center"/>
    </xf>
    <xf numFmtId="168" fontId="53" fillId="0" borderId="198" xfId="0" applyNumberFormat="1" applyFont="1" applyFill="1" applyBorder="1" applyAlignment="1" applyProtection="1">
      <alignment horizontal="center" vertical="center"/>
    </xf>
    <xf numFmtId="0" fontId="24" fillId="0" borderId="203" xfId="8" applyFont="1" applyFill="1" applyBorder="1" applyAlignment="1" applyProtection="1">
      <alignment horizontal="center" vertical="center"/>
    </xf>
    <xf numFmtId="0" fontId="198" fillId="0" borderId="207" xfId="0" applyFont="1" applyFill="1" applyBorder="1" applyAlignment="1" applyProtection="1">
      <alignment horizontal="center" vertical="center"/>
    </xf>
    <xf numFmtId="0" fontId="105" fillId="0" borderId="206" xfId="0" applyNumberFormat="1" applyFont="1" applyFill="1" applyBorder="1" applyAlignment="1">
      <alignment horizontal="center" vertical="center" wrapText="1"/>
    </xf>
    <xf numFmtId="0" fontId="105" fillId="0" borderId="208" xfId="0" applyNumberFormat="1" applyFont="1" applyFill="1" applyBorder="1" applyAlignment="1">
      <alignment horizontal="center" vertical="center" wrapText="1"/>
    </xf>
    <xf numFmtId="187" fontId="105" fillId="0" borderId="212" xfId="8" applyNumberFormat="1" applyFont="1" applyFill="1" applyBorder="1" applyAlignment="1" applyProtection="1">
      <alignment horizontal="center" vertical="center" wrapText="1"/>
    </xf>
    <xf numFmtId="187" fontId="105" fillId="0" borderId="205" xfId="8" applyNumberFormat="1" applyFont="1" applyFill="1" applyBorder="1" applyAlignment="1" applyProtection="1">
      <alignment horizontal="center" vertical="center" wrapText="1"/>
    </xf>
    <xf numFmtId="187" fontId="105" fillId="0" borderId="206" xfId="8" applyNumberFormat="1" applyFont="1" applyFill="1" applyBorder="1" applyAlignment="1" applyProtection="1">
      <alignment horizontal="center" vertical="center" wrapText="1"/>
    </xf>
    <xf numFmtId="0" fontId="14" fillId="14" borderId="179" xfId="0" applyFont="1" applyFill="1" applyBorder="1" applyAlignment="1">
      <alignment horizontal="center" vertical="center"/>
    </xf>
    <xf numFmtId="0" fontId="14" fillId="14" borderId="179" xfId="0" applyNumberFormat="1" applyFont="1" applyFill="1" applyBorder="1" applyAlignment="1" applyProtection="1">
      <alignment horizontal="center" vertical="center" wrapText="1"/>
    </xf>
    <xf numFmtId="0" fontId="14" fillId="14" borderId="180" xfId="0" applyNumberFormat="1" applyFont="1" applyFill="1" applyBorder="1" applyAlignment="1" applyProtection="1">
      <alignment horizontal="center" vertical="center" wrapText="1"/>
    </xf>
    <xf numFmtId="167" fontId="68" fillId="0" borderId="186" xfId="8" applyNumberFormat="1" applyFont="1" applyFill="1" applyBorder="1" applyAlignment="1" applyProtection="1">
      <alignment horizontal="center" vertical="center"/>
    </xf>
    <xf numFmtId="190" fontId="51" fillId="0" borderId="186" xfId="0" applyNumberFormat="1" applyFont="1" applyFill="1" applyBorder="1" applyAlignment="1">
      <alignment horizontal="center" vertical="center" wrapText="1"/>
    </xf>
    <xf numFmtId="166" fontId="68" fillId="0" borderId="187" xfId="8" applyNumberFormat="1" applyFont="1" applyFill="1" applyBorder="1" applyAlignment="1" applyProtection="1">
      <alignment horizontal="center" vertical="center"/>
    </xf>
    <xf numFmtId="0" fontId="24" fillId="0" borderId="216" xfId="8" applyFont="1" applyFill="1" applyBorder="1" applyAlignment="1" applyProtection="1">
      <alignment horizontal="center" vertical="center" wrapText="1"/>
    </xf>
    <xf numFmtId="0" fontId="10" fillId="14" borderId="193" xfId="0" applyFont="1" applyFill="1" applyBorder="1" applyAlignment="1" applyProtection="1">
      <alignment horizontal="center" vertical="center"/>
    </xf>
    <xf numFmtId="0" fontId="14" fillId="14" borderId="193" xfId="0" applyNumberFormat="1" applyFont="1" applyFill="1" applyBorder="1" applyAlignment="1" applyProtection="1">
      <alignment horizontal="center" vertical="center" wrapText="1"/>
    </xf>
    <xf numFmtId="0" fontId="14" fillId="14" borderId="194" xfId="0" applyNumberFormat="1" applyFont="1" applyFill="1" applyBorder="1" applyAlignment="1" applyProtection="1">
      <alignment horizontal="center" vertical="center" wrapText="1"/>
    </xf>
    <xf numFmtId="167" fontId="192" fillId="0" borderId="200" xfId="0" applyNumberFormat="1" applyFont="1" applyFill="1" applyBorder="1" applyAlignment="1" applyProtection="1">
      <alignment horizontal="center" vertical="center"/>
    </xf>
    <xf numFmtId="190" fontId="51" fillId="0" borderId="200" xfId="0" applyNumberFormat="1" applyFont="1" applyFill="1" applyBorder="1" applyAlignment="1">
      <alignment horizontal="center" vertical="center"/>
    </xf>
    <xf numFmtId="166" fontId="51" fillId="0" borderId="201" xfId="0" applyNumberFormat="1" applyFont="1" applyFill="1" applyBorder="1" applyAlignment="1" applyProtection="1">
      <alignment horizontal="center" vertical="center"/>
    </xf>
    <xf numFmtId="0" fontId="24" fillId="0" borderId="203" xfId="8" applyFont="1" applyFill="1" applyBorder="1" applyAlignment="1" applyProtection="1">
      <alignment horizontal="center" vertical="center" wrapText="1"/>
    </xf>
    <xf numFmtId="177" fontId="50" fillId="0" borderId="100" xfId="1" applyNumberFormat="1" applyFont="1" applyFill="1" applyBorder="1" applyAlignment="1" applyProtection="1">
      <alignment horizontal="center" vertical="center"/>
    </xf>
    <xf numFmtId="177" fontId="50" fillId="0" borderId="46" xfId="1" applyNumberFormat="1" applyFont="1" applyFill="1" applyBorder="1" applyAlignment="1" applyProtection="1">
      <alignment horizontal="center" vertical="center"/>
    </xf>
    <xf numFmtId="177" fontId="38" fillId="0" borderId="100" xfId="0" applyNumberFormat="1" applyFont="1" applyFill="1" applyBorder="1" applyAlignment="1" applyProtection="1">
      <alignment horizontal="center" vertical="center" wrapText="1"/>
      <protection locked="0"/>
    </xf>
    <xf numFmtId="177" fontId="38" fillId="0" borderId="46" xfId="0" applyNumberFormat="1" applyFont="1" applyFill="1" applyBorder="1" applyAlignment="1" applyProtection="1">
      <alignment horizontal="center" vertical="center" wrapText="1"/>
      <protection locked="0"/>
    </xf>
    <xf numFmtId="177" fontId="38" fillId="0" borderId="101" xfId="0" applyNumberFormat="1" applyFont="1" applyFill="1" applyBorder="1" applyAlignment="1" applyProtection="1">
      <alignment horizontal="center" vertical="center" wrapText="1"/>
      <protection locked="0"/>
    </xf>
    <xf numFmtId="177" fontId="38" fillId="0" borderId="108"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xf>
    <xf numFmtId="177" fontId="38" fillId="0" borderId="110" xfId="0" applyNumberFormat="1" applyFont="1" applyFill="1" applyBorder="1" applyAlignment="1" applyProtection="1">
      <alignment horizontal="center" vertical="center" wrapText="1"/>
    </xf>
    <xf numFmtId="177" fontId="50" fillId="0" borderId="101" xfId="1" applyNumberFormat="1" applyFont="1" applyFill="1" applyBorder="1" applyAlignment="1" applyProtection="1">
      <alignment horizontal="center" vertical="center"/>
    </xf>
    <xf numFmtId="177" fontId="50" fillId="0" borderId="110" xfId="1" applyNumberFormat="1" applyFont="1" applyFill="1" applyBorder="1" applyAlignment="1" applyProtection="1">
      <alignment horizontal="center" vertical="center"/>
    </xf>
    <xf numFmtId="177" fontId="50" fillId="0" borderId="108" xfId="1" applyNumberFormat="1" applyFont="1" applyFill="1" applyBorder="1" applyAlignment="1" applyProtection="1">
      <alignment horizontal="center" vertical="center"/>
    </xf>
    <xf numFmtId="43" fontId="38" fillId="52" borderId="100" xfId="0" applyNumberFormat="1" applyFont="1" applyFill="1" applyBorder="1" applyAlignment="1" applyProtection="1">
      <alignment horizontal="center" vertical="center" wrapText="1"/>
      <protection locked="0"/>
    </xf>
    <xf numFmtId="43" fontId="38" fillId="52" borderId="46" xfId="0" applyNumberFormat="1" applyFont="1" applyFill="1" applyBorder="1" applyAlignment="1" applyProtection="1">
      <alignment horizontal="center" vertical="center" wrapText="1"/>
      <protection locked="0"/>
    </xf>
    <xf numFmtId="43" fontId="38" fillId="52" borderId="101" xfId="0" applyNumberFormat="1" applyFont="1" applyFill="1" applyBorder="1" applyAlignment="1" applyProtection="1">
      <alignment horizontal="center" vertical="center" wrapText="1"/>
      <protection locked="0"/>
    </xf>
    <xf numFmtId="41" fontId="38" fillId="0" borderId="101" xfId="0" applyNumberFormat="1" applyFont="1" applyFill="1" applyBorder="1" applyAlignment="1" applyProtection="1">
      <alignment horizontal="center" vertical="center" wrapText="1"/>
      <protection locked="0"/>
    </xf>
    <xf numFmtId="41" fontId="38" fillId="0" borderId="100" xfId="0" applyNumberFormat="1" applyFont="1" applyFill="1" applyBorder="1" applyAlignment="1" applyProtection="1">
      <alignment horizontal="center" vertical="center" wrapText="1"/>
      <protection locked="0"/>
    </xf>
    <xf numFmtId="41" fontId="38" fillId="0" borderId="46" xfId="0" applyNumberFormat="1" applyFont="1" applyFill="1" applyBorder="1" applyAlignment="1" applyProtection="1">
      <alignment horizontal="center" vertical="center" wrapText="1"/>
      <protection locked="0"/>
    </xf>
    <xf numFmtId="177" fontId="38" fillId="0" borderId="101" xfId="0" applyNumberFormat="1" applyFont="1" applyFill="1" applyBorder="1" applyAlignment="1" applyProtection="1">
      <alignment horizontal="center" vertical="center" wrapText="1"/>
    </xf>
    <xf numFmtId="177" fontId="38" fillId="0" borderId="100" xfId="0" applyNumberFormat="1" applyFont="1" applyFill="1" applyBorder="1" applyAlignment="1" applyProtection="1">
      <alignment horizontal="center" vertical="center" wrapText="1"/>
    </xf>
    <xf numFmtId="177" fontId="38" fillId="0" borderId="108" xfId="0" applyNumberFormat="1" applyFont="1" applyFill="1" applyBorder="1" applyAlignment="1" applyProtection="1">
      <alignment horizontal="center" vertical="center" wrapText="1"/>
    </xf>
    <xf numFmtId="0" fontId="38" fillId="0" borderId="127" xfId="0" applyFont="1" applyFill="1" applyBorder="1" applyAlignment="1" applyProtection="1">
      <alignment horizontal="center" vertical="center" wrapText="1"/>
    </xf>
    <xf numFmtId="0" fontId="38" fillId="0" borderId="128"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protection locked="0"/>
    </xf>
    <xf numFmtId="41" fontId="38" fillId="0" borderId="6" xfId="0" applyNumberFormat="1" applyFont="1" applyFill="1" applyBorder="1" applyAlignment="1" applyProtection="1">
      <alignment horizontal="center" vertical="center" wrapText="1"/>
      <protection locked="0"/>
    </xf>
    <xf numFmtId="41" fontId="38" fillId="0" borderId="1" xfId="0" applyNumberFormat="1" applyFont="1" applyFill="1" applyBorder="1" applyAlignment="1" applyProtection="1">
      <alignment horizontal="center" vertical="center" wrapText="1"/>
      <protection locked="0"/>
    </xf>
    <xf numFmtId="41" fontId="38" fillId="0" borderId="5" xfId="0" applyNumberFormat="1" applyFont="1" applyFill="1" applyBorder="1" applyAlignment="1" applyProtection="1">
      <alignment horizontal="center" vertical="center" wrapText="1"/>
      <protection locked="0"/>
    </xf>
    <xf numFmtId="41" fontId="38" fillId="0" borderId="110" xfId="0" applyNumberFormat="1" applyFont="1" applyFill="1" applyBorder="1" applyAlignment="1" applyProtection="1">
      <alignment horizontal="center" vertical="center" wrapText="1"/>
      <protection locked="0"/>
    </xf>
    <xf numFmtId="41" fontId="38" fillId="0" borderId="108" xfId="0" applyNumberFormat="1"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187" fontId="38" fillId="0" borderId="101" xfId="0" applyNumberFormat="1" applyFont="1" applyFill="1" applyBorder="1" applyAlignment="1" applyProtection="1">
      <alignment horizontal="center" vertical="center" wrapText="1"/>
      <protection locked="0"/>
    </xf>
    <xf numFmtId="187" fontId="38" fillId="0" borderId="100" xfId="0" applyNumberFormat="1" applyFont="1" applyFill="1" applyBorder="1" applyAlignment="1" applyProtection="1">
      <alignment horizontal="center" vertical="center" wrapText="1"/>
      <protection locked="0"/>
    </xf>
    <xf numFmtId="41" fontId="38" fillId="0" borderId="9" xfId="0" applyNumberFormat="1" applyFont="1" applyFill="1" applyBorder="1" applyAlignment="1" applyProtection="1">
      <alignment horizontal="center" vertical="center" wrapText="1"/>
      <protection locked="0"/>
    </xf>
    <xf numFmtId="0" fontId="237" fillId="0" borderId="100" xfId="0" applyFont="1" applyFill="1" applyBorder="1" applyAlignment="1" applyProtection="1">
      <alignment horizontal="center" vertical="center" wrapText="1"/>
    </xf>
    <xf numFmtId="0" fontId="237" fillId="0" borderId="46" xfId="0" applyFont="1" applyFill="1" applyBorder="1" applyAlignment="1" applyProtection="1">
      <alignment horizontal="center" vertical="center" wrapText="1"/>
    </xf>
    <xf numFmtId="0" fontId="38" fillId="0" borderId="100" xfId="0" applyFont="1" applyFill="1" applyBorder="1" applyAlignment="1" applyProtection="1">
      <alignment horizontal="center" vertical="center" wrapText="1"/>
    </xf>
    <xf numFmtId="0" fontId="213" fillId="0" borderId="3" xfId="0" applyFont="1" applyFill="1" applyBorder="1" applyAlignment="1" applyProtection="1">
      <alignment horizontal="center" vertical="center" wrapText="1"/>
    </xf>
    <xf numFmtId="0" fontId="213" fillId="0" borderId="10"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xf>
    <xf numFmtId="176" fontId="24" fillId="0" borderId="114" xfId="0" applyNumberFormat="1" applyFont="1" applyFill="1" applyBorder="1" applyAlignment="1" applyProtection="1">
      <alignment horizontal="center" vertical="center" wrapText="1"/>
    </xf>
    <xf numFmtId="173" fontId="24" fillId="0" borderId="114" xfId="0" applyNumberFormat="1" applyFont="1" applyFill="1" applyBorder="1" applyAlignment="1" applyProtection="1">
      <alignment horizontal="center" vertical="center" wrapText="1"/>
    </xf>
    <xf numFmtId="0" fontId="38" fillId="0" borderId="9" xfId="0" quotePrefix="1" applyFont="1" applyFill="1" applyBorder="1" applyAlignment="1" applyProtection="1">
      <alignment horizontal="center" vertical="center"/>
    </xf>
    <xf numFmtId="0" fontId="51" fillId="0" borderId="9" xfId="0" quotePrefix="1" applyFont="1" applyFill="1" applyBorder="1" applyAlignment="1" applyProtection="1">
      <alignment horizontal="center" vertical="center"/>
    </xf>
    <xf numFmtId="0" fontId="38" fillId="0" borderId="5" xfId="0" quotePrefix="1" applyFont="1" applyFill="1" applyBorder="1" applyAlignment="1" applyProtection="1">
      <alignment horizontal="center" vertical="center"/>
    </xf>
    <xf numFmtId="0" fontId="38" fillId="0" borderId="6" xfId="0" quotePrefix="1" applyFont="1" applyFill="1" applyBorder="1" applyAlignment="1" applyProtection="1">
      <alignment horizontal="center" vertical="center"/>
    </xf>
    <xf numFmtId="0" fontId="38" fillId="4" borderId="9" xfId="0" applyFont="1" applyFill="1" applyBorder="1" applyAlignment="1" applyProtection="1">
      <alignment horizontal="center" vertical="center"/>
    </xf>
    <xf numFmtId="0" fontId="211" fillId="0" borderId="9" xfId="0" applyFont="1" applyFill="1" applyBorder="1" applyAlignment="1" applyProtection="1">
      <alignment horizontal="center" vertical="center"/>
    </xf>
    <xf numFmtId="0" fontId="51" fillId="4" borderId="9" xfId="0" applyFont="1" applyFill="1" applyBorder="1" applyAlignment="1" applyProtection="1">
      <alignment horizontal="center" vertical="center"/>
    </xf>
    <xf numFmtId="0" fontId="51" fillId="4" borderId="0" xfId="0" applyFont="1" applyFill="1" applyBorder="1" applyAlignment="1" applyProtection="1">
      <alignment horizontal="center" vertical="center"/>
    </xf>
    <xf numFmtId="0" fontId="51" fillId="0" borderId="100" xfId="0" applyFont="1" applyFill="1" applyBorder="1" applyAlignment="1" applyProtection="1">
      <alignment horizontal="center" vertical="center" wrapText="1"/>
    </xf>
    <xf numFmtId="0" fontId="0" fillId="0" borderId="46" xfId="0" applyFont="1" applyBorder="1" applyAlignment="1">
      <alignment horizontal="center" vertical="center" wrapText="1"/>
    </xf>
    <xf numFmtId="0" fontId="0" fillId="0" borderId="100" xfId="0" applyFont="1" applyBorder="1" applyAlignment="1">
      <alignment horizontal="center" vertical="center" wrapText="1"/>
    </xf>
    <xf numFmtId="0" fontId="38" fillId="0" borderId="106" xfId="0" applyFont="1" applyFill="1" applyBorder="1" applyAlignment="1" applyProtection="1">
      <alignment horizontal="center" vertical="center" wrapText="1"/>
    </xf>
    <xf numFmtId="0" fontId="38" fillId="0" borderId="84" xfId="0" applyFont="1" applyFill="1" applyBorder="1" applyAlignment="1" applyProtection="1">
      <alignment horizontal="center" vertical="center" wrapText="1"/>
    </xf>
    <xf numFmtId="0" fontId="51" fillId="0" borderId="84" xfId="0" applyFont="1" applyFill="1" applyBorder="1" applyAlignment="1" applyProtection="1">
      <alignment horizontal="center" vertical="center" wrapText="1"/>
    </xf>
    <xf numFmtId="0" fontId="0" fillId="0" borderId="84" xfId="0" applyFont="1" applyBorder="1" applyAlignment="1">
      <alignment horizontal="center" vertical="center" wrapText="1"/>
    </xf>
    <xf numFmtId="0" fontId="38" fillId="0" borderId="110" xfId="0" applyFont="1" applyFill="1" applyBorder="1" applyAlignment="1" applyProtection="1">
      <alignment horizontal="center" vertical="center" wrapText="1"/>
    </xf>
    <xf numFmtId="0" fontId="145" fillId="0" borderId="0" xfId="4" applyFont="1" applyAlignment="1">
      <alignment horizontal="center" vertical="center"/>
    </xf>
    <xf numFmtId="0" fontId="208" fillId="0" borderId="1" xfId="4" applyFont="1" applyBorder="1" applyAlignment="1">
      <alignment horizontal="center" vertical="center" wrapText="1"/>
    </xf>
    <xf numFmtId="0" fontId="208" fillId="0" borderId="1" xfId="4" applyFont="1" applyBorder="1" applyAlignment="1">
      <alignment horizontal="center" vertical="center"/>
    </xf>
    <xf numFmtId="0" fontId="218" fillId="13" borderId="5" xfId="4" applyFont="1" applyFill="1" applyBorder="1" applyAlignment="1">
      <alignment horizontal="center" vertical="center"/>
    </xf>
    <xf numFmtId="0" fontId="218" fillId="13" borderId="6" xfId="4" applyFont="1" applyFill="1" applyBorder="1" applyAlignment="1">
      <alignment horizontal="center" vertical="center"/>
    </xf>
    <xf numFmtId="0" fontId="75" fillId="0" borderId="3" xfId="4" applyFont="1" applyBorder="1" applyAlignment="1">
      <alignment horizontal="center" vertical="center" wrapText="1"/>
    </xf>
    <xf numFmtId="0" fontId="75" fillId="0" borderId="86" xfId="4" applyFont="1" applyBorder="1" applyAlignment="1">
      <alignment horizontal="center" vertical="center"/>
    </xf>
    <xf numFmtId="0" fontId="208" fillId="0" borderId="3" xfId="4" applyFont="1" applyBorder="1" applyAlignment="1">
      <alignment horizontal="center" vertical="center" wrapText="1"/>
    </xf>
    <xf numFmtId="0" fontId="208" fillId="0" borderId="10" xfId="4" applyFont="1" applyBorder="1" applyAlignment="1">
      <alignment horizontal="center" vertical="center" wrapText="1"/>
    </xf>
    <xf numFmtId="0" fontId="208" fillId="0" borderId="86" xfId="4" applyFont="1" applyBorder="1" applyAlignment="1">
      <alignment horizontal="center" vertical="center" wrapText="1"/>
    </xf>
    <xf numFmtId="0" fontId="93" fillId="35" borderId="32" xfId="84" quotePrefix="1" applyFont="1" applyFill="1" applyBorder="1" applyAlignment="1" applyProtection="1">
      <alignment horizontal="center" vertical="center"/>
    </xf>
    <xf numFmtId="0" fontId="93" fillId="35" borderId="33" xfId="84" applyFont="1" applyFill="1" applyBorder="1" applyAlignment="1" applyProtection="1">
      <alignment horizontal="center" vertical="center"/>
    </xf>
    <xf numFmtId="0" fontId="93" fillId="35" borderId="38" xfId="84" applyFont="1" applyFill="1" applyBorder="1" applyAlignment="1" applyProtection="1">
      <alignment horizontal="center" vertical="center"/>
    </xf>
    <xf numFmtId="0" fontId="93" fillId="35" borderId="35" xfId="84" applyFont="1" applyFill="1" applyBorder="1" applyAlignment="1" applyProtection="1">
      <alignment horizontal="center" vertical="center"/>
    </xf>
    <xf numFmtId="0" fontId="93" fillId="35" borderId="36" xfId="84" applyFont="1" applyFill="1" applyBorder="1" applyAlignment="1" applyProtection="1">
      <alignment horizontal="center" vertical="center"/>
    </xf>
    <xf numFmtId="0" fontId="93" fillId="35" borderId="39" xfId="84" applyFont="1" applyFill="1" applyBorder="1" applyAlignment="1" applyProtection="1">
      <alignment horizontal="center" vertical="center"/>
    </xf>
    <xf numFmtId="14" fontId="58" fillId="35" borderId="42" xfId="0" quotePrefix="1" applyNumberFormat="1" applyFont="1" applyFill="1" applyBorder="1" applyAlignment="1" applyProtection="1">
      <alignment horizontal="center" vertical="center"/>
      <protection locked="0"/>
    </xf>
    <xf numFmtId="14" fontId="58" fillId="35" borderId="60" xfId="0" applyNumberFormat="1" applyFont="1" applyFill="1" applyBorder="1" applyAlignment="1" applyProtection="1">
      <alignment horizontal="center" vertical="center"/>
      <protection locked="0"/>
    </xf>
    <xf numFmtId="14" fontId="58" fillId="35" borderId="58" xfId="0" applyNumberFormat="1" applyFont="1" applyFill="1" applyBorder="1" applyAlignment="1" applyProtection="1">
      <alignment horizontal="center" vertical="center"/>
      <protection locked="0"/>
    </xf>
    <xf numFmtId="14" fontId="58" fillId="35" borderId="15" xfId="0" applyNumberFormat="1" applyFont="1" applyFill="1" applyBorder="1" applyAlignment="1" applyProtection="1">
      <alignment horizontal="center" vertical="center"/>
      <protection locked="0"/>
    </xf>
    <xf numFmtId="189" fontId="143" fillId="35" borderId="62" xfId="0" quotePrefix="1" applyNumberFormat="1" applyFont="1" applyFill="1" applyBorder="1" applyAlignment="1" applyProtection="1">
      <alignment horizontal="center" vertical="center"/>
      <protection locked="0"/>
    </xf>
    <xf numFmtId="189" fontId="143" fillId="35" borderId="63" xfId="0" applyNumberFormat="1" applyFont="1" applyFill="1" applyBorder="1" applyAlignment="1" applyProtection="1">
      <alignment horizontal="center" vertical="center"/>
      <protection locked="0"/>
    </xf>
    <xf numFmtId="0" fontId="50" fillId="35" borderId="32" xfId="84" applyFont="1" applyFill="1" applyBorder="1" applyAlignment="1" applyProtection="1">
      <alignment horizontal="center" vertical="center"/>
    </xf>
    <xf numFmtId="0" fontId="50" fillId="35" borderId="33" xfId="84" applyFont="1" applyFill="1" applyBorder="1" applyAlignment="1" applyProtection="1">
      <alignment horizontal="center" vertical="center"/>
    </xf>
    <xf numFmtId="0" fontId="50" fillId="35" borderId="38" xfId="84" applyFont="1" applyFill="1" applyBorder="1" applyAlignment="1" applyProtection="1">
      <alignment horizontal="center" vertical="center"/>
    </xf>
    <xf numFmtId="0" fontId="50" fillId="35" borderId="35" xfId="84" applyFont="1" applyFill="1" applyBorder="1" applyAlignment="1" applyProtection="1">
      <alignment horizontal="center" vertical="center"/>
    </xf>
    <xf numFmtId="0" fontId="50" fillId="35" borderId="36" xfId="84" applyFont="1" applyFill="1" applyBorder="1" applyAlignment="1" applyProtection="1">
      <alignment horizontal="center" vertical="center"/>
    </xf>
    <xf numFmtId="0" fontId="50" fillId="35" borderId="39" xfId="84" applyFont="1" applyFill="1" applyBorder="1" applyAlignment="1" applyProtection="1">
      <alignment horizontal="center" vertical="center"/>
    </xf>
    <xf numFmtId="0" fontId="38" fillId="37" borderId="32" xfId="84" quotePrefix="1" applyFont="1" applyFill="1" applyBorder="1" applyAlignment="1" applyProtection="1">
      <alignment horizontal="center" vertical="center"/>
    </xf>
    <xf numFmtId="0" fontId="38" fillId="37" borderId="33" xfId="84" quotePrefix="1" applyFont="1" applyFill="1" applyBorder="1" applyAlignment="1" applyProtection="1">
      <alignment horizontal="center" vertical="center"/>
    </xf>
    <xf numFmtId="0" fontId="38" fillId="37" borderId="38" xfId="84" quotePrefix="1" applyFont="1" applyFill="1" applyBorder="1" applyAlignment="1" applyProtection="1">
      <alignment horizontal="center" vertical="center"/>
    </xf>
    <xf numFmtId="0" fontId="38" fillId="37" borderId="35" xfId="84" quotePrefix="1" applyFont="1" applyFill="1" applyBorder="1" applyAlignment="1" applyProtection="1">
      <alignment horizontal="center" vertical="center"/>
    </xf>
    <xf numFmtId="0" fontId="38" fillId="37" borderId="36" xfId="84" quotePrefix="1" applyFont="1" applyFill="1" applyBorder="1" applyAlignment="1" applyProtection="1">
      <alignment horizontal="center" vertical="center"/>
    </xf>
    <xf numFmtId="0" fontId="38" fillId="37" borderId="39" xfId="84" quotePrefix="1" applyFont="1" applyFill="1" applyBorder="1" applyAlignment="1" applyProtection="1">
      <alignment horizontal="center" vertical="center"/>
    </xf>
    <xf numFmtId="0" fontId="50" fillId="12" borderId="32" xfId="84" quotePrefix="1" applyFont="1" applyFill="1" applyBorder="1" applyAlignment="1" applyProtection="1">
      <alignment horizontal="center" vertical="center"/>
    </xf>
    <xf numFmtId="0" fontId="50" fillId="12" borderId="33" xfId="84" applyFont="1" applyFill="1" applyBorder="1" applyAlignment="1" applyProtection="1">
      <alignment horizontal="center" vertical="center"/>
    </xf>
    <xf numFmtId="0" fontId="50" fillId="12" borderId="38" xfId="84" applyFont="1" applyFill="1" applyBorder="1" applyAlignment="1" applyProtection="1">
      <alignment horizontal="center" vertical="center"/>
    </xf>
    <xf numFmtId="0" fontId="50" fillId="12" borderId="35" xfId="84" applyFont="1" applyFill="1" applyBorder="1" applyAlignment="1" applyProtection="1">
      <alignment horizontal="center" vertical="center"/>
    </xf>
    <xf numFmtId="0" fontId="50" fillId="12" borderId="36" xfId="84" applyFont="1" applyFill="1" applyBorder="1" applyAlignment="1" applyProtection="1">
      <alignment horizontal="center" vertical="center"/>
    </xf>
    <xf numFmtId="0" fontId="50" fillId="12" borderId="39" xfId="84" applyFont="1" applyFill="1" applyBorder="1" applyAlignment="1" applyProtection="1">
      <alignment horizontal="center" vertical="center"/>
    </xf>
    <xf numFmtId="0" fontId="50" fillId="37" borderId="32" xfId="84" applyFont="1" applyFill="1" applyBorder="1" applyAlignment="1" applyProtection="1">
      <alignment horizontal="center" vertical="center"/>
    </xf>
    <xf numFmtId="0" fontId="50" fillId="37" borderId="33" xfId="84" applyFont="1" applyFill="1" applyBorder="1" applyAlignment="1" applyProtection="1">
      <alignment horizontal="center" vertical="center"/>
    </xf>
    <xf numFmtId="0" fontId="50" fillId="37" borderId="38" xfId="84" applyFont="1" applyFill="1" applyBorder="1" applyAlignment="1" applyProtection="1">
      <alignment horizontal="center" vertical="center"/>
    </xf>
    <xf numFmtId="0" fontId="50" fillId="37" borderId="35" xfId="84" applyFont="1" applyFill="1" applyBorder="1" applyAlignment="1" applyProtection="1">
      <alignment horizontal="center" vertical="center"/>
    </xf>
    <xf numFmtId="0" fontId="50" fillId="37" borderId="36" xfId="84" applyFont="1" applyFill="1" applyBorder="1" applyAlignment="1" applyProtection="1">
      <alignment horizontal="center" vertical="center"/>
    </xf>
    <xf numFmtId="0" fontId="50" fillId="37" borderId="39" xfId="84" applyFont="1" applyFill="1" applyBorder="1" applyAlignment="1" applyProtection="1">
      <alignment horizontal="center" vertical="center"/>
    </xf>
    <xf numFmtId="0" fontId="24" fillId="37" borderId="32" xfId="84" quotePrefix="1" applyFont="1" applyFill="1" applyBorder="1" applyAlignment="1" applyProtection="1">
      <alignment horizontal="center" vertical="center"/>
    </xf>
    <xf numFmtId="0" fontId="24" fillId="37" borderId="33" xfId="84" quotePrefix="1" applyFont="1" applyFill="1" applyBorder="1" applyAlignment="1" applyProtection="1">
      <alignment horizontal="center" vertical="center"/>
    </xf>
    <xf numFmtId="0" fontId="24" fillId="37" borderId="38" xfId="84" quotePrefix="1" applyFont="1" applyFill="1" applyBorder="1" applyAlignment="1" applyProtection="1">
      <alignment horizontal="center" vertical="center"/>
    </xf>
    <xf numFmtId="0" fontId="24" fillId="37" borderId="35" xfId="84" quotePrefix="1" applyFont="1" applyFill="1" applyBorder="1" applyAlignment="1" applyProtection="1">
      <alignment horizontal="center" vertical="center"/>
    </xf>
    <xf numFmtId="0" fontId="24" fillId="37" borderId="36" xfId="84" quotePrefix="1" applyFont="1" applyFill="1" applyBorder="1" applyAlignment="1" applyProtection="1">
      <alignment horizontal="center" vertical="center"/>
    </xf>
    <xf numFmtId="0" fontId="24" fillId="37" borderId="39" xfId="84" quotePrefix="1" applyFont="1" applyFill="1" applyBorder="1" applyAlignment="1" applyProtection="1">
      <alignment horizontal="center" vertical="center"/>
    </xf>
    <xf numFmtId="0" fontId="24" fillId="55" borderId="32" xfId="84" quotePrefix="1" applyFont="1" applyFill="1" applyBorder="1" applyAlignment="1" applyProtection="1">
      <alignment horizontal="center" vertical="center"/>
    </xf>
    <xf numFmtId="0" fontId="24" fillId="55" borderId="33" xfId="84" quotePrefix="1" applyFont="1" applyFill="1" applyBorder="1" applyAlignment="1" applyProtection="1">
      <alignment horizontal="center" vertical="center"/>
    </xf>
    <xf numFmtId="0" fontId="24" fillId="55" borderId="38" xfId="84" quotePrefix="1" applyFont="1" applyFill="1" applyBorder="1" applyAlignment="1" applyProtection="1">
      <alignment horizontal="center" vertical="center"/>
    </xf>
    <xf numFmtId="0" fontId="24" fillId="55" borderId="35" xfId="84" quotePrefix="1" applyFont="1" applyFill="1" applyBorder="1" applyAlignment="1" applyProtection="1">
      <alignment horizontal="center" vertical="center"/>
    </xf>
    <xf numFmtId="0" fontId="24" fillId="55" borderId="36" xfId="84" quotePrefix="1" applyFont="1" applyFill="1" applyBorder="1" applyAlignment="1" applyProtection="1">
      <alignment horizontal="center" vertical="center"/>
    </xf>
    <xf numFmtId="0" fontId="24" fillId="55" borderId="39" xfId="84" quotePrefix="1"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wrapText="1"/>
      <protection locked="0"/>
    </xf>
    <xf numFmtId="189" fontId="143" fillId="35" borderId="62" xfId="0" applyNumberFormat="1" applyFont="1" applyFill="1" applyBorder="1" applyAlignment="1" applyProtection="1">
      <alignment horizontal="center" vertical="center"/>
      <protection locked="0"/>
    </xf>
    <xf numFmtId="0" fontId="98" fillId="35" borderId="32" xfId="0" applyFont="1" applyFill="1" applyBorder="1" applyAlignment="1">
      <alignment horizontal="center" vertical="center"/>
    </xf>
    <xf numFmtId="0" fontId="98" fillId="35" borderId="33" xfId="0" applyFont="1" applyFill="1" applyBorder="1" applyAlignment="1">
      <alignment horizontal="center" vertical="center"/>
    </xf>
    <xf numFmtId="0" fontId="98" fillId="35" borderId="38" xfId="0" applyFont="1" applyFill="1" applyBorder="1" applyAlignment="1">
      <alignment horizontal="center" vertical="center"/>
    </xf>
    <xf numFmtId="0" fontId="98" fillId="35" borderId="35" xfId="0" applyFont="1" applyFill="1" applyBorder="1" applyAlignment="1">
      <alignment horizontal="center" vertical="center"/>
    </xf>
    <xf numFmtId="0" fontId="98" fillId="35" borderId="36" xfId="0" applyFont="1" applyFill="1" applyBorder="1" applyAlignment="1">
      <alignment horizontal="center" vertical="center"/>
    </xf>
    <xf numFmtId="0" fontId="98" fillId="35" borderId="39" xfId="0" applyFont="1" applyFill="1" applyBorder="1" applyAlignment="1">
      <alignment horizontal="center" vertical="center"/>
    </xf>
    <xf numFmtId="0" fontId="50" fillId="5" borderId="42" xfId="84" quotePrefix="1" applyFont="1" applyFill="1" applyBorder="1" applyAlignment="1" applyProtection="1">
      <alignment horizontal="center" vertical="center"/>
    </xf>
    <xf numFmtId="0" fontId="50" fillId="5" borderId="43" xfId="84" quotePrefix="1" applyFont="1" applyFill="1" applyBorder="1" applyAlignment="1" applyProtection="1">
      <alignment horizontal="center" vertical="center"/>
    </xf>
    <xf numFmtId="0" fontId="50" fillId="5" borderId="44" xfId="84" quotePrefix="1" applyFont="1" applyFill="1" applyBorder="1" applyAlignment="1" applyProtection="1">
      <alignment horizontal="center" vertical="center"/>
    </xf>
    <xf numFmtId="0" fontId="50" fillId="5" borderId="45" xfId="84" quotePrefix="1" applyFont="1" applyFill="1" applyBorder="1" applyAlignment="1" applyProtection="1">
      <alignment horizontal="center" vertical="center"/>
    </xf>
    <xf numFmtId="0" fontId="50" fillId="5" borderId="40" xfId="84" quotePrefix="1" applyFont="1" applyFill="1" applyBorder="1" applyAlignment="1" applyProtection="1">
      <alignment horizontal="center" vertical="center"/>
    </xf>
    <xf numFmtId="0" fontId="50" fillId="5" borderId="41" xfId="84" quotePrefix="1" applyFont="1" applyFill="1" applyBorder="1" applyAlignment="1" applyProtection="1">
      <alignment horizontal="center" vertical="center"/>
    </xf>
    <xf numFmtId="0" fontId="50" fillId="8" borderId="32"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38" xfId="0" applyFont="1" applyFill="1" applyBorder="1" applyAlignment="1">
      <alignment horizontal="center" vertical="center"/>
    </xf>
    <xf numFmtId="0" fontId="50" fillId="8" borderId="35"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9" xfId="0" applyFont="1" applyFill="1" applyBorder="1" applyAlignment="1">
      <alignment horizontal="center" vertical="center"/>
    </xf>
    <xf numFmtId="0" fontId="50" fillId="44" borderId="32" xfId="84" quotePrefix="1" applyFont="1" applyFill="1" applyBorder="1" applyAlignment="1" applyProtection="1">
      <alignment horizontal="center" vertical="center"/>
    </xf>
    <xf numFmtId="0" fontId="50" fillId="44" borderId="33" xfId="84" quotePrefix="1" applyFont="1" applyFill="1" applyBorder="1" applyAlignment="1" applyProtection="1">
      <alignment horizontal="center" vertical="center"/>
    </xf>
    <xf numFmtId="0" fontId="50" fillId="44" borderId="38" xfId="84" quotePrefix="1" applyFont="1" applyFill="1" applyBorder="1" applyAlignment="1" applyProtection="1">
      <alignment horizontal="center" vertical="center"/>
    </xf>
    <xf numFmtId="0" fontId="50" fillId="44" borderId="35" xfId="84" quotePrefix="1" applyFont="1" applyFill="1" applyBorder="1" applyAlignment="1" applyProtection="1">
      <alignment horizontal="center" vertical="center"/>
    </xf>
    <xf numFmtId="0" fontId="50" fillId="44" borderId="36" xfId="84" quotePrefix="1" applyFont="1" applyFill="1" applyBorder="1" applyAlignment="1" applyProtection="1">
      <alignment horizontal="center" vertical="center"/>
    </xf>
    <xf numFmtId="0" fontId="50" fillId="44" borderId="39" xfId="84" quotePrefix="1" applyFont="1" applyFill="1" applyBorder="1" applyAlignment="1" applyProtection="1">
      <alignment horizontal="center" vertical="center"/>
    </xf>
    <xf numFmtId="0" fontId="50" fillId="8" borderId="32" xfId="84" quotePrefix="1" applyFont="1" applyFill="1" applyBorder="1" applyAlignment="1" applyProtection="1">
      <alignment horizontal="center" vertical="center"/>
    </xf>
    <xf numFmtId="0" fontId="50" fillId="8" borderId="33" xfId="84" applyFont="1" applyFill="1" applyBorder="1" applyAlignment="1" applyProtection="1">
      <alignment horizontal="center" vertical="center"/>
    </xf>
    <xf numFmtId="0" fontId="50" fillId="8" borderId="38" xfId="84" applyFont="1" applyFill="1" applyBorder="1" applyAlignment="1" applyProtection="1">
      <alignment horizontal="center" vertical="center"/>
    </xf>
    <xf numFmtId="0" fontId="50" fillId="8" borderId="35" xfId="84" applyFont="1" applyFill="1" applyBorder="1" applyAlignment="1" applyProtection="1">
      <alignment horizontal="center" vertical="center"/>
    </xf>
    <xf numFmtId="0" fontId="50" fillId="8" borderId="36" xfId="84" applyFont="1" applyFill="1" applyBorder="1" applyAlignment="1" applyProtection="1">
      <alignment horizontal="center" vertical="center"/>
    </xf>
    <xf numFmtId="0" fontId="50" fillId="8" borderId="39" xfId="84" applyFont="1" applyFill="1" applyBorder="1" applyAlignment="1" applyProtection="1">
      <alignment horizontal="center" vertical="center"/>
    </xf>
    <xf numFmtId="0" fontId="50" fillId="44" borderId="32" xfId="84" applyFont="1" applyFill="1" applyBorder="1" applyAlignment="1" applyProtection="1">
      <alignment horizontal="center" vertical="center"/>
    </xf>
    <xf numFmtId="0" fontId="50" fillId="44" borderId="33" xfId="84" applyFont="1" applyFill="1" applyBorder="1" applyAlignment="1" applyProtection="1">
      <alignment horizontal="center" vertical="center"/>
    </xf>
    <xf numFmtId="0" fontId="50" fillId="44" borderId="38" xfId="84" applyFont="1" applyFill="1" applyBorder="1" applyAlignment="1" applyProtection="1">
      <alignment horizontal="center" vertical="center"/>
    </xf>
    <xf numFmtId="0" fontId="50" fillId="44" borderId="35" xfId="84" applyFont="1" applyFill="1" applyBorder="1" applyAlignment="1" applyProtection="1">
      <alignment horizontal="center" vertical="center"/>
    </xf>
    <xf numFmtId="0" fontId="50" fillId="44" borderId="36" xfId="84" applyFont="1" applyFill="1" applyBorder="1" applyAlignment="1" applyProtection="1">
      <alignment horizontal="center" vertical="center"/>
    </xf>
    <xf numFmtId="0" fontId="50" fillId="44" borderId="39" xfId="84" applyFont="1" applyFill="1" applyBorder="1" applyAlignment="1" applyProtection="1">
      <alignment horizontal="center" vertical="center"/>
    </xf>
    <xf numFmtId="0" fontId="98" fillId="35" borderId="34" xfId="0" applyFont="1" applyFill="1" applyBorder="1" applyAlignment="1">
      <alignment horizontal="center" vertical="center"/>
    </xf>
    <xf numFmtId="0" fontId="98" fillId="35" borderId="37" xfId="0" applyFont="1" applyFill="1" applyBorder="1" applyAlignment="1">
      <alignment horizontal="center" vertical="center"/>
    </xf>
    <xf numFmtId="0" fontId="98" fillId="35" borderId="65" xfId="84" applyFont="1" applyFill="1" applyBorder="1" applyAlignment="1" applyProtection="1">
      <alignment horizontal="center" vertical="center"/>
    </xf>
    <xf numFmtId="0" fontId="98" fillId="35" borderId="66" xfId="84" applyFont="1" applyFill="1" applyBorder="1" applyAlignment="1" applyProtection="1">
      <alignment horizontal="center" vertical="center"/>
    </xf>
    <xf numFmtId="0" fontId="98" fillId="35" borderId="67" xfId="84" applyFont="1" applyFill="1" applyBorder="1" applyAlignment="1" applyProtection="1">
      <alignment horizontal="center" vertical="center"/>
    </xf>
    <xf numFmtId="0" fontId="98" fillId="35" borderId="68" xfId="84" applyFont="1" applyFill="1" applyBorder="1" applyAlignment="1" applyProtection="1">
      <alignment horizontal="center" vertical="center"/>
    </xf>
    <xf numFmtId="0" fontId="98" fillId="35" borderId="69" xfId="84" applyFont="1" applyFill="1" applyBorder="1" applyAlignment="1" applyProtection="1">
      <alignment horizontal="center" vertical="center"/>
    </xf>
    <xf numFmtId="0" fontId="98" fillId="35" borderId="70" xfId="84" applyFont="1" applyFill="1" applyBorder="1" applyAlignment="1" applyProtection="1">
      <alignment horizontal="center" vertical="center"/>
    </xf>
    <xf numFmtId="14" fontId="176" fillId="35" borderId="42" xfId="84" quotePrefix="1" applyNumberFormat="1" applyFont="1" applyFill="1" applyBorder="1" applyAlignment="1" applyProtection="1">
      <alignment horizontal="center" vertical="center"/>
      <protection locked="0"/>
    </xf>
    <xf numFmtId="14" fontId="176" fillId="35" borderId="60" xfId="84" applyNumberFormat="1" applyFont="1" applyFill="1" applyBorder="1" applyAlignment="1" applyProtection="1">
      <alignment horizontal="center" vertical="center"/>
      <protection locked="0"/>
    </xf>
    <xf numFmtId="14" fontId="176" fillId="35" borderId="58" xfId="84" applyNumberFormat="1" applyFont="1" applyFill="1" applyBorder="1" applyAlignment="1" applyProtection="1">
      <alignment horizontal="center" vertical="center"/>
      <protection locked="0"/>
    </xf>
    <xf numFmtId="14" fontId="176" fillId="35" borderId="15" xfId="84" applyNumberFormat="1" applyFont="1" applyFill="1" applyBorder="1" applyAlignment="1" applyProtection="1">
      <alignment horizontal="center" vertical="center"/>
      <protection locked="0"/>
    </xf>
    <xf numFmtId="0" fontId="52" fillId="37" borderId="32" xfId="84" quotePrefix="1" applyFont="1" applyFill="1" applyBorder="1" applyAlignment="1" applyProtection="1">
      <alignment horizontal="center" vertical="center"/>
    </xf>
    <xf numFmtId="0" fontId="52" fillId="37" borderId="33" xfId="84" quotePrefix="1" applyFont="1" applyFill="1" applyBorder="1" applyAlignment="1" applyProtection="1">
      <alignment horizontal="center" vertical="center"/>
    </xf>
    <xf numFmtId="0" fontId="52" fillId="37" borderId="38" xfId="84" quotePrefix="1" applyFont="1" applyFill="1" applyBorder="1" applyAlignment="1" applyProtection="1">
      <alignment horizontal="center" vertical="center"/>
    </xf>
    <xf numFmtId="0" fontId="52" fillId="37" borderId="35" xfId="84" quotePrefix="1" applyFont="1" applyFill="1" applyBorder="1" applyAlignment="1" applyProtection="1">
      <alignment horizontal="center" vertical="center"/>
    </xf>
    <xf numFmtId="0" fontId="52" fillId="37" borderId="36" xfId="84" quotePrefix="1" applyFont="1" applyFill="1" applyBorder="1" applyAlignment="1" applyProtection="1">
      <alignment horizontal="center" vertical="center"/>
    </xf>
    <xf numFmtId="0" fontId="52" fillId="37" borderId="39" xfId="84" quotePrefix="1" applyFont="1" applyFill="1" applyBorder="1" applyAlignment="1" applyProtection="1">
      <alignment horizontal="center" vertical="center"/>
    </xf>
    <xf numFmtId="189" fontId="143" fillId="45" borderId="62" xfId="0" applyNumberFormat="1" applyFont="1" applyFill="1" applyBorder="1" applyAlignment="1" applyProtection="1">
      <alignment horizontal="center" vertical="center"/>
      <protection locked="0"/>
    </xf>
    <xf numFmtId="189" fontId="143" fillId="45" borderId="63" xfId="0" applyNumberFormat="1" applyFont="1" applyFill="1" applyBorder="1" applyAlignment="1" applyProtection="1">
      <alignment horizontal="center" vertical="center"/>
      <protection locked="0"/>
    </xf>
    <xf numFmtId="189" fontId="143" fillId="45" borderId="62" xfId="0" quotePrefix="1" applyNumberFormat="1" applyFont="1" applyFill="1" applyBorder="1" applyAlignment="1" applyProtection="1">
      <alignment horizontal="center" vertical="center"/>
      <protection locked="0"/>
    </xf>
    <xf numFmtId="14" fontId="176" fillId="45" borderId="42" xfId="84" quotePrefix="1" applyNumberFormat="1" applyFont="1" applyFill="1" applyBorder="1" applyAlignment="1" applyProtection="1">
      <alignment horizontal="center" vertical="center"/>
      <protection locked="0"/>
    </xf>
    <xf numFmtId="14" fontId="176" fillId="45" borderId="60" xfId="84" applyNumberFormat="1" applyFont="1" applyFill="1" applyBorder="1" applyAlignment="1" applyProtection="1">
      <alignment horizontal="center" vertical="center"/>
      <protection locked="0"/>
    </xf>
    <xf numFmtId="14" fontId="176" fillId="45" borderId="58" xfId="84" applyNumberFormat="1" applyFont="1" applyFill="1" applyBorder="1" applyAlignment="1" applyProtection="1">
      <alignment horizontal="center" vertical="center"/>
      <protection locked="0"/>
    </xf>
    <xf numFmtId="14" fontId="176" fillId="45" borderId="15" xfId="84" applyNumberFormat="1" applyFont="1" applyFill="1" applyBorder="1" applyAlignment="1" applyProtection="1">
      <alignment horizontal="center" vertical="center"/>
      <protection locked="0"/>
    </xf>
    <xf numFmtId="0" fontId="50" fillId="12" borderId="42" xfId="84" quotePrefix="1" applyFont="1" applyFill="1" applyBorder="1" applyAlignment="1" applyProtection="1">
      <alignment horizontal="center" vertical="center"/>
    </xf>
    <xf numFmtId="0" fontId="50" fillId="12" borderId="43" xfId="84" quotePrefix="1" applyFont="1" applyFill="1" applyBorder="1" applyAlignment="1" applyProtection="1">
      <alignment horizontal="center" vertical="center"/>
    </xf>
    <xf numFmtId="0" fontId="50" fillId="12" borderId="44" xfId="84" quotePrefix="1" applyFont="1" applyFill="1" applyBorder="1" applyAlignment="1" applyProtection="1">
      <alignment horizontal="center" vertical="center"/>
    </xf>
    <xf numFmtId="0" fontId="50" fillId="12" borderId="45" xfId="84" quotePrefix="1" applyFont="1" applyFill="1" applyBorder="1" applyAlignment="1" applyProtection="1">
      <alignment horizontal="center" vertical="center"/>
    </xf>
    <xf numFmtId="0" fontId="50" fillId="12" borderId="40" xfId="84" quotePrefix="1" applyFont="1" applyFill="1" applyBorder="1" applyAlignment="1" applyProtection="1">
      <alignment horizontal="center" vertical="center"/>
    </xf>
    <xf numFmtId="0" fontId="50" fillId="12" borderId="41" xfId="84" quotePrefix="1" applyFont="1" applyFill="1" applyBorder="1" applyAlignment="1" applyProtection="1">
      <alignment horizontal="center" vertical="center"/>
    </xf>
    <xf numFmtId="0" fontId="59" fillId="35" borderId="32" xfId="84" applyFont="1" applyFill="1" applyBorder="1" applyAlignment="1" applyProtection="1">
      <alignment horizontal="center" vertical="center" wrapText="1"/>
    </xf>
    <xf numFmtId="0" fontId="59" fillId="35" borderId="33" xfId="84" applyFont="1" applyFill="1" applyBorder="1" applyAlignment="1" applyProtection="1">
      <alignment horizontal="center" vertical="center"/>
    </xf>
    <xf numFmtId="0" fontId="59" fillId="35" borderId="38" xfId="84" applyFont="1" applyFill="1" applyBorder="1" applyAlignment="1" applyProtection="1">
      <alignment horizontal="center" vertical="center"/>
    </xf>
    <xf numFmtId="0" fontId="59" fillId="35" borderId="35" xfId="84" applyFont="1" applyFill="1" applyBorder="1" applyAlignment="1" applyProtection="1">
      <alignment horizontal="center" vertical="center"/>
    </xf>
    <xf numFmtId="0" fontId="59" fillId="35" borderId="36" xfId="84" applyFont="1" applyFill="1" applyBorder="1" applyAlignment="1" applyProtection="1">
      <alignment horizontal="center" vertical="center"/>
    </xf>
    <xf numFmtId="0" fontId="59" fillId="35" borderId="39" xfId="84" applyFont="1" applyFill="1" applyBorder="1" applyAlignment="1" applyProtection="1">
      <alignment horizontal="center" vertical="center"/>
    </xf>
    <xf numFmtId="0" fontId="225" fillId="56" borderId="42" xfId="84" quotePrefix="1" applyFont="1" applyFill="1" applyBorder="1" applyAlignment="1" applyProtection="1">
      <alignment horizontal="center" vertical="center"/>
    </xf>
    <xf numFmtId="0" fontId="225" fillId="56" borderId="43" xfId="84" quotePrefix="1" applyFont="1" applyFill="1" applyBorder="1" applyAlignment="1" applyProtection="1">
      <alignment horizontal="center" vertical="center"/>
    </xf>
    <xf numFmtId="0" fontId="225" fillId="56" borderId="44" xfId="84" quotePrefix="1" applyFont="1" applyFill="1" applyBorder="1" applyAlignment="1" applyProtection="1">
      <alignment horizontal="center" vertical="center"/>
    </xf>
    <xf numFmtId="0" fontId="225" fillId="56" borderId="45" xfId="84" quotePrefix="1" applyFont="1" applyFill="1" applyBorder="1" applyAlignment="1" applyProtection="1">
      <alignment horizontal="center" vertical="center"/>
    </xf>
    <xf numFmtId="0" fontId="225" fillId="56" borderId="40" xfId="84" quotePrefix="1" applyFont="1" applyFill="1" applyBorder="1" applyAlignment="1" applyProtection="1">
      <alignment horizontal="center" vertical="center"/>
    </xf>
    <xf numFmtId="0" fontId="225" fillId="56" borderId="41" xfId="84" quotePrefix="1" applyFont="1" applyFill="1" applyBorder="1" applyAlignment="1" applyProtection="1">
      <alignment horizontal="center" vertical="center"/>
    </xf>
    <xf numFmtId="0" fontId="14" fillId="12" borderId="42" xfId="84" quotePrefix="1" applyFont="1" applyFill="1" applyBorder="1" applyAlignment="1" applyProtection="1">
      <alignment horizontal="center" vertical="center"/>
    </xf>
    <xf numFmtId="0" fontId="14" fillId="12" borderId="43" xfId="84" quotePrefix="1" applyFont="1" applyFill="1" applyBorder="1" applyAlignment="1" applyProtection="1">
      <alignment horizontal="center" vertical="center"/>
    </xf>
    <xf numFmtId="0" fontId="14" fillId="12" borderId="44" xfId="84" quotePrefix="1" applyFont="1" applyFill="1" applyBorder="1" applyAlignment="1" applyProtection="1">
      <alignment horizontal="center" vertical="center"/>
    </xf>
    <xf numFmtId="0" fontId="14" fillId="12" borderId="45" xfId="84" quotePrefix="1" applyFont="1" applyFill="1" applyBorder="1" applyAlignment="1" applyProtection="1">
      <alignment horizontal="center" vertical="center"/>
    </xf>
    <xf numFmtId="0" fontId="14" fillId="12" borderId="40" xfId="84" quotePrefix="1" applyFont="1" applyFill="1" applyBorder="1" applyAlignment="1" applyProtection="1">
      <alignment horizontal="center" vertical="center"/>
    </xf>
    <xf numFmtId="0" fontId="14" fillId="12" borderId="41" xfId="84" quotePrefix="1" applyFont="1" applyFill="1" applyBorder="1" applyAlignment="1" applyProtection="1">
      <alignment horizontal="center" vertical="center"/>
    </xf>
    <xf numFmtId="189" fontId="98" fillId="35" borderId="62" xfId="84" quotePrefix="1" applyNumberFormat="1" applyFont="1" applyFill="1" applyBorder="1" applyAlignment="1" applyProtection="1">
      <alignment horizontal="center" vertical="center"/>
      <protection locked="0"/>
    </xf>
    <xf numFmtId="189" fontId="98" fillId="35" borderId="63" xfId="84" applyNumberFormat="1" applyFont="1" applyFill="1" applyBorder="1" applyAlignment="1" applyProtection="1">
      <alignment horizontal="center" vertical="center"/>
      <protection locked="0"/>
    </xf>
    <xf numFmtId="0" fontId="143" fillId="35" borderId="115" xfId="0" applyFont="1" applyFill="1" applyBorder="1" applyAlignment="1">
      <alignment horizontal="center" vertical="center"/>
    </xf>
    <xf numFmtId="0" fontId="143" fillId="35" borderId="116" xfId="0" applyFont="1" applyFill="1" applyBorder="1" applyAlignment="1">
      <alignment horizontal="center" vertical="center"/>
    </xf>
    <xf numFmtId="0" fontId="50" fillId="35" borderId="64" xfId="0" applyFont="1" applyFill="1" applyBorder="1" applyAlignment="1">
      <alignment horizontal="left" vertical="center" wrapText="1"/>
    </xf>
    <xf numFmtId="0" fontId="50" fillId="35" borderId="0" xfId="0" applyFont="1" applyFill="1" applyBorder="1" applyAlignment="1">
      <alignment horizontal="left" vertical="center" wrapText="1"/>
    </xf>
    <xf numFmtId="189" fontId="143" fillId="35" borderId="42" xfId="0" applyNumberFormat="1" applyFont="1" applyFill="1" applyBorder="1" applyAlignment="1" applyProtection="1">
      <alignment horizontal="center" vertical="center" wrapText="1"/>
      <protection locked="0"/>
    </xf>
    <xf numFmtId="189" fontId="143" fillId="35" borderId="43" xfId="0" applyNumberFormat="1" applyFont="1" applyFill="1" applyBorder="1" applyAlignment="1" applyProtection="1">
      <alignment horizontal="center" vertical="center" wrapText="1"/>
      <protection locked="0"/>
    </xf>
    <xf numFmtId="189" fontId="143" fillId="35" borderId="44" xfId="0" applyNumberFormat="1" applyFont="1" applyFill="1" applyBorder="1" applyAlignment="1" applyProtection="1">
      <alignment horizontal="center" vertical="center" wrapText="1"/>
      <protection locked="0"/>
    </xf>
    <xf numFmtId="189" fontId="143" fillId="35" borderId="58" xfId="0" applyNumberFormat="1" applyFont="1" applyFill="1" applyBorder="1" applyAlignment="1" applyProtection="1">
      <alignment horizontal="center" vertical="center" wrapText="1"/>
      <protection locked="0"/>
    </xf>
    <xf numFmtId="189" fontId="143" fillId="35" borderId="69" xfId="0" applyNumberFormat="1" applyFont="1" applyFill="1" applyBorder="1" applyAlignment="1" applyProtection="1">
      <alignment horizontal="center" vertical="center" wrapText="1"/>
      <protection locked="0"/>
    </xf>
    <xf numFmtId="189" fontId="143" fillId="35" borderId="59" xfId="0" applyNumberFormat="1" applyFont="1" applyFill="1" applyBorder="1" applyAlignment="1" applyProtection="1">
      <alignment horizontal="center" vertical="center" wrapText="1"/>
      <protection locked="0"/>
    </xf>
    <xf numFmtId="14" fontId="165" fillId="35" borderId="42" xfId="84" quotePrefix="1" applyNumberFormat="1" applyFont="1" applyFill="1" applyBorder="1" applyAlignment="1" applyProtection="1">
      <alignment horizontal="center" vertical="center"/>
      <protection locked="0"/>
    </xf>
    <xf numFmtId="14" fontId="165" fillId="35" borderId="44" xfId="84" applyNumberFormat="1" applyFont="1" applyFill="1" applyBorder="1" applyAlignment="1" applyProtection="1">
      <alignment horizontal="center" vertical="center"/>
      <protection locked="0"/>
    </xf>
    <xf numFmtId="14" fontId="165" fillId="35" borderId="58" xfId="84" applyNumberFormat="1" applyFont="1" applyFill="1" applyBorder="1" applyAlignment="1" applyProtection="1">
      <alignment horizontal="center" vertical="center"/>
      <protection locked="0"/>
    </xf>
    <xf numFmtId="14" fontId="165" fillId="35" borderId="59" xfId="84" applyNumberFormat="1" applyFont="1" applyFill="1" applyBorder="1" applyAlignment="1" applyProtection="1">
      <alignment horizontal="center" vertical="center"/>
      <protection locked="0"/>
    </xf>
    <xf numFmtId="14" fontId="98" fillId="35" borderId="42" xfId="0" quotePrefix="1" applyNumberFormat="1" applyFont="1" applyFill="1" applyBorder="1" applyAlignment="1" applyProtection="1">
      <alignment horizontal="center" vertical="center"/>
      <protection locked="0"/>
    </xf>
    <xf numFmtId="14" fontId="98" fillId="35" borderId="44" xfId="0" applyNumberFormat="1" applyFont="1" applyFill="1" applyBorder="1" applyAlignment="1" applyProtection="1">
      <alignment horizontal="center" vertical="center"/>
      <protection locked="0"/>
    </xf>
    <xf numFmtId="14" fontId="98" fillId="35" borderId="58" xfId="0" applyNumberFormat="1" applyFont="1" applyFill="1" applyBorder="1" applyAlignment="1" applyProtection="1">
      <alignment horizontal="center" vertical="center"/>
      <protection locked="0"/>
    </xf>
    <xf numFmtId="14" fontId="98" fillId="35" borderId="59" xfId="0" applyNumberFormat="1" applyFont="1" applyFill="1" applyBorder="1" applyAlignment="1" applyProtection="1">
      <alignment horizontal="center" vertical="center"/>
      <protection locked="0"/>
    </xf>
    <xf numFmtId="0" fontId="50" fillId="8" borderId="32" xfId="84" applyFont="1" applyFill="1" applyBorder="1" applyAlignment="1" applyProtection="1">
      <alignment horizontal="center" vertical="center"/>
    </xf>
    <xf numFmtId="0" fontId="50" fillId="10" borderId="32" xfId="84" applyFont="1" applyFill="1" applyBorder="1" applyAlignment="1" applyProtection="1">
      <alignment horizontal="center" vertical="center"/>
    </xf>
    <xf numFmtId="0" fontId="50" fillId="10" borderId="33" xfId="84" applyFont="1" applyFill="1" applyBorder="1" applyAlignment="1" applyProtection="1">
      <alignment horizontal="center" vertical="center"/>
    </xf>
    <xf numFmtId="0" fontId="50" fillId="10" borderId="38" xfId="84" applyFont="1" applyFill="1" applyBorder="1" applyAlignment="1" applyProtection="1">
      <alignment horizontal="center" vertical="center"/>
    </xf>
    <xf numFmtId="0" fontId="50" fillId="10" borderId="35" xfId="84" applyFont="1" applyFill="1" applyBorder="1" applyAlignment="1" applyProtection="1">
      <alignment horizontal="center" vertical="center"/>
    </xf>
    <xf numFmtId="0" fontId="50" fillId="10" borderId="36" xfId="84" applyFont="1" applyFill="1" applyBorder="1" applyAlignment="1" applyProtection="1">
      <alignment horizontal="center" vertical="center"/>
    </xf>
    <xf numFmtId="0" fontId="50" fillId="10" borderId="39" xfId="84" applyFont="1" applyFill="1" applyBorder="1" applyAlignment="1" applyProtection="1">
      <alignment horizontal="center" vertical="center"/>
    </xf>
    <xf numFmtId="0" fontId="50" fillId="5" borderId="32" xfId="84" quotePrefix="1" applyFont="1" applyFill="1" applyBorder="1" applyAlignment="1" applyProtection="1">
      <alignment horizontal="center" vertical="center"/>
    </xf>
    <xf numFmtId="0" fontId="50" fillId="5" borderId="33" xfId="84" applyFont="1" applyFill="1" applyBorder="1" applyAlignment="1" applyProtection="1">
      <alignment horizontal="center" vertical="center"/>
    </xf>
    <xf numFmtId="0" fontId="50" fillId="5" borderId="38" xfId="84" applyFont="1" applyFill="1" applyBorder="1" applyAlignment="1" applyProtection="1">
      <alignment horizontal="center" vertical="center"/>
    </xf>
    <xf numFmtId="0" fontId="50" fillId="5" borderId="35" xfId="84" applyFont="1" applyFill="1" applyBorder="1" applyAlignment="1" applyProtection="1">
      <alignment horizontal="center" vertical="center"/>
    </xf>
    <xf numFmtId="0" fontId="50" fillId="5" borderId="36" xfId="84" applyFont="1" applyFill="1" applyBorder="1" applyAlignment="1" applyProtection="1">
      <alignment horizontal="center" vertical="center"/>
    </xf>
    <xf numFmtId="0" fontId="50" fillId="5" borderId="39" xfId="84" applyFont="1" applyFill="1" applyBorder="1" applyAlignment="1" applyProtection="1">
      <alignment horizontal="center" vertical="center"/>
    </xf>
    <xf numFmtId="0" fontId="38" fillId="35" borderId="1" xfId="0" applyFont="1" applyFill="1" applyBorder="1" applyAlignment="1">
      <alignment horizontal="center" vertical="center"/>
    </xf>
    <xf numFmtId="0" fontId="51" fillId="35" borderId="5" xfId="0" applyFont="1" applyFill="1" applyBorder="1" applyAlignment="1">
      <alignment horizontal="center" vertical="top" wrapText="1"/>
    </xf>
    <xf numFmtId="0" fontId="51" fillId="35" borderId="9" xfId="0" applyFont="1" applyFill="1" applyBorder="1" applyAlignment="1">
      <alignment horizontal="center" vertical="top"/>
    </xf>
    <xf numFmtId="0" fontId="51" fillId="35" borderId="6" xfId="0" applyFont="1" applyFill="1" applyBorder="1" applyAlignment="1">
      <alignment horizontal="center" vertical="top"/>
    </xf>
    <xf numFmtId="0" fontId="244" fillId="35" borderId="0" xfId="0" applyFont="1" applyFill="1" applyBorder="1" applyAlignment="1">
      <alignment horizontal="center" vertical="center"/>
    </xf>
    <xf numFmtId="0" fontId="244" fillId="35" borderId="69" xfId="0" applyFont="1" applyFill="1" applyBorder="1" applyAlignment="1">
      <alignment horizontal="center" vertical="center"/>
    </xf>
    <xf numFmtId="0" fontId="51" fillId="35" borderId="1" xfId="0" applyFont="1" applyFill="1" applyBorder="1" applyAlignment="1">
      <alignment horizontal="center" vertical="center"/>
    </xf>
    <xf numFmtId="0" fontId="24" fillId="6" borderId="0" xfId="0" applyFont="1" applyFill="1" applyAlignment="1">
      <alignment horizontal="center" vertical="center" wrapText="1"/>
    </xf>
    <xf numFmtId="177" fontId="50" fillId="0" borderId="100" xfId="1" applyNumberFormat="1" applyFont="1" applyFill="1" applyBorder="1" applyAlignment="1" applyProtection="1">
      <alignment horizontal="center" vertical="center"/>
    </xf>
    <xf numFmtId="177" fontId="50" fillId="0" borderId="46" xfId="1" applyNumberFormat="1" applyFont="1" applyFill="1" applyBorder="1" applyAlignment="1" applyProtection="1">
      <alignment horizontal="center" vertical="center"/>
    </xf>
    <xf numFmtId="177" fontId="38" fillId="0" borderId="100" xfId="0" applyNumberFormat="1" applyFont="1" applyFill="1" applyBorder="1" applyAlignment="1" applyProtection="1">
      <alignment horizontal="center" vertical="center" wrapText="1"/>
      <protection locked="0"/>
    </xf>
    <xf numFmtId="177" fontId="38" fillId="0" borderId="46" xfId="0" applyNumberFormat="1" applyFont="1" applyFill="1" applyBorder="1" applyAlignment="1" applyProtection="1">
      <alignment horizontal="center" vertical="center" wrapText="1"/>
      <protection locked="0"/>
    </xf>
    <xf numFmtId="177" fontId="38" fillId="0" borderId="101" xfId="0" applyNumberFormat="1" applyFont="1" applyFill="1" applyBorder="1" applyAlignment="1" applyProtection="1">
      <alignment horizontal="center" vertical="center" wrapText="1"/>
      <protection locked="0"/>
    </xf>
    <xf numFmtId="177" fontId="38" fillId="0" borderId="108"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xf>
    <xf numFmtId="177" fontId="38" fillId="0" borderId="110" xfId="0" applyNumberFormat="1" applyFont="1" applyFill="1" applyBorder="1" applyAlignment="1" applyProtection="1">
      <alignment horizontal="center" vertical="center" wrapText="1"/>
    </xf>
    <xf numFmtId="177" fontId="50" fillId="0" borderId="101" xfId="1" applyNumberFormat="1" applyFont="1" applyFill="1" applyBorder="1" applyAlignment="1" applyProtection="1">
      <alignment horizontal="center" vertical="center"/>
    </xf>
    <xf numFmtId="177" fontId="50" fillId="0" borderId="110" xfId="1" applyNumberFormat="1" applyFont="1" applyFill="1" applyBorder="1" applyAlignment="1" applyProtection="1">
      <alignment horizontal="center" vertical="center"/>
    </xf>
    <xf numFmtId="177" fontId="50" fillId="0" borderId="108" xfId="1"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6" xfId="0" applyFont="1" applyFill="1" applyBorder="1" applyAlignment="1" applyProtection="1">
      <alignment horizontal="center" vertical="center" wrapText="1"/>
      <protection locked="0"/>
    </xf>
    <xf numFmtId="43" fontId="38" fillId="52" borderId="100" xfId="0" applyNumberFormat="1" applyFont="1" applyFill="1" applyBorder="1" applyAlignment="1" applyProtection="1">
      <alignment horizontal="center" vertical="center" wrapText="1"/>
      <protection locked="0"/>
    </xf>
    <xf numFmtId="43" fontId="38" fillId="52" borderId="46" xfId="0" applyNumberFormat="1" applyFont="1" applyFill="1" applyBorder="1" applyAlignment="1" applyProtection="1">
      <alignment horizontal="center" vertical="center" wrapText="1"/>
      <protection locked="0"/>
    </xf>
    <xf numFmtId="43" fontId="38" fillId="52" borderId="101" xfId="0" applyNumberFormat="1" applyFont="1" applyFill="1" applyBorder="1" applyAlignment="1" applyProtection="1">
      <alignment horizontal="center" vertical="center" wrapText="1"/>
      <protection locked="0"/>
    </xf>
    <xf numFmtId="0" fontId="38" fillId="0" borderId="101" xfId="0"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protection locked="0"/>
    </xf>
    <xf numFmtId="0" fontId="38" fillId="0" borderId="46" xfId="0" applyFont="1" applyFill="1" applyBorder="1" applyAlignment="1" applyProtection="1">
      <alignment horizontal="center" vertical="center" wrapText="1"/>
      <protection locked="0"/>
    </xf>
    <xf numFmtId="41" fontId="38" fillId="0" borderId="101" xfId="0" applyNumberFormat="1" applyFont="1" applyFill="1" applyBorder="1" applyAlignment="1" applyProtection="1">
      <alignment horizontal="center" vertical="center" wrapText="1"/>
      <protection locked="0"/>
    </xf>
    <xf numFmtId="41" fontId="38" fillId="0" borderId="100" xfId="0" applyNumberFormat="1" applyFont="1" applyFill="1" applyBorder="1" applyAlignment="1" applyProtection="1">
      <alignment horizontal="center" vertical="center" wrapText="1"/>
      <protection locked="0"/>
    </xf>
    <xf numFmtId="41" fontId="38" fillId="0" borderId="46" xfId="0" applyNumberFormat="1" applyFont="1" applyFill="1" applyBorder="1" applyAlignment="1" applyProtection="1">
      <alignment horizontal="center" vertical="center" wrapText="1"/>
      <protection locked="0"/>
    </xf>
    <xf numFmtId="0" fontId="98" fillId="0" borderId="3" xfId="0" applyFont="1" applyFill="1" applyBorder="1" applyAlignment="1" applyProtection="1">
      <alignment horizontal="center" vertical="center" wrapText="1"/>
    </xf>
    <xf numFmtId="0" fontId="98" fillId="0" borderId="10" xfId="0" applyFont="1" applyFill="1" applyBorder="1" applyAlignment="1" applyProtection="1">
      <alignment horizontal="center" vertical="center" wrapText="1"/>
    </xf>
    <xf numFmtId="177" fontId="38" fillId="0" borderId="101" xfId="0" applyNumberFormat="1" applyFont="1" applyFill="1" applyBorder="1" applyAlignment="1" applyProtection="1">
      <alignment horizontal="center" vertical="center" wrapText="1"/>
    </xf>
    <xf numFmtId="177" fontId="38" fillId="0" borderId="100" xfId="0" applyNumberFormat="1" applyFont="1" applyFill="1" applyBorder="1" applyAlignment="1" applyProtection="1">
      <alignment horizontal="center" vertical="center" wrapText="1"/>
    </xf>
    <xf numFmtId="177" fontId="38" fillId="0" borderId="108" xfId="0" applyNumberFormat="1" applyFont="1" applyFill="1" applyBorder="1" applyAlignment="1" applyProtection="1">
      <alignment horizontal="center" vertical="center" wrapText="1"/>
    </xf>
    <xf numFmtId="0" fontId="38" fillId="0" borderId="127" xfId="0" applyFont="1" applyFill="1" applyBorder="1" applyAlignment="1" applyProtection="1">
      <alignment horizontal="center" vertical="center" wrapText="1"/>
    </xf>
    <xf numFmtId="0" fontId="38" fillId="0" borderId="128"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20" fontId="68" fillId="0" borderId="77" xfId="0" applyNumberFormat="1" applyFont="1" applyFill="1" applyBorder="1" applyAlignment="1" applyProtection="1">
      <alignment horizontal="center" vertical="center" wrapText="1"/>
    </xf>
    <xf numFmtId="0" fontId="68" fillId="0" borderId="78" xfId="0" applyFont="1" applyFill="1" applyBorder="1" applyAlignment="1" applyProtection="1">
      <alignment horizontal="center" vertical="center" wrapText="1"/>
    </xf>
    <xf numFmtId="0" fontId="68" fillId="0" borderId="79" xfId="0" applyFont="1" applyFill="1" applyBorder="1" applyAlignment="1" applyProtection="1">
      <alignment horizontal="center" vertical="center" wrapText="1"/>
    </xf>
    <xf numFmtId="0" fontId="68" fillId="0" borderId="81" xfId="0" applyFont="1" applyFill="1" applyBorder="1" applyAlignment="1" applyProtection="1">
      <alignment horizontal="center" vertical="center"/>
    </xf>
    <xf numFmtId="0" fontId="68" fillId="0" borderId="82" xfId="0" applyFont="1" applyFill="1" applyBorder="1" applyAlignment="1" applyProtection="1">
      <alignment horizontal="center" vertical="center"/>
    </xf>
    <xf numFmtId="0" fontId="68" fillId="0" borderId="1" xfId="8"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protection locked="0"/>
    </xf>
    <xf numFmtId="0" fontId="24" fillId="0" borderId="5"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60" fillId="0" borderId="0" xfId="8" applyFont="1" applyFill="1" applyBorder="1" applyAlignment="1" applyProtection="1">
      <alignment horizontal="center" vertical="center" wrapText="1"/>
    </xf>
    <xf numFmtId="0" fontId="60" fillId="0" borderId="16" xfId="8" applyFont="1" applyFill="1" applyBorder="1" applyAlignment="1" applyProtection="1">
      <alignment horizontal="center" vertical="center" wrapText="1"/>
    </xf>
    <xf numFmtId="177" fontId="50" fillId="0" borderId="1" xfId="1"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55" fillId="0" borderId="9" xfId="8" applyFont="1" applyFill="1" applyBorder="1" applyAlignment="1" applyProtection="1">
      <alignment horizontal="center" vertical="center" wrapText="1"/>
    </xf>
    <xf numFmtId="0" fontId="55" fillId="0" borderId="6" xfId="8"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55" fillId="0" borderId="6" xfId="0"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0" fillId="0" borderId="6" xfId="0" applyFont="1" applyFill="1" applyBorder="1" applyAlignment="1" applyProtection="1">
      <alignment horizontal="center" vertical="center" wrapText="1"/>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12"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5"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xf>
    <xf numFmtId="0" fontId="55" fillId="0" borderId="13" xfId="0" applyFont="1" applyFill="1" applyBorder="1" applyAlignment="1" applyProtection="1">
      <alignment horizontal="center" vertical="center" wrapText="1"/>
    </xf>
    <xf numFmtId="0" fontId="55" fillId="0" borderId="8"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wrapText="1"/>
    </xf>
    <xf numFmtId="0" fontId="55" fillId="0" borderId="4" xfId="0" applyFont="1" applyFill="1" applyBorder="1" applyAlignment="1" applyProtection="1">
      <alignment horizontal="center" vertical="center" wrapText="1"/>
    </xf>
    <xf numFmtId="0" fontId="55" fillId="0" borderId="7" xfId="0" applyFont="1" applyFill="1" applyBorder="1" applyAlignment="1" applyProtection="1">
      <alignment horizontal="center" vertical="center" wrapText="1"/>
    </xf>
    <xf numFmtId="0" fontId="55" fillId="0" borderId="15"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xf>
    <xf numFmtId="0" fontId="55" fillId="0" borderId="11" xfId="0" applyFont="1" applyFill="1" applyBorder="1" applyAlignment="1" applyProtection="1">
      <alignment horizontal="center" vertical="center"/>
    </xf>
    <xf numFmtId="0" fontId="55" fillId="0" borderId="16" xfId="0" applyFont="1" applyFill="1" applyBorder="1" applyAlignment="1" applyProtection="1">
      <alignment horizontal="center" vertical="center"/>
    </xf>
    <xf numFmtId="0" fontId="55" fillId="0" borderId="4" xfId="0" applyFont="1" applyFill="1" applyBorder="1" applyAlignment="1" applyProtection="1">
      <alignment horizontal="center" vertical="center"/>
    </xf>
    <xf numFmtId="0" fontId="55" fillId="0" borderId="15" xfId="0" applyFont="1" applyFill="1" applyBorder="1" applyAlignment="1" applyProtection="1">
      <alignment horizontal="center" vertical="center"/>
    </xf>
    <xf numFmtId="0" fontId="55" fillId="0" borderId="1" xfId="0" applyFont="1" applyFill="1" applyBorder="1" applyAlignment="1" applyProtection="1">
      <alignment horizontal="center" vertical="center" wrapText="1"/>
    </xf>
    <xf numFmtId="0" fontId="55" fillId="0" borderId="1" xfId="0" applyFont="1" applyFill="1" applyBorder="1" applyAlignment="1" applyProtection="1">
      <alignment horizontal="center" vertical="center"/>
    </xf>
    <xf numFmtId="0" fontId="55" fillId="0" borderId="5" xfId="0" applyFont="1" applyFill="1" applyBorder="1" applyAlignment="1" applyProtection="1">
      <alignment horizontal="center" vertical="center"/>
    </xf>
    <xf numFmtId="0" fontId="55" fillId="0" borderId="6" xfId="0" applyFont="1" applyFill="1" applyBorder="1" applyAlignment="1" applyProtection="1">
      <alignment horizontal="center" vertical="center"/>
    </xf>
    <xf numFmtId="14" fontId="141" fillId="50" borderId="7" xfId="8" applyNumberFormat="1" applyFont="1" applyFill="1" applyBorder="1" applyAlignment="1" applyProtection="1">
      <alignment horizontal="center" vertical="center" wrapText="1"/>
      <protection locked="0"/>
    </xf>
    <xf numFmtId="181" fontId="40" fillId="0" borderId="69" xfId="8" applyNumberFormat="1" applyFont="1" applyFill="1" applyBorder="1" applyAlignment="1" applyProtection="1">
      <alignment horizontal="left" vertical="center" wrapText="1"/>
    </xf>
    <xf numFmtId="0" fontId="40" fillId="0" borderId="69" xfId="8" applyFont="1" applyFill="1" applyBorder="1" applyAlignment="1" applyProtection="1">
      <alignment horizontal="left" vertical="center" wrapText="1"/>
    </xf>
    <xf numFmtId="20" fontId="24" fillId="0" borderId="5" xfId="0" quotePrefix="1"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6" xfId="0" applyFont="1" applyFill="1" applyBorder="1" applyAlignment="1" applyProtection="1">
      <alignment horizontal="center" vertical="center" wrapText="1"/>
    </xf>
    <xf numFmtId="20" fontId="52" fillId="0" borderId="5" xfId="0" quotePrefix="1" applyNumberFormat="1"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xf>
    <xf numFmtId="0" fontId="24" fillId="0" borderId="8" xfId="0" applyFont="1" applyFill="1" applyBorder="1" applyAlignment="1" applyProtection="1">
      <alignment horizontal="center" vertical="center"/>
    </xf>
    <xf numFmtId="0" fontId="24" fillId="0" borderId="12" xfId="0" applyFont="1" applyFill="1" applyBorder="1" applyAlignment="1" applyProtection="1">
      <alignment horizontal="center" vertical="center"/>
    </xf>
    <xf numFmtId="0" fontId="52" fillId="0" borderId="13" xfId="0" applyFont="1" applyFill="1" applyBorder="1" applyAlignment="1" applyProtection="1">
      <alignment horizontal="center" vertical="center"/>
    </xf>
    <xf numFmtId="0" fontId="52" fillId="0" borderId="8" xfId="0" applyFont="1" applyFill="1" applyBorder="1" applyAlignment="1" applyProtection="1">
      <alignment horizontal="center" vertical="center"/>
    </xf>
    <xf numFmtId="0" fontId="52" fillId="0" borderId="12" xfId="0" applyFont="1" applyFill="1" applyBorder="1" applyAlignment="1" applyProtection="1">
      <alignment horizontal="center" vertical="center"/>
    </xf>
    <xf numFmtId="0" fontId="24" fillId="0" borderId="9" xfId="8" applyFont="1" applyFill="1" applyBorder="1" applyAlignment="1" applyProtection="1">
      <alignment horizontal="center" vertical="center" wrapText="1"/>
    </xf>
    <xf numFmtId="0" fontId="55" fillId="0" borderId="1" xfId="8" applyFont="1" applyFill="1" applyBorder="1" applyAlignment="1" applyProtection="1">
      <alignment horizontal="center" vertical="center" wrapText="1"/>
    </xf>
    <xf numFmtId="0" fontId="52" fillId="0" borderId="3" xfId="8" applyFont="1" applyFill="1" applyBorder="1" applyAlignment="1" applyProtection="1">
      <alignment horizontal="center" vertical="center"/>
    </xf>
    <xf numFmtId="0" fontId="52" fillId="0" borderId="10" xfId="8" applyFont="1" applyFill="1" applyBorder="1" applyAlignment="1" applyProtection="1">
      <alignment horizontal="center" vertical="center"/>
    </xf>
    <xf numFmtId="0" fontId="52" fillId="0" borderId="2" xfId="8" applyFont="1" applyFill="1" applyBorder="1" applyAlignment="1" applyProtection="1">
      <alignment horizontal="center" vertical="center"/>
    </xf>
    <xf numFmtId="0" fontId="52" fillId="0" borderId="127" xfId="0" applyNumberFormat="1" applyFont="1" applyFill="1" applyBorder="1" applyAlignment="1" applyProtection="1">
      <alignment horizontal="center" vertical="center" wrapText="1"/>
    </xf>
    <xf numFmtId="0" fontId="52" fillId="0" borderId="128"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xf>
    <xf numFmtId="0" fontId="50" fillId="0" borderId="6"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59" fillId="0" borderId="0" xfId="0" applyFont="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5" fillId="0" borderId="5" xfId="8" applyFont="1" applyFill="1" applyBorder="1" applyAlignment="1" applyProtection="1">
      <alignment horizontal="center" vertical="center" wrapText="1"/>
    </xf>
    <xf numFmtId="0" fontId="14" fillId="0" borderId="5" xfId="8" applyFont="1" applyFill="1" applyBorder="1" applyAlignment="1" applyProtection="1">
      <alignment horizontal="center" vertical="center" wrapText="1"/>
    </xf>
    <xf numFmtId="0" fontId="14" fillId="0" borderId="9" xfId="8" applyFont="1" applyFill="1" applyBorder="1" applyAlignment="1" applyProtection="1">
      <alignment horizontal="center" vertical="center" wrapText="1"/>
    </xf>
    <xf numFmtId="0" fontId="14" fillId="0" borderId="6" xfId="8" applyFont="1" applyFill="1" applyBorder="1" applyAlignment="1" applyProtection="1">
      <alignment horizontal="center" vertical="center" wrapText="1"/>
    </xf>
    <xf numFmtId="177" fontId="50" fillId="0" borderId="6" xfId="1" applyNumberFormat="1" applyFont="1" applyFill="1" applyBorder="1" applyAlignment="1" applyProtection="1">
      <alignment horizontal="center" vertical="center"/>
    </xf>
    <xf numFmtId="0" fontId="24" fillId="0" borderId="0" xfId="8" applyFont="1" applyFill="1" applyBorder="1" applyAlignment="1" applyProtection="1">
      <alignment horizontal="center" vertical="center" wrapText="1"/>
    </xf>
    <xf numFmtId="0" fontId="24" fillId="0" borderId="8" xfId="8" applyFont="1" applyFill="1" applyBorder="1" applyAlignment="1" applyProtection="1">
      <alignment horizontal="center" vertical="center" wrapText="1"/>
    </xf>
    <xf numFmtId="20" fontId="24" fillId="0" borderId="9" xfId="0" quotePrefix="1" applyNumberFormat="1" applyFont="1" applyFill="1" applyBorder="1" applyAlignment="1" applyProtection="1">
      <alignment horizontal="center" vertical="center" wrapText="1"/>
    </xf>
    <xf numFmtId="0" fontId="24" fillId="0" borderId="13"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xf>
    <xf numFmtId="0" fontId="62" fillId="0" borderId="1" xfId="0" applyFont="1" applyFill="1" applyBorder="1" applyAlignment="1" applyProtection="1">
      <alignment horizontal="center" vertical="center" wrapText="1"/>
    </xf>
    <xf numFmtId="0" fontId="62" fillId="0" borderId="86" xfId="0"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protection locked="0"/>
    </xf>
    <xf numFmtId="0" fontId="52" fillId="0" borderId="6" xfId="0" applyFont="1" applyFill="1" applyBorder="1" applyAlignment="1" applyProtection="1">
      <alignment horizontal="center" vertical="center" wrapText="1"/>
      <protection locked="0"/>
    </xf>
    <xf numFmtId="0" fontId="52" fillId="0" borderId="5" xfId="0" applyFont="1" applyFill="1" applyBorder="1" applyAlignment="1" applyProtection="1">
      <alignment horizontal="center" vertical="center" wrapText="1"/>
      <protection locked="0"/>
    </xf>
    <xf numFmtId="0" fontId="50" fillId="0" borderId="3" xfId="0" applyFont="1" applyFill="1" applyBorder="1" applyAlignment="1" applyProtection="1">
      <alignment horizontal="center" vertical="center"/>
    </xf>
    <xf numFmtId="0" fontId="50" fillId="0" borderId="10" xfId="0" applyFont="1" applyFill="1" applyBorder="1" applyAlignment="1" applyProtection="1">
      <alignment horizontal="center" vertical="center"/>
    </xf>
    <xf numFmtId="0" fontId="59" fillId="0" borderId="0" xfId="0" applyFont="1" applyFill="1" applyAlignment="1" applyProtection="1">
      <alignment horizontal="center" vertical="center" wrapText="1"/>
    </xf>
    <xf numFmtId="0" fontId="52" fillId="0" borderId="0"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protection locked="0"/>
    </xf>
    <xf numFmtId="20" fontId="52" fillId="0" borderId="9" xfId="0" quotePrefix="1" applyNumberFormat="1" applyFont="1" applyFill="1" applyBorder="1" applyAlignment="1" applyProtection="1">
      <alignment horizontal="center" vertical="center" wrapText="1"/>
    </xf>
    <xf numFmtId="20" fontId="52" fillId="0" borderId="1" xfId="0" quotePrefix="1" applyNumberFormat="1" applyFont="1" applyFill="1" applyBorder="1" applyAlignment="1" applyProtection="1">
      <alignment horizontal="center" vertical="center" wrapText="1"/>
    </xf>
    <xf numFmtId="0" fontId="55" fillId="0" borderId="61" xfId="0" applyFont="1" applyFill="1" applyBorder="1" applyAlignment="1" applyProtection="1">
      <alignment horizontal="center" vertical="center"/>
    </xf>
    <xf numFmtId="0" fontId="50" fillId="0" borderId="2" xfId="0" applyFont="1" applyFill="1" applyBorder="1" applyAlignment="1" applyProtection="1">
      <alignment horizontal="center" vertical="center"/>
    </xf>
    <xf numFmtId="0" fontId="50" fillId="0" borderId="5" xfId="0" applyFont="1" applyFill="1" applyBorder="1" applyAlignment="1">
      <alignment horizontal="center" vertical="center" wrapText="1"/>
    </xf>
    <xf numFmtId="0" fontId="50" fillId="0" borderId="9"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62" fillId="0" borderId="5" xfId="0" applyFont="1" applyFill="1" applyBorder="1" applyAlignment="1" applyProtection="1">
      <alignment horizontal="center" vertical="center" wrapText="1"/>
    </xf>
    <xf numFmtId="0" fontId="62" fillId="0" borderId="9" xfId="0" applyFont="1" applyFill="1" applyBorder="1" applyAlignment="1" applyProtection="1">
      <alignment horizontal="center" vertical="center" wrapText="1"/>
    </xf>
    <xf numFmtId="0" fontId="62" fillId="0" borderId="6" xfId="0"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2" xfId="8" applyFont="1" applyFill="1" applyBorder="1" applyAlignment="1" applyProtection="1">
      <alignment horizontal="center" vertical="center" wrapText="1"/>
    </xf>
    <xf numFmtId="0" fontId="62" fillId="0" borderId="3" xfId="0" applyFont="1" applyFill="1" applyBorder="1" applyAlignment="1" applyProtection="1">
      <alignment horizontal="center" vertical="center" wrapText="1"/>
    </xf>
    <xf numFmtId="177" fontId="50" fillId="0" borderId="5" xfId="1" applyNumberFormat="1" applyFont="1" applyFill="1" applyBorder="1" applyAlignment="1" applyProtection="1">
      <alignment horizontal="center" vertical="center"/>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41" fontId="38" fillId="0" borderId="6" xfId="0" applyNumberFormat="1" applyFont="1" applyFill="1" applyBorder="1" applyAlignment="1" applyProtection="1">
      <alignment horizontal="center" vertical="center" wrapText="1"/>
      <protection locked="0"/>
    </xf>
    <xf numFmtId="41" fontId="38" fillId="0" borderId="1" xfId="0" applyNumberFormat="1" applyFont="1" applyFill="1" applyBorder="1" applyAlignment="1" applyProtection="1">
      <alignment horizontal="center" vertical="center" wrapText="1"/>
      <protection locked="0"/>
    </xf>
    <xf numFmtId="0" fontId="63" fillId="0" borderId="0" xfId="0" applyFont="1" applyAlignment="1" applyProtection="1">
      <alignment horizontal="center" vertical="center" wrapText="1"/>
    </xf>
    <xf numFmtId="0" fontId="65" fillId="0" borderId="0" xfId="0" applyFont="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3" xfId="0" applyFont="1" applyFill="1" applyBorder="1" applyAlignment="1" applyProtection="1">
      <alignment horizontal="center" vertical="center"/>
    </xf>
    <xf numFmtId="0" fontId="76" fillId="0" borderId="10" xfId="0" applyFont="1" applyFill="1" applyBorder="1" applyAlignment="1" applyProtection="1">
      <alignment horizontal="center" vertical="center"/>
    </xf>
    <xf numFmtId="0" fontId="150" fillId="0" borderId="13" xfId="0" applyFont="1" applyFill="1" applyBorder="1" applyAlignment="1" applyProtection="1">
      <alignment horizontal="center" vertical="center" wrapText="1"/>
    </xf>
    <xf numFmtId="0" fontId="150" fillId="0" borderId="12" xfId="0" applyFont="1" applyFill="1" applyBorder="1" applyAlignment="1" applyProtection="1">
      <alignment horizontal="center" vertical="center"/>
    </xf>
    <xf numFmtId="0" fontId="150" fillId="0" borderId="11" xfId="0" applyFont="1" applyFill="1" applyBorder="1" applyAlignment="1" applyProtection="1">
      <alignment horizontal="center" vertical="center"/>
    </xf>
    <xf numFmtId="0" fontId="150" fillId="0" borderId="16" xfId="0" applyFont="1" applyFill="1" applyBorder="1" applyAlignment="1" applyProtection="1">
      <alignment horizontal="center" vertical="center"/>
    </xf>
    <xf numFmtId="0" fontId="76" fillId="0" borderId="2" xfId="0" applyFont="1" applyFill="1" applyBorder="1" applyAlignment="1" applyProtection="1">
      <alignment horizontal="center" vertical="center"/>
    </xf>
    <xf numFmtId="0" fontId="53" fillId="0" borderId="13" xfId="0" applyFont="1" applyFill="1" applyBorder="1" applyAlignment="1" applyProtection="1">
      <alignment horizontal="center" vertical="center" wrapText="1"/>
    </xf>
    <xf numFmtId="0" fontId="53" fillId="0" borderId="8" xfId="0" applyFont="1" applyFill="1" applyBorder="1" applyAlignment="1" applyProtection="1">
      <alignment horizontal="center" vertical="center" wrapText="1"/>
    </xf>
    <xf numFmtId="0" fontId="53" fillId="0" borderId="4" xfId="0" applyFont="1" applyFill="1" applyBorder="1" applyAlignment="1" applyProtection="1">
      <alignment horizontal="center" vertical="center" wrapText="1"/>
    </xf>
    <xf numFmtId="0" fontId="53" fillId="0" borderId="7" xfId="0" applyFont="1" applyFill="1" applyBorder="1" applyAlignment="1" applyProtection="1">
      <alignment horizontal="center" vertical="center" wrapText="1"/>
    </xf>
    <xf numFmtId="0" fontId="53" fillId="0" borderId="12" xfId="0" applyFont="1" applyFill="1" applyBorder="1" applyAlignment="1" applyProtection="1">
      <alignment horizontal="center" vertical="center" wrapText="1"/>
      <protection locked="0"/>
    </xf>
    <xf numFmtId="0" fontId="53" fillId="0" borderId="15" xfId="0" applyFont="1" applyFill="1" applyBorder="1" applyAlignment="1" applyProtection="1">
      <alignment horizontal="center" vertical="center" wrapText="1"/>
      <protection locked="0"/>
    </xf>
    <xf numFmtId="20" fontId="68" fillId="0" borderId="78" xfId="0" applyNumberFormat="1" applyFont="1" applyFill="1" applyBorder="1" applyAlignment="1" applyProtection="1">
      <alignment horizontal="center" vertical="center" wrapText="1"/>
    </xf>
    <xf numFmtId="20" fontId="68" fillId="0" borderId="79" xfId="0" applyNumberFormat="1"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53" fillId="0" borderId="6" xfId="0" applyFont="1" applyFill="1" applyBorder="1" applyAlignment="1">
      <alignment horizontal="center" vertical="center" wrapText="1"/>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3" fillId="0" borderId="5" xfId="8" applyFont="1" applyFill="1" applyBorder="1" applyAlignment="1" applyProtection="1">
      <alignment horizontal="center" vertical="center" wrapText="1"/>
    </xf>
    <xf numFmtId="0" fontId="53" fillId="0" borderId="9" xfId="8" applyFont="1" applyFill="1" applyBorder="1" applyAlignment="1" applyProtection="1">
      <alignment horizontal="center" vertical="center" wrapText="1"/>
    </xf>
    <xf numFmtId="0" fontId="53" fillId="0" borderId="6" xfId="8" applyFont="1" applyFill="1" applyBorder="1" applyAlignment="1" applyProtection="1">
      <alignment horizontal="center" vertical="center" wrapText="1"/>
    </xf>
    <xf numFmtId="0" fontId="53" fillId="0" borderId="3" xfId="8" applyFont="1" applyFill="1" applyBorder="1" applyAlignment="1" applyProtection="1">
      <alignment horizontal="center" vertical="center" wrapText="1"/>
    </xf>
    <xf numFmtId="0" fontId="53" fillId="0" borderId="2" xfId="8" applyFont="1" applyFill="1" applyBorder="1" applyAlignment="1" applyProtection="1">
      <alignment horizontal="center" vertical="center" wrapText="1"/>
    </xf>
    <xf numFmtId="0" fontId="65" fillId="0" borderId="1" xfId="0" applyFont="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53" fillId="0" borderId="1" xfId="0" applyFont="1" applyFill="1" applyBorder="1" applyAlignment="1" applyProtection="1">
      <alignment horizontal="center" vertical="center" wrapText="1"/>
    </xf>
    <xf numFmtId="0" fontId="65" fillId="0" borderId="5" xfId="0" applyFont="1" applyBorder="1" applyAlignment="1" applyProtection="1">
      <alignment horizontal="center" vertical="center" wrapText="1"/>
    </xf>
    <xf numFmtId="0" fontId="65" fillId="0" borderId="9" xfId="0" applyFont="1" applyBorder="1" applyAlignment="1" applyProtection="1">
      <alignment horizontal="center" vertical="center" wrapText="1"/>
    </xf>
    <xf numFmtId="0" fontId="65" fillId="0" borderId="8" xfId="0" applyFont="1" applyBorder="1" applyAlignment="1" applyProtection="1">
      <alignment horizontal="center" vertical="center" wrapText="1"/>
    </xf>
    <xf numFmtId="0" fontId="65" fillId="0" borderId="6" xfId="0" applyFont="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protection locked="0"/>
    </xf>
    <xf numFmtId="0" fontId="65" fillId="0" borderId="69" xfId="0" applyFont="1" applyBorder="1" applyAlignment="1" applyProtection="1">
      <alignment horizontal="center" vertical="center" wrapText="1"/>
    </xf>
    <xf numFmtId="177" fontId="38" fillId="0" borderId="5" xfId="0" applyNumberFormat="1" applyFont="1" applyFill="1" applyBorder="1" applyAlignment="1" applyProtection="1">
      <alignment horizontal="center" vertical="center" wrapText="1"/>
      <protection locked="0"/>
    </xf>
    <xf numFmtId="177" fontId="38" fillId="0" borderId="110" xfId="0" applyNumberFormat="1" applyFont="1" applyFill="1" applyBorder="1" applyAlignment="1" applyProtection="1">
      <alignment horizontal="center" vertical="center" wrapText="1"/>
      <protection locked="0"/>
    </xf>
    <xf numFmtId="177" fontId="38" fillId="0" borderId="0" xfId="0" applyNumberFormat="1" applyFont="1" applyFill="1" applyBorder="1" applyAlignment="1" applyProtection="1">
      <alignment horizontal="center" vertical="center" wrapText="1"/>
      <protection locked="0"/>
    </xf>
    <xf numFmtId="0" fontId="53" fillId="0" borderId="10" xfId="8" applyFont="1" applyFill="1" applyBorder="1" applyAlignment="1" applyProtection="1">
      <alignment horizontal="center" vertical="center" wrapText="1"/>
    </xf>
    <xf numFmtId="0" fontId="53" fillId="0" borderId="13" xfId="8" applyFont="1" applyFill="1" applyBorder="1" applyAlignment="1" applyProtection="1">
      <alignment horizontal="center" vertical="center" wrapText="1"/>
    </xf>
    <xf numFmtId="0" fontId="53" fillId="0" borderId="8" xfId="8" applyFont="1" applyFill="1" applyBorder="1" applyAlignment="1" applyProtection="1">
      <alignment horizontal="center" vertical="center" wrapText="1"/>
    </xf>
    <xf numFmtId="0" fontId="53" fillId="0" borderId="12"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0" fontId="53" fillId="0" borderId="176" xfId="0" applyFont="1" applyFill="1" applyBorder="1" applyAlignment="1" applyProtection="1">
      <alignment horizontal="center" vertical="center" wrapText="1"/>
    </xf>
    <xf numFmtId="0" fontId="53" fillId="0" borderId="177" xfId="0" applyFont="1" applyFill="1" applyBorder="1" applyAlignment="1" applyProtection="1">
      <alignment horizontal="center" vertical="center" wrapText="1"/>
    </xf>
    <xf numFmtId="0" fontId="53" fillId="0" borderId="190" xfId="0" applyFont="1" applyFill="1" applyBorder="1" applyAlignment="1" applyProtection="1">
      <alignment horizontal="center" vertical="center" wrapText="1"/>
    </xf>
    <xf numFmtId="0" fontId="53" fillId="0" borderId="191" xfId="0" applyFont="1" applyFill="1" applyBorder="1" applyAlignment="1" applyProtection="1">
      <alignment horizontal="center" vertical="center" wrapText="1"/>
    </xf>
    <xf numFmtId="0" fontId="53" fillId="0" borderId="178" xfId="0" applyFont="1" applyFill="1" applyBorder="1" applyAlignment="1" applyProtection="1">
      <alignment horizontal="center" vertical="center" wrapText="1"/>
      <protection locked="0"/>
    </xf>
    <xf numFmtId="0" fontId="53" fillId="0" borderId="192" xfId="0" applyFont="1" applyFill="1" applyBorder="1" applyAlignment="1" applyProtection="1">
      <alignment horizontal="center" vertical="center" wrapText="1"/>
      <protection locked="0"/>
    </xf>
    <xf numFmtId="0" fontId="53" fillId="0" borderId="87" xfId="0" applyFont="1" applyFill="1" applyBorder="1" applyAlignment="1">
      <alignment horizontal="center" vertical="center" wrapText="1"/>
    </xf>
    <xf numFmtId="0" fontId="53" fillId="0" borderId="69" xfId="0" applyFont="1" applyFill="1" applyBorder="1" applyAlignment="1">
      <alignment horizontal="center" vertical="center" wrapText="1"/>
    </xf>
    <xf numFmtId="0" fontId="53" fillId="0" borderId="70" xfId="0" applyFont="1" applyFill="1" applyBorder="1" applyAlignment="1">
      <alignment horizontal="center" vertical="center" wrapText="1"/>
    </xf>
    <xf numFmtId="0" fontId="53" fillId="0" borderId="13" xfId="0" applyFont="1" applyBorder="1" applyAlignment="1" applyProtection="1">
      <alignment horizontal="center" vertical="center" wrapText="1"/>
    </xf>
    <xf numFmtId="0" fontId="53" fillId="0" borderId="8" xfId="0" applyFont="1" applyBorder="1" applyAlignment="1" applyProtection="1">
      <alignment horizontal="center" vertical="center" wrapText="1"/>
    </xf>
    <xf numFmtId="0" fontId="53" fillId="0" borderId="12" xfId="0" applyFont="1" applyBorder="1" applyAlignment="1" applyProtection="1">
      <alignment horizontal="center" vertical="center" wrapText="1"/>
    </xf>
    <xf numFmtId="41" fontId="38" fillId="0" borderId="12" xfId="0" applyNumberFormat="1" applyFont="1" applyFill="1" applyBorder="1" applyAlignment="1" applyProtection="1">
      <alignment horizontal="center" vertical="center" wrapText="1"/>
      <protection locked="0"/>
    </xf>
    <xf numFmtId="41" fontId="38" fillId="0" borderId="3" xfId="0" applyNumberFormat="1" applyFont="1" applyFill="1" applyBorder="1" applyAlignment="1" applyProtection="1">
      <alignment horizontal="center" vertical="center" wrapText="1"/>
      <protection locked="0"/>
    </xf>
    <xf numFmtId="187" fontId="38" fillId="0" borderId="211" xfId="0" applyNumberFormat="1" applyFont="1" applyFill="1" applyBorder="1" applyAlignment="1" applyProtection="1">
      <alignment horizontal="center" vertical="center" wrapText="1"/>
      <protection locked="0"/>
    </xf>
    <xf numFmtId="187" fontId="38" fillId="0" borderId="213" xfId="0" applyNumberFormat="1" applyFont="1" applyFill="1" applyBorder="1" applyAlignment="1" applyProtection="1">
      <alignment horizontal="center" vertical="center" wrapText="1"/>
      <protection locked="0"/>
    </xf>
    <xf numFmtId="0" fontId="53" fillId="0" borderId="87" xfId="0" applyFont="1" applyBorder="1" applyAlignment="1" applyProtection="1">
      <alignment horizontal="center" vertical="center" wrapText="1"/>
    </xf>
    <xf numFmtId="0" fontId="53" fillId="0" borderId="69" xfId="0" applyFont="1" applyBorder="1" applyAlignment="1" applyProtection="1">
      <alignment horizontal="center" vertical="center" wrapText="1"/>
    </xf>
    <xf numFmtId="0" fontId="53" fillId="0" borderId="70" xfId="0" applyFont="1" applyBorder="1" applyAlignment="1" applyProtection="1">
      <alignment horizontal="center" vertical="center" wrapText="1"/>
    </xf>
    <xf numFmtId="177" fontId="50" fillId="0" borderId="70" xfId="1" applyNumberFormat="1" applyFont="1" applyFill="1" applyBorder="1" applyAlignment="1" applyProtection="1">
      <alignment horizontal="center" vertical="center"/>
    </xf>
    <xf numFmtId="177" fontId="50" fillId="0" borderId="86" xfId="1" applyNumberFormat="1" applyFont="1" applyFill="1" applyBorder="1" applyAlignment="1" applyProtection="1">
      <alignment horizontal="center" vertical="center"/>
    </xf>
    <xf numFmtId="0" fontId="53" fillId="0" borderId="204" xfId="0" applyFont="1" applyBorder="1" applyAlignment="1" applyProtection="1">
      <alignment horizontal="center" vertical="center" wrapText="1"/>
    </xf>
    <xf numFmtId="0" fontId="53" fillId="0" borderId="205" xfId="0" applyFont="1" applyBorder="1" applyAlignment="1" applyProtection="1">
      <alignment horizontal="center" vertical="center" wrapText="1"/>
    </xf>
    <xf numFmtId="0" fontId="53" fillId="0" borderId="206" xfId="0" applyFont="1" applyBorder="1" applyAlignment="1" applyProtection="1">
      <alignment horizontal="center" vertical="center" wrapText="1"/>
    </xf>
    <xf numFmtId="187" fontId="38" fillId="0" borderId="209" xfId="0" applyNumberFormat="1" applyFont="1" applyFill="1" applyBorder="1" applyAlignment="1" applyProtection="1">
      <alignment horizontal="center" vertical="center" wrapText="1"/>
      <protection locked="0"/>
    </xf>
    <xf numFmtId="187" fontId="38" fillId="0" borderId="210" xfId="0" applyNumberFormat="1" applyFont="1" applyFill="1" applyBorder="1" applyAlignment="1" applyProtection="1">
      <alignment horizontal="center" vertical="center" wrapText="1"/>
      <protection locked="0"/>
    </xf>
    <xf numFmtId="0" fontId="17" fillId="14" borderId="176" xfId="8" applyFont="1" applyFill="1" applyBorder="1" applyAlignment="1" applyProtection="1">
      <alignment horizontal="center" vertical="center" wrapText="1"/>
    </xf>
    <xf numFmtId="0" fontId="17" fillId="14" borderId="178" xfId="8" applyFont="1" applyFill="1" applyBorder="1" applyAlignment="1" applyProtection="1">
      <alignment horizontal="center" vertical="center" wrapText="1"/>
    </xf>
    <xf numFmtId="0" fontId="17" fillId="14" borderId="215" xfId="8" applyFont="1" applyFill="1" applyBorder="1" applyAlignment="1" applyProtection="1">
      <alignment horizontal="center" vertical="center" wrapText="1"/>
    </xf>
    <xf numFmtId="0" fontId="17" fillId="14" borderId="16" xfId="8" applyFont="1" applyFill="1" applyBorder="1" applyAlignment="1" applyProtection="1">
      <alignment horizontal="center" vertical="center" wrapText="1"/>
    </xf>
    <xf numFmtId="0" fontId="17" fillId="14" borderId="182" xfId="8" applyFont="1" applyFill="1" applyBorder="1" applyAlignment="1" applyProtection="1">
      <alignment horizontal="center" vertical="center" wrapText="1"/>
    </xf>
    <xf numFmtId="0" fontId="17" fillId="14" borderId="214" xfId="8" applyFont="1" applyFill="1" applyBorder="1" applyAlignment="1" applyProtection="1">
      <alignment horizontal="center" vertical="center" wrapText="1"/>
    </xf>
    <xf numFmtId="0" fontId="17" fillId="14" borderId="5" xfId="8" applyFont="1" applyFill="1" applyBorder="1" applyAlignment="1" applyProtection="1">
      <alignment horizontal="center" vertical="center" wrapText="1"/>
    </xf>
    <xf numFmtId="0" fontId="17" fillId="14" borderId="6" xfId="8" applyFont="1" applyFill="1" applyBorder="1" applyAlignment="1" applyProtection="1">
      <alignment horizontal="center" vertical="center" wrapText="1"/>
    </xf>
    <xf numFmtId="0" fontId="55" fillId="0" borderId="3" xfId="0" applyFont="1" applyFill="1" applyBorder="1" applyAlignment="1" applyProtection="1">
      <alignment horizontal="center" vertical="center"/>
    </xf>
    <xf numFmtId="0" fontId="10" fillId="14" borderId="5" xfId="0" applyFont="1" applyFill="1" applyBorder="1" applyAlignment="1" applyProtection="1">
      <alignment horizontal="center" vertical="center" wrapText="1"/>
    </xf>
    <xf numFmtId="0" fontId="10" fillId="14" borderId="9" xfId="0" applyFont="1" applyFill="1" applyBorder="1" applyAlignment="1" applyProtection="1">
      <alignment horizontal="center" vertical="center" wrapText="1"/>
    </xf>
    <xf numFmtId="0" fontId="10" fillId="14" borderId="6" xfId="0" applyFont="1" applyFill="1" applyBorder="1" applyAlignment="1" applyProtection="1">
      <alignment horizontal="center" vertical="center" wrapText="1"/>
    </xf>
    <xf numFmtId="41" fontId="38" fillId="0" borderId="110" xfId="0" applyNumberFormat="1" applyFont="1" applyFill="1" applyBorder="1" applyAlignment="1" applyProtection="1">
      <alignment horizontal="center" vertical="center" wrapText="1"/>
      <protection locked="0"/>
    </xf>
    <xf numFmtId="41" fontId="38" fillId="0" borderId="108" xfId="0" applyNumberFormat="1" applyFont="1" applyFill="1" applyBorder="1" applyAlignment="1" applyProtection="1">
      <alignment horizontal="center" vertical="center" wrapText="1"/>
      <protection locked="0"/>
    </xf>
    <xf numFmtId="0" fontId="52" fillId="14" borderId="5" xfId="0" applyFont="1" applyFill="1" applyBorder="1" applyAlignment="1" applyProtection="1">
      <alignment horizontal="center" vertical="center" wrapText="1"/>
    </xf>
    <xf numFmtId="0" fontId="52" fillId="14" borderId="9" xfId="0" applyFont="1" applyFill="1" applyBorder="1" applyAlignment="1" applyProtection="1">
      <alignment horizontal="center" vertical="center" wrapText="1"/>
    </xf>
    <xf numFmtId="0" fontId="52" fillId="14" borderId="6" xfId="0" applyFont="1" applyFill="1" applyBorder="1" applyAlignment="1" applyProtection="1">
      <alignment horizontal="center" vertical="center" wrapText="1"/>
    </xf>
    <xf numFmtId="0" fontId="10" fillId="14" borderId="217" xfId="0" applyFont="1" applyFill="1" applyBorder="1" applyAlignment="1" applyProtection="1">
      <alignment horizontal="center" vertical="center" wrapText="1"/>
    </xf>
    <xf numFmtId="0" fontId="10" fillId="14" borderId="198" xfId="0" applyFont="1" applyFill="1" applyBorder="1" applyAlignment="1" applyProtection="1">
      <alignment horizontal="center" vertical="center" wrapText="1"/>
    </xf>
    <xf numFmtId="0" fontId="10" fillId="14" borderId="218" xfId="0" applyFont="1" applyFill="1" applyBorder="1" applyAlignment="1" applyProtection="1">
      <alignment horizontal="center" vertical="center" wrapText="1"/>
    </xf>
    <xf numFmtId="0" fontId="38" fillId="13" borderId="1" xfId="0" applyFont="1" applyFill="1" applyBorder="1" applyAlignment="1">
      <alignment horizontal="center" vertical="center"/>
    </xf>
    <xf numFmtId="0" fontId="38" fillId="13" borderId="0" xfId="0" applyFont="1" applyFill="1" applyBorder="1" applyAlignment="1">
      <alignment horizontal="center" vertical="center"/>
    </xf>
    <xf numFmtId="0" fontId="38" fillId="13" borderId="69" xfId="0" applyFont="1" applyFill="1" applyBorder="1" applyAlignment="1">
      <alignment horizontal="center" vertical="center"/>
    </xf>
    <xf numFmtId="0" fontId="38" fillId="0" borderId="1" xfId="0" applyFont="1" applyFill="1" applyBorder="1" applyAlignment="1">
      <alignment horizontal="center" vertical="center"/>
    </xf>
    <xf numFmtId="0" fontId="38" fillId="0" borderId="3" xfId="0" applyFont="1" applyFill="1" applyBorder="1" applyAlignment="1">
      <alignment horizontal="center" vertical="center"/>
    </xf>
    <xf numFmtId="0" fontId="38" fillId="0" borderId="86" xfId="0" applyFont="1" applyFill="1" applyBorder="1" applyAlignment="1">
      <alignment horizontal="center" vertical="center"/>
    </xf>
    <xf numFmtId="0" fontId="99" fillId="0" borderId="1" xfId="84" applyFill="1" applyBorder="1" applyAlignment="1" applyProtection="1">
      <alignment horizontal="left" vertical="center"/>
    </xf>
    <xf numFmtId="0" fontId="38" fillId="0" borderId="3" xfId="0" applyFont="1" applyFill="1" applyBorder="1" applyAlignment="1">
      <alignment horizontal="center" vertical="center" wrapText="1"/>
    </xf>
    <xf numFmtId="0" fontId="38" fillId="0" borderId="10" xfId="0" applyFont="1" applyFill="1" applyBorder="1" applyAlignment="1">
      <alignment horizontal="center" vertical="center" wrapText="1"/>
    </xf>
    <xf numFmtId="0" fontId="38" fillId="0" borderId="86" xfId="0" applyFont="1" applyFill="1" applyBorder="1" applyAlignment="1">
      <alignment horizontal="center" vertical="center" wrapText="1"/>
    </xf>
    <xf numFmtId="0" fontId="38" fillId="13" borderId="3" xfId="0" applyFont="1" applyFill="1" applyBorder="1" applyAlignment="1">
      <alignment horizontal="center" vertical="center"/>
    </xf>
    <xf numFmtId="0" fontId="38" fillId="13" borderId="86" xfId="0" applyFont="1" applyFill="1" applyBorder="1" applyAlignment="1">
      <alignment horizontal="center" vertical="center"/>
    </xf>
    <xf numFmtId="187" fontId="38" fillId="0" borderId="101" xfId="0" applyNumberFormat="1" applyFont="1" applyFill="1" applyBorder="1" applyAlignment="1" applyProtection="1">
      <alignment horizontal="center" vertical="center" wrapText="1"/>
      <protection locked="0"/>
    </xf>
    <xf numFmtId="187" fontId="38" fillId="0" borderId="100" xfId="0" applyNumberFormat="1" applyFont="1" applyFill="1" applyBorder="1" applyAlignment="1" applyProtection="1">
      <alignment horizontal="center" vertical="center" wrapText="1"/>
      <protection locked="0"/>
    </xf>
    <xf numFmtId="187" fontId="38" fillId="0" borderId="46" xfId="0" applyNumberFormat="1" applyFont="1" applyFill="1" applyBorder="1" applyAlignment="1" applyProtection="1">
      <alignment horizontal="center" vertical="center" wrapText="1"/>
      <protection locked="0"/>
    </xf>
    <xf numFmtId="41" fontId="38" fillId="0" borderId="9" xfId="0" applyNumberFormat="1"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xf>
    <xf numFmtId="0" fontId="237" fillId="0" borderId="100" xfId="0" applyFont="1" applyFill="1" applyBorder="1" applyAlignment="1" applyProtection="1">
      <alignment horizontal="center" vertical="center" wrapText="1"/>
    </xf>
    <xf numFmtId="0" fontId="237" fillId="0" borderId="46" xfId="0" applyFont="1" applyFill="1" applyBorder="1" applyAlignment="1" applyProtection="1">
      <alignment horizontal="center" vertical="center" wrapText="1"/>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center" vertical="center"/>
    </xf>
    <xf numFmtId="0" fontId="99" fillId="0" borderId="3" xfId="84" applyFill="1" applyBorder="1" applyAlignment="1" applyProtection="1">
      <alignment horizontal="center" vertical="center"/>
    </xf>
    <xf numFmtId="0" fontId="99" fillId="0" borderId="10" xfId="84" applyFill="1" applyBorder="1" applyAlignment="1" applyProtection="1">
      <alignment horizontal="center" vertical="center"/>
    </xf>
    <xf numFmtId="0" fontId="99" fillId="0" borderId="86" xfId="84" applyFill="1" applyBorder="1" applyAlignment="1" applyProtection="1">
      <alignment horizontal="center" vertical="center"/>
    </xf>
    <xf numFmtId="0" fontId="99" fillId="0" borderId="3" xfId="84" applyFill="1" applyBorder="1" applyAlignment="1" applyProtection="1">
      <alignment vertical="center"/>
    </xf>
    <xf numFmtId="0" fontId="99" fillId="0" borderId="10" xfId="84" applyFill="1" applyBorder="1" applyAlignment="1" applyProtection="1">
      <alignment vertical="center"/>
    </xf>
    <xf numFmtId="0" fontId="99" fillId="0" borderId="86" xfId="84" applyFill="1" applyBorder="1" applyAlignment="1" applyProtection="1">
      <alignment vertical="center"/>
    </xf>
    <xf numFmtId="0" fontId="213" fillId="0" borderId="12" xfId="0" applyFont="1" applyFill="1" applyBorder="1" applyAlignment="1" applyProtection="1">
      <alignment horizontal="center" vertical="center" wrapText="1"/>
    </xf>
    <xf numFmtId="0" fontId="213" fillId="0" borderId="16" xfId="0" applyFont="1" applyFill="1" applyBorder="1" applyAlignment="1" applyProtection="1">
      <alignment horizontal="center" vertical="center" wrapText="1"/>
    </xf>
    <xf numFmtId="0" fontId="99" fillId="0" borderId="3" xfId="84" applyFill="1" applyBorder="1" applyAlignment="1" applyProtection="1">
      <alignment horizontal="left" vertical="center"/>
    </xf>
    <xf numFmtId="0" fontId="99" fillId="0" borderId="10" xfId="84" applyFill="1" applyBorder="1" applyAlignment="1" applyProtection="1">
      <alignment horizontal="left" vertical="center"/>
    </xf>
    <xf numFmtId="0" fontId="99" fillId="0" borderId="86" xfId="84" applyFill="1" applyBorder="1" applyAlignment="1" applyProtection="1">
      <alignment horizontal="left" vertical="center"/>
    </xf>
    <xf numFmtId="20" fontId="24" fillId="0" borderId="6" xfId="0" quotePrefix="1" applyNumberFormat="1"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08"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110"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6"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38" fillId="0" borderId="6" xfId="0"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protection locked="0"/>
    </xf>
    <xf numFmtId="0" fontId="38" fillId="0" borderId="3"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24" fillId="0" borderId="3" xfId="8" applyFont="1" applyFill="1" applyBorder="1" applyAlignment="1" applyProtection="1">
      <alignment horizontal="center" vertical="center"/>
    </xf>
    <xf numFmtId="0" fontId="24" fillId="0" borderId="2" xfId="8" applyFont="1" applyFill="1" applyBorder="1" applyAlignment="1" applyProtection="1">
      <alignment horizontal="center" vertical="center"/>
    </xf>
    <xf numFmtId="0" fontId="24" fillId="0" borderId="10" xfId="8" applyFont="1" applyFill="1" applyBorder="1" applyAlignment="1" applyProtection="1">
      <alignment horizontal="center" vertical="center"/>
    </xf>
    <xf numFmtId="0" fontId="14" fillId="0" borderId="12"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16"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14" fillId="0" borderId="15"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6"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0" fillId="0" borderId="0" xfId="0" applyFont="1" applyAlignment="1" applyProtection="1">
      <alignment horizontal="center" vertical="center" wrapText="1"/>
    </xf>
    <xf numFmtId="14" fontId="24" fillId="0" borderId="7" xfId="8" applyNumberFormat="1"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protection locked="0"/>
    </xf>
    <xf numFmtId="0" fontId="24" fillId="0" borderId="6" xfId="8" applyFont="1" applyFill="1" applyBorder="1" applyAlignment="1" applyProtection="1">
      <alignment horizontal="center" vertical="center"/>
      <protection locked="0"/>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5" xfId="0" applyFont="1" applyFill="1" applyBorder="1" applyAlignment="1" applyProtection="1">
      <alignment horizontal="center" vertical="center"/>
    </xf>
    <xf numFmtId="0" fontId="24" fillId="0" borderId="9" xfId="0" applyFont="1" applyFill="1" applyBorder="1" applyAlignment="1" applyProtection="1">
      <alignment horizontal="center" vertical="center"/>
    </xf>
    <xf numFmtId="0" fontId="24" fillId="0" borderId="6" xfId="0" applyFont="1" applyFill="1" applyBorder="1" applyAlignment="1" applyProtection="1">
      <alignment horizontal="center" vertical="center"/>
    </xf>
    <xf numFmtId="14" fontId="40" fillId="0" borderId="69" xfId="8" applyNumberFormat="1" applyFont="1" applyFill="1" applyBorder="1" applyAlignment="1" applyProtection="1">
      <alignment horizontal="left" vertical="center"/>
    </xf>
    <xf numFmtId="181" fontId="141" fillId="0" borderId="69" xfId="0" applyNumberFormat="1" applyFont="1" applyFill="1" applyBorder="1" applyAlignment="1" applyProtection="1">
      <alignment horizontal="center" vertical="center"/>
      <protection locked="0"/>
    </xf>
    <xf numFmtId="0" fontId="62" fillId="0" borderId="1" xfId="0" applyFont="1" applyFill="1" applyBorder="1" applyAlignment="1" applyProtection="1">
      <alignment horizontal="center" vertical="center"/>
    </xf>
    <xf numFmtId="0" fontId="24" fillId="0" borderId="9" xfId="0" applyFont="1" applyFill="1" applyBorder="1" applyAlignment="1" applyProtection="1">
      <alignment horizontal="center" vertical="center" wrapText="1"/>
      <protection locked="0"/>
    </xf>
    <xf numFmtId="0" fontId="24" fillId="0" borderId="6" xfId="0"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wrapText="1"/>
      <protection locked="0"/>
    </xf>
    <xf numFmtId="0" fontId="30" fillId="0" borderId="0" xfId="0" applyFont="1" applyFill="1" applyAlignment="1" applyProtection="1">
      <alignment horizontal="center" vertical="center" wrapText="1"/>
    </xf>
    <xf numFmtId="0" fontId="14" fillId="0" borderId="69" xfId="0" applyFont="1" applyFill="1" applyBorder="1" applyAlignment="1" applyProtection="1">
      <alignment horizontal="center" vertical="center" wrapText="1"/>
    </xf>
    <xf numFmtId="0" fontId="14" fillId="0" borderId="70"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14" fontId="40" fillId="51" borderId="69" xfId="8" applyNumberFormat="1"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protection locked="0"/>
    </xf>
    <xf numFmtId="0" fontId="24" fillId="0" borderId="6" xfId="0" applyFont="1" applyFill="1" applyBorder="1" applyAlignment="1" applyProtection="1">
      <alignment horizontal="center" vertical="center"/>
      <protection locked="0"/>
    </xf>
    <xf numFmtId="0" fontId="14" fillId="0" borderId="87" xfId="0" applyFont="1" applyFill="1" applyBorder="1" applyAlignment="1" applyProtection="1">
      <alignment horizontal="center" vertical="center" wrapText="1"/>
    </xf>
    <xf numFmtId="0" fontId="151" fillId="0" borderId="5" xfId="0" applyFont="1" applyBorder="1" applyAlignment="1" applyProtection="1">
      <alignment horizontal="center" vertical="center" wrapText="1"/>
    </xf>
    <xf numFmtId="0" fontId="151" fillId="0" borderId="9" xfId="0" applyFont="1" applyBorder="1" applyAlignment="1" applyProtection="1">
      <alignment horizontal="center" vertical="center" wrapText="1"/>
    </xf>
    <xf numFmtId="0" fontId="151" fillId="0" borderId="6" xfId="0" applyFont="1" applyBorder="1" applyAlignment="1" applyProtection="1">
      <alignment horizontal="center" vertical="center" wrapText="1"/>
    </xf>
    <xf numFmtId="0" fontId="51" fillId="0" borderId="13" xfId="0" applyFont="1" applyFill="1" applyBorder="1" applyAlignment="1" applyProtection="1">
      <alignment horizontal="center" vertical="center" wrapText="1"/>
    </xf>
    <xf numFmtId="0" fontId="51" fillId="0" borderId="8" xfId="0" applyFont="1" applyFill="1" applyBorder="1" applyAlignment="1" applyProtection="1">
      <alignment horizontal="center" vertical="center" wrapText="1"/>
    </xf>
    <xf numFmtId="0" fontId="51" fillId="0" borderId="12" xfId="0" applyFont="1" applyFill="1" applyBorder="1" applyAlignment="1" applyProtection="1">
      <alignment horizontal="center" vertical="center" wrapText="1"/>
    </xf>
    <xf numFmtId="0" fontId="51" fillId="0" borderId="87" xfId="0" applyFont="1" applyFill="1" applyBorder="1" applyAlignment="1" applyProtection="1">
      <alignment horizontal="center" vertical="center" wrapText="1"/>
    </xf>
    <xf numFmtId="0" fontId="51" fillId="0" borderId="69" xfId="0" applyFont="1" applyFill="1" applyBorder="1" applyAlignment="1" applyProtection="1">
      <alignment horizontal="center" vertical="center" wrapText="1"/>
    </xf>
    <xf numFmtId="0" fontId="51" fillId="0" borderId="70" xfId="0" applyFont="1" applyFill="1" applyBorder="1" applyAlignment="1" applyProtection="1">
      <alignment horizontal="center" vertical="center" wrapText="1"/>
    </xf>
    <xf numFmtId="0" fontId="11" fillId="0" borderId="3" xfId="0" applyFont="1" applyFill="1" applyBorder="1" applyAlignment="1" applyProtection="1">
      <alignment horizontal="center" vertical="center"/>
    </xf>
    <xf numFmtId="0" fontId="11" fillId="0" borderId="2" xfId="0" applyFont="1" applyFill="1" applyBorder="1" applyAlignment="1" applyProtection="1">
      <alignment horizontal="center" vertical="center"/>
    </xf>
    <xf numFmtId="0" fontId="10" fillId="0" borderId="9" xfId="0" applyFont="1" applyFill="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5" xfId="0" applyFont="1" applyFill="1" applyBorder="1" applyAlignment="1">
      <alignment horizontal="center" vertical="center" wrapText="1"/>
    </xf>
    <xf numFmtId="0" fontId="24" fillId="0" borderId="9"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13" xfId="0" applyFont="1" applyFill="1" applyBorder="1" applyAlignment="1" applyProtection="1">
      <alignment horizontal="center" vertical="center" wrapText="1"/>
    </xf>
    <xf numFmtId="0" fontId="10" fillId="0" borderId="8"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0" fontId="10" fillId="0" borderId="12" xfId="0" applyFont="1" applyFill="1" applyBorder="1" applyAlignment="1" applyProtection="1">
      <alignment horizontal="center" vertical="center" wrapText="1"/>
      <protection locked="0"/>
    </xf>
    <xf numFmtId="0" fontId="10" fillId="0" borderId="15" xfId="0" applyFont="1" applyFill="1" applyBorder="1" applyAlignment="1" applyProtection="1">
      <alignment horizontal="center" vertical="center" wrapText="1"/>
      <protection locked="0"/>
    </xf>
    <xf numFmtId="0" fontId="10" fillId="0" borderId="5" xfId="8"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0" fillId="0" borderId="6" xfId="8" applyFont="1" applyFill="1" applyBorder="1" applyAlignment="1" applyProtection="1">
      <alignment horizontal="center" vertical="center" wrapText="1"/>
    </xf>
    <xf numFmtId="0" fontId="10" fillId="0" borderId="3" xfId="8" applyFont="1" applyFill="1" applyBorder="1" applyAlignment="1" applyProtection="1">
      <alignment horizontal="center" vertical="center" wrapText="1"/>
    </xf>
    <xf numFmtId="0" fontId="10" fillId="0" borderId="2" xfId="8" applyFont="1" applyFill="1" applyBorder="1" applyAlignment="1" applyProtection="1">
      <alignment horizontal="center" vertical="center" wrapText="1"/>
    </xf>
    <xf numFmtId="0" fontId="65" fillId="0" borderId="16" xfId="0" applyFont="1" applyBorder="1" applyAlignment="1" applyProtection="1">
      <alignment horizontal="center" vertical="center" wrapText="1"/>
    </xf>
    <xf numFmtId="0" fontId="11" fillId="0" borderId="10" xfId="0" applyFont="1" applyFill="1" applyBorder="1" applyAlignment="1" applyProtection="1">
      <alignment horizontal="center" vertical="center"/>
    </xf>
    <xf numFmtId="0" fontId="17" fillId="0" borderId="13" xfId="0" applyFont="1" applyFill="1" applyBorder="1" applyAlignment="1" applyProtection="1">
      <alignment horizontal="center" vertical="center" wrapText="1"/>
    </xf>
    <xf numFmtId="0" fontId="17" fillId="0" borderId="12" xfId="0" applyFont="1" applyFill="1" applyBorder="1" applyAlignment="1" applyProtection="1">
      <alignment horizontal="center" vertical="center"/>
    </xf>
    <xf numFmtId="0" fontId="17" fillId="0" borderId="11" xfId="0" applyFont="1" applyFill="1" applyBorder="1" applyAlignment="1" applyProtection="1">
      <alignment horizontal="center" vertical="center"/>
    </xf>
    <xf numFmtId="0" fontId="17" fillId="0" borderId="16" xfId="0" applyFont="1" applyFill="1" applyBorder="1" applyAlignment="1" applyProtection="1">
      <alignment horizontal="center" vertical="center"/>
    </xf>
    <xf numFmtId="0" fontId="10" fillId="0" borderId="5" xfId="0" applyFont="1" applyFill="1" applyBorder="1" applyAlignment="1" applyProtection="1">
      <alignment horizontal="center" vertical="center" wrapText="1"/>
    </xf>
    <xf numFmtId="0" fontId="14" fillId="0" borderId="101" xfId="0" applyFont="1" applyFill="1" applyBorder="1" applyAlignment="1" applyProtection="1">
      <alignment horizontal="center" vertical="center" wrapText="1"/>
    </xf>
    <xf numFmtId="0" fontId="1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7" fillId="0" borderId="6" xfId="8"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wrapText="1"/>
    </xf>
    <xf numFmtId="0" fontId="24" fillId="0" borderId="1" xfId="8" applyFont="1" applyFill="1" applyBorder="1" applyAlignment="1" applyProtection="1">
      <alignment horizontal="center" vertical="center"/>
    </xf>
    <xf numFmtId="20" fontId="24" fillId="0" borderId="1" xfId="0" quotePrefix="1" applyNumberFormat="1" applyFont="1" applyFill="1" applyBorder="1" applyAlignment="1" applyProtection="1">
      <alignment horizontal="center" vertical="center" wrapText="1"/>
    </xf>
    <xf numFmtId="0" fontId="17" fillId="0" borderId="13" xfId="8" applyFont="1" applyFill="1" applyBorder="1" applyAlignment="1" applyProtection="1">
      <alignment horizontal="center" vertical="center" wrapText="1"/>
    </xf>
    <xf numFmtId="0" fontId="17" fillId="0" borderId="12" xfId="8" applyFont="1" applyFill="1" applyBorder="1" applyAlignment="1" applyProtection="1">
      <alignment horizontal="center" vertical="center" wrapText="1"/>
    </xf>
    <xf numFmtId="0" fontId="17" fillId="0" borderId="11" xfId="8" applyFont="1" applyFill="1" applyBorder="1" applyAlignment="1" applyProtection="1">
      <alignment horizontal="center" vertical="center" wrapText="1"/>
    </xf>
    <xf numFmtId="0" fontId="17" fillId="0" borderId="16" xfId="8"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86" xfId="0" applyNumberFormat="1" applyFont="1" applyFill="1" applyBorder="1" applyAlignment="1" applyProtection="1">
      <alignment horizontal="center" vertical="center" wrapText="1"/>
    </xf>
    <xf numFmtId="0" fontId="60" fillId="0" borderId="0" xfId="0" applyFont="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0" fontId="130" fillId="0" borderId="0" xfId="0" applyFont="1" applyBorder="1" applyAlignment="1" applyProtection="1">
      <alignment horizontal="center" vertical="center" wrapText="1"/>
    </xf>
    <xf numFmtId="0" fontId="130" fillId="0" borderId="16" xfId="0" applyFont="1" applyBorder="1" applyAlignment="1" applyProtection="1">
      <alignment horizontal="center" vertical="center" wrapText="1"/>
    </xf>
    <xf numFmtId="14" fontId="77" fillId="50" borderId="69" xfId="8"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wrapText="1"/>
    </xf>
    <xf numFmtId="14" fontId="77" fillId="0" borderId="69" xfId="8" applyNumberFormat="1" applyFont="1" applyFill="1" applyBorder="1" applyAlignment="1" applyProtection="1">
      <alignment horizontal="left" vertical="center"/>
    </xf>
    <xf numFmtId="20" fontId="24" fillId="0" borderId="5" xfId="0" applyNumberFormat="1" applyFont="1" applyFill="1" applyBorder="1" applyAlignment="1" applyProtection="1">
      <alignment horizontal="center" vertical="center" wrapText="1"/>
    </xf>
    <xf numFmtId="0" fontId="151" fillId="0" borderId="1" xfId="0" applyFont="1" applyFill="1" applyBorder="1" applyAlignment="1" applyProtection="1">
      <alignment horizontal="center" vertical="center" wrapText="1"/>
    </xf>
    <xf numFmtId="0" fontId="24" fillId="0" borderId="11" xfId="8" applyFont="1" applyFill="1" applyBorder="1" applyAlignment="1" applyProtection="1">
      <alignment horizontal="center" vertical="center"/>
    </xf>
    <xf numFmtId="0" fontId="24" fillId="0" borderId="4" xfId="8"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52" fillId="0" borderId="7" xfId="0" applyFont="1" applyFill="1" applyBorder="1" applyAlignment="1">
      <alignment horizontal="center" vertical="center"/>
    </xf>
    <xf numFmtId="0" fontId="52" fillId="0" borderId="11" xfId="0" applyFont="1" applyFill="1" applyBorder="1" applyAlignment="1">
      <alignment horizontal="center" vertical="center" wrapText="1"/>
    </xf>
    <xf numFmtId="0" fontId="52" fillId="0" borderId="4" xfId="0" applyFont="1" applyFill="1" applyBorder="1" applyAlignment="1">
      <alignment horizontal="center" vertical="center"/>
    </xf>
    <xf numFmtId="0" fontId="24" fillId="0" borderId="13" xfId="8" applyFont="1" applyFill="1" applyBorder="1" applyAlignment="1" applyProtection="1">
      <alignment horizontal="center" vertical="center" wrapText="1"/>
    </xf>
    <xf numFmtId="0" fontId="24" fillId="0" borderId="4" xfId="8"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24" fillId="6" borderId="1" xfId="8" applyFont="1" applyFill="1" applyBorder="1" applyAlignment="1" applyProtection="1">
      <alignment horizontal="center" vertical="center" wrapText="1"/>
    </xf>
    <xf numFmtId="0" fontId="24" fillId="6" borderId="5" xfId="8" applyFont="1" applyFill="1" applyBorder="1" applyAlignment="1" applyProtection="1">
      <alignment horizontal="center" vertical="center" wrapText="1"/>
    </xf>
    <xf numFmtId="0" fontId="24" fillId="6" borderId="9" xfId="8"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14" fillId="0" borderId="11"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7" fillId="0" borderId="11"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1" fillId="0" borderId="11" xfId="0" applyFont="1" applyFill="1" applyBorder="1" applyAlignment="1" applyProtection="1">
      <alignment horizontal="center" vertical="center"/>
    </xf>
    <xf numFmtId="0" fontId="11" fillId="0" borderId="4"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7" xfId="0" applyFont="1" applyFill="1" applyBorder="1" applyAlignment="1" applyProtection="1">
      <alignment horizontal="center" vertical="center"/>
    </xf>
    <xf numFmtId="0" fontId="55" fillId="0" borderId="5" xfId="0" applyFont="1" applyFill="1" applyBorder="1" applyAlignment="1">
      <alignment horizontal="center" vertical="center" wrapText="1"/>
    </xf>
    <xf numFmtId="0" fontId="55" fillId="0" borderId="9" xfId="0" applyFont="1" applyFill="1" applyBorder="1" applyAlignment="1">
      <alignment horizontal="center" vertical="center" wrapText="1"/>
    </xf>
    <xf numFmtId="181" fontId="40" fillId="0" borderId="0" xfId="8" applyNumberFormat="1" applyFont="1" applyFill="1" applyBorder="1" applyAlignment="1" applyProtection="1">
      <alignment horizontal="left" vertical="center" wrapText="1"/>
    </xf>
    <xf numFmtId="0" fontId="40" fillId="0" borderId="0" xfId="8" applyFont="1" applyFill="1" applyBorder="1" applyAlignment="1" applyProtection="1">
      <alignment horizontal="left"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17" fillId="5" borderId="13" xfId="8" applyFont="1" applyFill="1" applyBorder="1" applyAlignment="1" applyProtection="1">
      <alignment horizontal="center" vertical="center" wrapText="1"/>
    </xf>
    <xf numFmtId="0" fontId="17" fillId="5" borderId="12" xfId="8" applyFont="1" applyFill="1" applyBorder="1" applyAlignment="1" applyProtection="1">
      <alignment horizontal="center" vertical="center" wrapText="1"/>
    </xf>
    <xf numFmtId="0" fontId="17" fillId="5" borderId="11" xfId="8" applyFont="1" applyFill="1" applyBorder="1" applyAlignment="1" applyProtection="1">
      <alignment horizontal="center" vertical="center" wrapText="1"/>
    </xf>
    <xf numFmtId="0" fontId="17" fillId="5" borderId="16" xfId="8" applyFont="1" applyFill="1" applyBorder="1" applyAlignment="1" applyProtection="1">
      <alignment horizontal="center" vertical="center" wrapText="1"/>
    </xf>
    <xf numFmtId="0" fontId="14" fillId="5" borderId="5" xfId="0" applyFont="1" applyFill="1" applyBorder="1" applyAlignment="1" applyProtection="1">
      <alignment horizontal="center" vertical="center" wrapText="1"/>
    </xf>
    <xf numFmtId="0" fontId="14" fillId="5" borderId="9" xfId="0" applyFont="1" applyFill="1" applyBorder="1" applyAlignment="1" applyProtection="1">
      <alignment horizontal="center" vertical="center" wrapText="1"/>
    </xf>
    <xf numFmtId="0" fontId="14" fillId="5" borderId="6"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12" xfId="0" applyFont="1" applyFill="1" applyBorder="1" applyAlignment="1" applyProtection="1">
      <alignment horizontal="center" vertical="top" wrapText="1"/>
    </xf>
    <xf numFmtId="0" fontId="14" fillId="0" borderId="70" xfId="0" applyFont="1" applyFill="1" applyBorder="1" applyAlignment="1" applyProtection="1">
      <alignment horizontal="center" vertical="top" wrapText="1"/>
    </xf>
    <xf numFmtId="20" fontId="10" fillId="0" borderId="1" xfId="0" applyNumberFormat="1" applyFont="1" applyBorder="1" applyAlignment="1" applyProtection="1">
      <alignment horizontal="center" vertical="center"/>
    </xf>
    <xf numFmtId="14" fontId="116" fillId="0" borderId="69" xfId="8" applyNumberFormat="1" applyFont="1" applyFill="1" applyBorder="1" applyAlignment="1" applyProtection="1">
      <alignment horizontal="left" vertical="center"/>
      <protection locked="0"/>
    </xf>
    <xf numFmtId="14" fontId="18" fillId="38" borderId="69" xfId="8" applyNumberFormat="1" applyFont="1" applyFill="1" applyBorder="1" applyAlignment="1" applyProtection="1">
      <alignment horizontal="left" vertical="center"/>
      <protection locked="0"/>
    </xf>
    <xf numFmtId="0" fontId="55" fillId="38" borderId="5" xfId="0" applyFont="1" applyFill="1" applyBorder="1" applyAlignment="1" applyProtection="1">
      <alignment horizontal="left" vertical="center" wrapText="1"/>
      <protection locked="0"/>
    </xf>
    <xf numFmtId="0" fontId="55"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105" fillId="38" borderId="5" xfId="0" applyFont="1" applyFill="1" applyBorder="1" applyAlignment="1" applyProtection="1">
      <alignment horizontal="left" vertical="center" wrapText="1"/>
      <protection locked="0"/>
    </xf>
    <xf numFmtId="0" fontId="105" fillId="38" borderId="6" xfId="0" applyFont="1" applyFill="1" applyBorder="1" applyAlignment="1" applyProtection="1">
      <alignment horizontal="left" vertical="center" wrapText="1"/>
      <protection locked="0"/>
    </xf>
    <xf numFmtId="0" fontId="24" fillId="0" borderId="0" xfId="0" applyFont="1" applyFill="1" applyBorder="1" applyAlignment="1">
      <alignment horizontal="center" vertical="center"/>
    </xf>
    <xf numFmtId="0" fontId="24" fillId="0" borderId="5" xfId="0" applyFont="1" applyFill="1" applyBorder="1" applyAlignment="1">
      <alignment horizontal="center" vertical="center"/>
    </xf>
    <xf numFmtId="0" fontId="24" fillId="0" borderId="6" xfId="0" applyFont="1" applyFill="1" applyBorder="1" applyAlignment="1">
      <alignment horizontal="center" vertical="center"/>
    </xf>
    <xf numFmtId="0" fontId="24" fillId="5" borderId="3" xfId="0" applyFont="1" applyFill="1" applyBorder="1" applyAlignment="1" applyProtection="1">
      <alignment horizontal="center" vertical="center" wrapText="1"/>
      <protection locked="0"/>
    </xf>
    <xf numFmtId="0" fontId="24" fillId="5" borderId="10" xfId="0" applyFont="1" applyFill="1"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24" fillId="0" borderId="13" xfId="0" applyFont="1" applyFill="1" applyBorder="1" applyAlignment="1">
      <alignment horizontal="center" vertical="center"/>
    </xf>
    <xf numFmtId="0" fontId="24" fillId="0" borderId="12"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15" xfId="0" applyFont="1" applyFill="1" applyBorder="1" applyAlignment="1">
      <alignment horizontal="center" vertical="center"/>
    </xf>
    <xf numFmtId="0" fontId="38" fillId="14" borderId="1" xfId="85" applyFont="1" applyFill="1" applyBorder="1" applyAlignment="1">
      <alignment horizontal="right" vertical="center" wrapText="1"/>
    </xf>
    <xf numFmtId="0" fontId="38" fillId="0" borderId="13"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8" fillId="0" borderId="11"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87" xfId="0" applyFont="1" applyFill="1" applyBorder="1" applyAlignment="1">
      <alignment horizontal="center" vertical="center" wrapText="1"/>
    </xf>
    <xf numFmtId="0" fontId="38" fillId="0" borderId="70" xfId="0" applyFont="1" applyFill="1" applyBorder="1" applyAlignment="1">
      <alignment horizontal="center" vertical="center" wrapText="1"/>
    </xf>
    <xf numFmtId="20" fontId="38" fillId="0" borderId="1" xfId="0" quotePrefix="1" applyNumberFormat="1" applyFont="1" applyFill="1" applyBorder="1" applyAlignment="1" applyProtection="1">
      <alignment horizontal="center" vertical="center"/>
    </xf>
    <xf numFmtId="0" fontId="38" fillId="0" borderId="2" xfId="0" applyFont="1" applyFill="1" applyBorder="1" applyAlignment="1">
      <alignment horizontal="center" vertical="center" wrapText="1"/>
    </xf>
    <xf numFmtId="0" fontId="38" fillId="5" borderId="3"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5" borderId="2"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8" fillId="0" borderId="1" xfId="0" quotePrefix="1" applyFont="1" applyFill="1" applyBorder="1" applyAlignment="1" applyProtection="1">
      <alignment horizontal="center" vertical="center"/>
    </xf>
    <xf numFmtId="0" fontId="38" fillId="0" borderId="13"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wrapText="1"/>
    </xf>
    <xf numFmtId="0" fontId="38" fillId="0" borderId="1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3" xfId="0" applyNumberFormat="1" applyFont="1" applyFill="1" applyBorder="1" applyAlignment="1" applyProtection="1">
      <alignment horizontal="center" vertical="center" wrapText="1"/>
    </xf>
    <xf numFmtId="0" fontId="38" fillId="0" borderId="10" xfId="0" applyNumberFormat="1" applyFont="1" applyFill="1" applyBorder="1" applyAlignment="1" applyProtection="1">
      <alignment horizontal="center" vertical="center" wrapText="1"/>
    </xf>
    <xf numFmtId="0" fontId="38" fillId="0" borderId="7" xfId="0" quotePrefix="1" applyFont="1" applyFill="1" applyBorder="1" applyAlignment="1" applyProtection="1">
      <alignment horizontal="center" vertical="center"/>
    </xf>
    <xf numFmtId="20" fontId="38" fillId="0" borderId="5" xfId="0" quotePrefix="1" applyNumberFormat="1" applyFont="1" applyFill="1" applyBorder="1" applyAlignment="1" applyProtection="1">
      <alignment horizontal="center" vertical="center"/>
    </xf>
    <xf numFmtId="20" fontId="38" fillId="0" borderId="9" xfId="0" quotePrefix="1" applyNumberFormat="1" applyFont="1" applyFill="1" applyBorder="1" applyAlignment="1" applyProtection="1">
      <alignment horizontal="center" vertical="center"/>
    </xf>
    <xf numFmtId="20" fontId="38" fillId="0" borderId="6" xfId="0" quotePrefix="1" applyNumberFormat="1" applyFont="1" applyFill="1" applyBorder="1" applyAlignment="1" applyProtection="1">
      <alignment horizontal="center" vertical="center"/>
    </xf>
    <xf numFmtId="0" fontId="38" fillId="0" borderId="0" xfId="0" applyFont="1" applyFill="1" applyBorder="1" applyAlignment="1" applyProtection="1">
      <alignment horizontal="center" vertical="center" wrapText="1"/>
      <protection locked="0"/>
    </xf>
    <xf numFmtId="20" fontId="38" fillId="4" borderId="1" xfId="0" quotePrefix="1" applyNumberFormat="1"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13" xfId="0" applyFont="1" applyFill="1" applyBorder="1" applyAlignment="1">
      <alignment horizontal="center" vertical="center"/>
    </xf>
    <xf numFmtId="0" fontId="38" fillId="0" borderId="12"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15" xfId="0" applyFont="1" applyFill="1" applyBorder="1" applyAlignment="1">
      <alignment horizontal="center" vertical="center"/>
    </xf>
    <xf numFmtId="0" fontId="111" fillId="0" borderId="0" xfId="0" applyFont="1" applyFill="1" applyAlignment="1" applyProtection="1">
      <alignment horizontal="center" vertical="center" wrapText="1"/>
    </xf>
    <xf numFmtId="0" fontId="40" fillId="0" borderId="0" xfId="8"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protection locked="0"/>
    </xf>
    <xf numFmtId="0" fontId="24" fillId="0" borderId="12" xfId="0" applyFont="1" applyFill="1" applyBorder="1" applyAlignment="1" applyProtection="1">
      <alignment horizontal="center" vertical="center"/>
      <protection locked="0"/>
    </xf>
    <xf numFmtId="0" fontId="25" fillId="0" borderId="1" xfId="0" applyFont="1" applyFill="1" applyBorder="1" applyAlignment="1" applyProtection="1"/>
    <xf numFmtId="0" fontId="32" fillId="0" borderId="13" xfId="0" applyFont="1" applyFill="1" applyBorder="1" applyAlignment="1" applyProtection="1">
      <alignment horizontal="center" vertical="center" wrapText="1"/>
    </xf>
    <xf numFmtId="0" fontId="32" fillId="0" borderId="8" xfId="0" applyFont="1" applyFill="1" applyBorder="1" applyAlignment="1" applyProtection="1">
      <alignment horizontal="center" vertical="center" wrapText="1"/>
    </xf>
    <xf numFmtId="0" fontId="32" fillId="0" borderId="12" xfId="0" applyFont="1" applyFill="1" applyBorder="1" applyAlignment="1" applyProtection="1">
      <alignment horizontal="center" vertical="center" wrapText="1"/>
    </xf>
    <xf numFmtId="0" fontId="32" fillId="0" borderId="11" xfId="0" applyFont="1" applyFill="1" applyBorder="1" applyAlignment="1" applyProtection="1">
      <alignment horizontal="center" vertical="center" wrapText="1"/>
    </xf>
    <xf numFmtId="0" fontId="32" fillId="0" borderId="0" xfId="0" applyFont="1" applyFill="1" applyBorder="1" applyAlignment="1" applyProtection="1">
      <alignment horizontal="center" vertical="center" wrapText="1"/>
    </xf>
    <xf numFmtId="0" fontId="32" fillId="0" borderId="16" xfId="0" applyFont="1" applyFill="1" applyBorder="1" applyAlignment="1" applyProtection="1">
      <alignment horizontal="center" vertical="center" wrapText="1"/>
    </xf>
    <xf numFmtId="0" fontId="32" fillId="0" borderId="4" xfId="0" applyFont="1" applyFill="1" applyBorder="1" applyAlignment="1" applyProtection="1">
      <alignment horizontal="center" vertical="center" wrapText="1"/>
    </xf>
    <xf numFmtId="0" fontId="32" fillId="0" borderId="7" xfId="0" applyFont="1" applyFill="1" applyBorder="1" applyAlignment="1" applyProtection="1">
      <alignment horizontal="center" vertical="center" wrapText="1"/>
    </xf>
    <xf numFmtId="0" fontId="32" fillId="0" borderId="15"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24" fillId="0" borderId="5"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xf>
    <xf numFmtId="0" fontId="14" fillId="0" borderId="5" xfId="0" applyFont="1" applyFill="1" applyBorder="1" applyAlignment="1" applyProtection="1">
      <alignment horizontal="left" vertical="center" wrapText="1"/>
    </xf>
    <xf numFmtId="0" fontId="14" fillId="0" borderId="9" xfId="0" applyFont="1" applyFill="1" applyBorder="1" applyAlignment="1" applyProtection="1">
      <alignment horizontal="left" vertical="center" wrapText="1"/>
    </xf>
    <xf numFmtId="0" fontId="14" fillId="0" borderId="6" xfId="0" applyFont="1" applyFill="1" applyBorder="1" applyAlignment="1" applyProtection="1">
      <alignment horizontal="left" vertical="center" wrapText="1"/>
    </xf>
    <xf numFmtId="0" fontId="24" fillId="0" borderId="12" xfId="8" applyFont="1" applyFill="1" applyBorder="1" applyAlignment="1" applyProtection="1">
      <alignment horizontal="center" vertical="center" wrapText="1"/>
    </xf>
    <xf numFmtId="0" fontId="24" fillId="0" borderId="10" xfId="8" applyFont="1" applyFill="1" applyBorder="1" applyAlignment="1" applyProtection="1">
      <alignment horizontal="center" vertical="center" wrapText="1"/>
    </xf>
    <xf numFmtId="20" fontId="25" fillId="0" borderId="2" xfId="0" applyNumberFormat="1" applyFont="1" applyFill="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20" fontId="25" fillId="0" borderId="2" xfId="0" quotePrefix="1" applyNumberFormat="1" applyFont="1" applyFill="1" applyBorder="1" applyAlignment="1" applyProtection="1">
      <alignment horizontal="center" vertical="center" wrapText="1"/>
    </xf>
    <xf numFmtId="0" fontId="32" fillId="0" borderId="5" xfId="0" applyFont="1" applyFill="1" applyBorder="1" applyAlignment="1" applyProtection="1">
      <alignment horizontal="center" vertical="center" wrapText="1"/>
    </xf>
    <xf numFmtId="0" fontId="32" fillId="0" borderId="9" xfId="0" applyFont="1" applyFill="1" applyBorder="1" applyAlignment="1" applyProtection="1">
      <alignment horizontal="center" vertical="center" wrapText="1"/>
    </xf>
    <xf numFmtId="0" fontId="32" fillId="0" borderId="6" xfId="0" applyFont="1" applyFill="1" applyBorder="1" applyAlignment="1" applyProtection="1">
      <alignment horizontal="center" vertical="center" wrapText="1"/>
    </xf>
    <xf numFmtId="0" fontId="117" fillId="0" borderId="0" xfId="0" applyFont="1" applyFill="1" applyAlignment="1" applyProtection="1">
      <alignment horizontal="center" vertical="center" wrapText="1"/>
    </xf>
    <xf numFmtId="0" fontId="18" fillId="0" borderId="0" xfId="0"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wrapText="1"/>
    </xf>
    <xf numFmtId="0" fontId="63" fillId="0" borderId="6" xfId="8" applyFont="1" applyFill="1" applyBorder="1" applyAlignment="1" applyProtection="1">
      <alignment horizontal="center" vertical="center" wrapText="1"/>
    </xf>
    <xf numFmtId="0" fontId="30" fillId="0" borderId="5" xfId="8" applyFont="1" applyFill="1" applyBorder="1" applyAlignment="1" applyProtection="1">
      <alignment horizontal="center" vertical="center" wrapText="1"/>
    </xf>
    <xf numFmtId="0" fontId="30" fillId="0" borderId="6" xfId="8"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xf>
    <xf numFmtId="0" fontId="63" fillId="0" borderId="6" xfId="8" applyFont="1" applyFill="1" applyBorder="1" applyAlignment="1" applyProtection="1">
      <alignment horizontal="center" vertical="center"/>
    </xf>
    <xf numFmtId="0" fontId="30" fillId="0" borderId="5" xfId="8" applyFont="1" applyFill="1" applyBorder="1" applyAlignment="1" applyProtection="1">
      <alignment horizontal="center" vertical="center"/>
    </xf>
    <xf numFmtId="0" fontId="30" fillId="0" borderId="6" xfId="8" applyFont="1" applyFill="1" applyBorder="1" applyAlignment="1" applyProtection="1">
      <alignment horizontal="center" vertical="center"/>
    </xf>
    <xf numFmtId="0" fontId="30" fillId="0" borderId="1" xfId="8" applyFont="1" applyFill="1" applyBorder="1" applyAlignment="1" applyProtection="1">
      <alignment horizontal="center" vertical="center" wrapText="1"/>
    </xf>
    <xf numFmtId="20" fontId="63" fillId="0" borderId="1" xfId="0" applyNumberFormat="1"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20" fontId="63" fillId="0" borderId="5" xfId="0" applyNumberFormat="1" applyFont="1" applyFill="1" applyBorder="1" applyAlignment="1" applyProtection="1">
      <alignment horizontal="center" vertical="center"/>
    </xf>
    <xf numFmtId="20" fontId="63" fillId="0" borderId="9" xfId="0" applyNumberFormat="1" applyFont="1" applyFill="1" applyBorder="1" applyAlignment="1" applyProtection="1">
      <alignment horizontal="center" vertical="center"/>
    </xf>
    <xf numFmtId="20" fontId="63" fillId="0" borderId="6" xfId="0" applyNumberFormat="1" applyFont="1" applyFill="1" applyBorder="1" applyAlignment="1" applyProtection="1">
      <alignment horizontal="center" vertical="center"/>
    </xf>
    <xf numFmtId="0" fontId="63" fillId="0" borderId="4" xfId="0" applyFont="1" applyFill="1" applyBorder="1" applyAlignment="1" applyProtection="1">
      <alignment horizontal="center" vertical="center"/>
    </xf>
    <xf numFmtId="0" fontId="63" fillId="0" borderId="7" xfId="0" applyFont="1" applyFill="1" applyBorder="1" applyAlignment="1" applyProtection="1">
      <alignment horizontal="center" vertical="center"/>
    </xf>
    <xf numFmtId="0" fontId="63" fillId="0" borderId="15" xfId="0" applyFont="1" applyFill="1" applyBorder="1" applyAlignment="1" applyProtection="1">
      <alignment horizontal="center" vertical="center"/>
    </xf>
    <xf numFmtId="0" fontId="30" fillId="4" borderId="1" xfId="8" applyFont="1" applyFill="1" applyBorder="1" applyAlignment="1" applyProtection="1">
      <alignment horizontal="center" vertical="center" wrapText="1" shrinkToFit="1"/>
    </xf>
    <xf numFmtId="0" fontId="121" fillId="0" borderId="3" xfId="0" applyFont="1" applyFill="1" applyBorder="1" applyAlignment="1" applyProtection="1">
      <alignment horizontal="center" vertical="center"/>
    </xf>
    <xf numFmtId="0" fontId="121" fillId="0" borderId="10" xfId="0" applyFont="1" applyFill="1" applyBorder="1" applyAlignment="1" applyProtection="1">
      <alignment horizontal="center" vertical="center"/>
    </xf>
    <xf numFmtId="0" fontId="121" fillId="0" borderId="2" xfId="0" applyFont="1" applyFill="1" applyBorder="1" applyAlignment="1" applyProtection="1">
      <alignment horizontal="center" vertical="center"/>
    </xf>
    <xf numFmtId="0" fontId="63" fillId="0" borderId="1" xfId="0"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xf>
    <xf numFmtId="0" fontId="63" fillId="0" borderId="5" xfId="0" applyFont="1" applyFill="1" applyBorder="1" applyAlignment="1" applyProtection="1">
      <alignment horizontal="center" vertical="center" wrapText="1"/>
    </xf>
    <xf numFmtId="0" fontId="63" fillId="0" borderId="9" xfId="0" applyFont="1" applyFill="1" applyBorder="1" applyAlignment="1" applyProtection="1">
      <alignment horizontal="center" vertical="center" wrapText="1"/>
    </xf>
    <xf numFmtId="0" fontId="63" fillId="0" borderId="6" xfId="0" applyFont="1" applyFill="1" applyBorder="1" applyAlignment="1" applyProtection="1">
      <alignment horizontal="center" vertical="center" wrapText="1"/>
    </xf>
    <xf numFmtId="0" fontId="63" fillId="0" borderId="5" xfId="0" applyFont="1" applyFill="1" applyBorder="1" applyAlignment="1" applyProtection="1">
      <alignment horizontal="center" vertical="center"/>
    </xf>
    <xf numFmtId="0" fontId="63" fillId="0" borderId="9" xfId="0" applyFont="1" applyFill="1" applyBorder="1" applyAlignment="1" applyProtection="1">
      <alignment horizontal="center" vertical="center"/>
    </xf>
    <xf numFmtId="0" fontId="63" fillId="0" borderId="6" xfId="0"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3" fillId="0" borderId="1" xfId="0" applyFont="1" applyFill="1" applyBorder="1" applyAlignment="1">
      <alignment horizontal="center" vertical="center"/>
    </xf>
    <xf numFmtId="0" fontId="30" fillId="0" borderId="13" xfId="8" applyFont="1" applyFill="1" applyBorder="1" applyAlignment="1" applyProtection="1">
      <alignment horizontal="center" vertical="center" wrapText="1"/>
    </xf>
    <xf numFmtId="0" fontId="30" fillId="0" borderId="12" xfId="8" applyFont="1" applyFill="1" applyBorder="1" applyAlignment="1" applyProtection="1">
      <alignment horizontal="center" vertical="center" wrapText="1"/>
    </xf>
    <xf numFmtId="0" fontId="59" fillId="0" borderId="5" xfId="0" applyFont="1" applyFill="1" applyBorder="1" applyAlignment="1" applyProtection="1">
      <alignment horizontal="center" vertical="center" wrapText="1"/>
      <protection locked="0"/>
    </xf>
    <xf numFmtId="0" fontId="59" fillId="0" borderId="9" xfId="0" applyFont="1" applyFill="1" applyBorder="1" applyAlignment="1" applyProtection="1">
      <alignment horizontal="center" vertical="center" wrapText="1"/>
      <protection locked="0"/>
    </xf>
    <xf numFmtId="0" fontId="63" fillId="0" borderId="3" xfId="0" applyFont="1" applyFill="1" applyBorder="1" applyAlignment="1">
      <alignment horizontal="center" vertical="center" wrapText="1"/>
    </xf>
    <xf numFmtId="0" fontId="63" fillId="0" borderId="2" xfId="0" applyFont="1" applyFill="1" applyBorder="1" applyAlignment="1">
      <alignment horizontal="center" vertical="center" wrapText="1"/>
    </xf>
    <xf numFmtId="0" fontId="30" fillId="0" borderId="7" xfId="8" applyFont="1" applyFill="1" applyBorder="1" applyAlignment="1" applyProtection="1">
      <alignment horizontal="center" vertical="center"/>
    </xf>
    <xf numFmtId="0" fontId="63" fillId="0" borderId="0" xfId="0" applyFont="1" applyFill="1" applyBorder="1" applyAlignment="1" applyProtection="1">
      <alignment horizontal="center" vertical="center" wrapText="1"/>
    </xf>
    <xf numFmtId="0" fontId="30" fillId="0" borderId="0" xfId="8" applyFont="1" applyFill="1" applyBorder="1" applyAlignment="1" applyProtection="1">
      <alignment horizontal="center" vertical="center" wrapText="1"/>
    </xf>
    <xf numFmtId="0" fontId="30" fillId="0" borderId="2" xfId="8" applyFont="1" applyFill="1" applyBorder="1" applyAlignment="1" applyProtection="1">
      <alignment horizontal="center" vertical="center" wrapText="1"/>
    </xf>
    <xf numFmtId="0" fontId="63" fillId="0" borderId="2" xfId="0" applyFont="1" applyFill="1" applyBorder="1" applyAlignment="1" applyProtection="1">
      <alignment horizontal="center" vertical="center" wrapText="1"/>
    </xf>
    <xf numFmtId="0" fontId="63" fillId="0" borderId="2" xfId="0" applyNumberFormat="1" applyFont="1" applyFill="1" applyBorder="1" applyAlignment="1" applyProtection="1">
      <alignment horizontal="center" vertical="center" wrapText="1"/>
    </xf>
    <xf numFmtId="0" fontId="128" fillId="0" borderId="3" xfId="0" applyFont="1" applyFill="1" applyBorder="1" applyAlignment="1" applyProtection="1">
      <alignment horizontal="center" vertical="center"/>
    </xf>
    <xf numFmtId="0" fontId="128" fillId="0" borderId="10" xfId="0" applyFont="1" applyFill="1" applyBorder="1" applyAlignment="1" applyProtection="1">
      <alignment horizontal="center" vertical="center"/>
    </xf>
    <xf numFmtId="0" fontId="128" fillId="0" borderId="2"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xf>
    <xf numFmtId="174" fontId="121" fillId="0" borderId="7" xfId="0" applyNumberFormat="1"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protection locked="0"/>
    </xf>
    <xf numFmtId="0" fontId="17" fillId="0" borderId="15"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1" xfId="0" applyFont="1" applyFill="1" applyBorder="1" applyAlignment="1">
      <alignment horizontal="center" vertical="center"/>
    </xf>
    <xf numFmtId="0" fontId="130" fillId="0" borderId="1"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xf>
    <xf numFmtId="41" fontId="38" fillId="0" borderId="9" xfId="0" applyNumberFormat="1"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protection locked="0"/>
    </xf>
    <xf numFmtId="0" fontId="10" fillId="0" borderId="6" xfId="0" applyFont="1" applyFill="1" applyBorder="1" applyAlignment="1" applyProtection="1">
      <alignment horizontal="center" vertical="center"/>
      <protection locked="0"/>
    </xf>
    <xf numFmtId="20" fontId="10" fillId="0" borderId="5" xfId="0" applyNumberFormat="1" applyFont="1" applyFill="1" applyBorder="1" applyAlignment="1">
      <alignment horizontal="center" vertical="center" wrapText="1"/>
    </xf>
    <xf numFmtId="20" fontId="14" fillId="0" borderId="5" xfId="0" applyNumberFormat="1" applyFont="1" applyFill="1" applyBorder="1" applyAlignment="1">
      <alignment horizontal="center" vertical="center" wrapText="1"/>
    </xf>
    <xf numFmtId="0" fontId="14" fillId="0" borderId="6" xfId="0" applyFont="1" applyFill="1" applyBorder="1" applyAlignment="1">
      <alignment horizontal="center" vertical="center" wrapText="1"/>
    </xf>
    <xf numFmtId="0" fontId="63" fillId="0" borderId="0" xfId="0" applyFont="1" applyFill="1" applyAlignment="1">
      <alignment horizontal="center" vertical="center" wrapText="1"/>
    </xf>
    <xf numFmtId="0" fontId="65" fillId="0" borderId="0" xfId="0" applyFont="1" applyFill="1" applyBorder="1" applyAlignment="1">
      <alignment horizontal="center" vertical="center" wrapText="1"/>
    </xf>
    <xf numFmtId="0" fontId="65" fillId="0" borderId="16" xfId="0" applyFont="1" applyFill="1" applyBorder="1" applyAlignment="1">
      <alignment horizontal="center" vertical="center" wrapText="1"/>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24" fillId="0" borderId="5" xfId="8" applyFont="1" applyFill="1" applyBorder="1" applyAlignment="1">
      <alignment horizontal="center" vertical="center" wrapText="1"/>
    </xf>
    <xf numFmtId="0" fontId="135" fillId="0" borderId="6" xfId="0" applyFont="1" applyFill="1" applyBorder="1">
      <alignment vertical="center"/>
    </xf>
    <xf numFmtId="0" fontId="10" fillId="0" borderId="5" xfId="8" applyFont="1" applyFill="1" applyBorder="1" applyAlignment="1">
      <alignment horizontal="center" vertical="center"/>
    </xf>
    <xf numFmtId="0" fontId="10" fillId="0" borderId="5"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6" xfId="0" applyFont="1" applyFill="1" applyBorder="1" applyAlignment="1">
      <alignment horizontal="center" vertical="center"/>
    </xf>
    <xf numFmtId="0" fontId="24" fillId="0" borderId="13" xfId="8" applyFont="1" applyFill="1" applyBorder="1" applyAlignment="1">
      <alignment horizontal="center" vertical="center" wrapText="1"/>
    </xf>
    <xf numFmtId="0" fontId="24" fillId="0" borderId="12" xfId="8" applyFont="1" applyFill="1" applyBorder="1" applyAlignment="1">
      <alignment horizontal="center" vertical="center" wrapText="1"/>
    </xf>
    <xf numFmtId="0" fontId="24" fillId="0" borderId="11" xfId="8" applyFont="1" applyFill="1" applyBorder="1" applyAlignment="1">
      <alignment horizontal="center" vertical="center" wrapText="1"/>
    </xf>
    <xf numFmtId="0" fontId="24" fillId="0" borderId="16" xfId="8" applyFont="1" applyFill="1" applyBorder="1" applyAlignment="1">
      <alignment horizontal="center" vertical="center" wrapText="1"/>
    </xf>
    <xf numFmtId="0" fontId="24" fillId="0" borderId="4" xfId="8" applyFont="1" applyFill="1" applyBorder="1" applyAlignment="1">
      <alignment horizontal="center" vertical="center" wrapText="1"/>
    </xf>
    <xf numFmtId="0" fontId="24" fillId="0" borderId="15" xfId="8" applyFont="1" applyFill="1" applyBorder="1" applyAlignment="1">
      <alignment horizontal="center" vertical="center" wrapText="1"/>
    </xf>
    <xf numFmtId="167" fontId="10" fillId="0" borderId="5" xfId="0" applyNumberFormat="1" applyFont="1" applyFill="1" applyBorder="1" applyAlignment="1">
      <alignment horizontal="center" vertical="center"/>
    </xf>
    <xf numFmtId="167" fontId="10" fillId="0" borderId="6" xfId="0" applyNumberFormat="1"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167" fontId="10" fillId="0" borderId="13" xfId="0" applyNumberFormat="1" applyFont="1" applyFill="1" applyBorder="1" applyAlignment="1">
      <alignment horizontal="center" vertical="center"/>
    </xf>
    <xf numFmtId="167" fontId="10" fillId="0" borderId="12" xfId="0" applyNumberFormat="1" applyFont="1" applyFill="1" applyBorder="1" applyAlignment="1">
      <alignment horizontal="center" vertical="center"/>
    </xf>
    <xf numFmtId="167" fontId="10" fillId="0" borderId="4" xfId="0" applyNumberFormat="1" applyFont="1" applyFill="1" applyBorder="1" applyAlignment="1">
      <alignment horizontal="center" vertical="center"/>
    </xf>
    <xf numFmtId="167" fontId="10" fillId="0" borderId="15" xfId="0" applyNumberFormat="1" applyFont="1" applyFill="1" applyBorder="1" applyAlignment="1">
      <alignment horizontal="center" vertical="center"/>
    </xf>
    <xf numFmtId="9" fontId="10" fillId="0" borderId="5" xfId="0" applyNumberFormat="1" applyFont="1" applyFill="1" applyBorder="1" applyAlignment="1">
      <alignment horizontal="center" vertical="center"/>
    </xf>
    <xf numFmtId="9" fontId="10" fillId="0" borderId="6" xfId="0" applyNumberFormat="1" applyFont="1" applyFill="1" applyBorder="1" applyAlignment="1">
      <alignment horizontal="center" vertical="center"/>
    </xf>
    <xf numFmtId="0" fontId="139" fillId="0" borderId="0" xfId="0" applyFont="1" applyFill="1" applyAlignment="1" applyProtection="1">
      <alignment horizontal="center" vertical="center" wrapText="1"/>
    </xf>
    <xf numFmtId="0" fontId="141" fillId="0" borderId="0" xfId="8" applyFont="1" applyFill="1" applyBorder="1" applyAlignment="1" applyProtection="1">
      <alignment horizontal="center" vertical="center" wrapText="1"/>
    </xf>
    <xf numFmtId="0" fontId="141" fillId="0" borderId="16" xfId="8"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xf>
    <xf numFmtId="0" fontId="133" fillId="0" borderId="5" xfId="8" applyFont="1" applyFill="1" applyBorder="1" applyAlignment="1" applyProtection="1">
      <alignment horizontal="center" vertical="center"/>
    </xf>
    <xf numFmtId="0" fontId="133" fillId="0" borderId="6" xfId="8" applyFont="1" applyFill="1" applyBorder="1" applyAlignment="1" applyProtection="1">
      <alignment horizontal="center" vertical="center"/>
    </xf>
    <xf numFmtId="0" fontId="75" fillId="0" borderId="1" xfId="0" applyFont="1" applyFill="1" applyBorder="1" applyAlignment="1" applyProtection="1">
      <alignment horizontal="center" vertical="center"/>
    </xf>
    <xf numFmtId="0" fontId="143" fillId="0" borderId="13" xfId="0" applyFont="1" applyFill="1" applyBorder="1" applyAlignment="1" applyProtection="1">
      <alignment horizontal="center" vertical="center" wrapText="1"/>
    </xf>
    <xf numFmtId="0" fontId="143" fillId="0" borderId="8" xfId="0" applyFont="1" applyFill="1" applyBorder="1" applyAlignment="1" applyProtection="1">
      <alignment horizontal="center" vertical="center" wrapText="1"/>
    </xf>
    <xf numFmtId="0" fontId="143" fillId="0" borderId="12" xfId="0" applyFont="1" applyFill="1" applyBorder="1" applyAlignment="1" applyProtection="1">
      <alignment horizontal="center" vertical="center" wrapText="1"/>
    </xf>
    <xf numFmtId="0" fontId="143" fillId="0" borderId="11" xfId="0" applyFont="1" applyFill="1" applyBorder="1" applyAlignment="1" applyProtection="1">
      <alignment horizontal="center" vertical="center" wrapText="1"/>
    </xf>
    <xf numFmtId="0" fontId="143" fillId="0" borderId="0" xfId="0" applyFont="1" applyFill="1" applyBorder="1" applyAlignment="1" applyProtection="1">
      <alignment horizontal="center" vertical="center" wrapText="1"/>
    </xf>
    <xf numFmtId="0" fontId="143" fillId="0" borderId="16" xfId="0" applyFont="1" applyFill="1" applyBorder="1" applyAlignment="1" applyProtection="1">
      <alignment horizontal="center" vertical="center" wrapText="1"/>
    </xf>
    <xf numFmtId="0" fontId="143" fillId="0" borderId="4" xfId="0" applyFont="1" applyFill="1" applyBorder="1" applyAlignment="1" applyProtection="1">
      <alignment horizontal="center" vertical="center" wrapText="1"/>
    </xf>
    <xf numFmtId="0" fontId="143" fillId="0" borderId="7" xfId="0" applyFont="1" applyFill="1" applyBorder="1" applyAlignment="1" applyProtection="1">
      <alignment horizontal="center" vertical="center" wrapText="1"/>
    </xf>
    <xf numFmtId="0" fontId="143" fillId="0" borderId="15" xfId="0"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wrapText="1"/>
    </xf>
    <xf numFmtId="0" fontId="55" fillId="0" borderId="91" xfId="0" applyFont="1" applyFill="1" applyBorder="1" applyAlignment="1" applyProtection="1">
      <alignment horizontal="left" vertical="center" wrapText="1"/>
    </xf>
    <xf numFmtId="0" fontId="55" fillId="0" borderId="92" xfId="0" applyFont="1" applyFill="1" applyBorder="1" applyAlignment="1" applyProtection="1">
      <alignment horizontal="left" vertical="center" wrapText="1"/>
    </xf>
    <xf numFmtId="0" fontId="55" fillId="0" borderId="93" xfId="0" applyFont="1" applyFill="1" applyBorder="1" applyAlignment="1" applyProtection="1">
      <alignment horizontal="left" vertical="center" wrapText="1"/>
    </xf>
    <xf numFmtId="0" fontId="52" fillId="0" borderId="3" xfId="8" applyFont="1" applyFill="1" applyBorder="1" applyAlignment="1" applyProtection="1">
      <alignment horizontal="center" vertical="center" wrapText="1"/>
    </xf>
    <xf numFmtId="0" fontId="52" fillId="0" borderId="10"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20" fontId="75" fillId="0" borderId="1" xfId="0" applyNumberFormat="1" applyFont="1" applyFill="1" applyBorder="1" applyAlignment="1" applyProtection="1">
      <alignment horizontal="center" vertical="center" wrapText="1"/>
    </xf>
    <xf numFmtId="20" fontId="75" fillId="0" borderId="5" xfId="0" applyNumberFormat="1" applyFont="1" applyFill="1" applyBorder="1" applyAlignment="1" applyProtection="1">
      <alignment horizontal="center" vertical="center" wrapText="1"/>
    </xf>
    <xf numFmtId="20" fontId="75" fillId="0" borderId="9" xfId="0" applyNumberFormat="1" applyFont="1" applyFill="1" applyBorder="1" applyAlignment="1" applyProtection="1">
      <alignment horizontal="center" vertical="center" wrapText="1"/>
    </xf>
    <xf numFmtId="20" fontId="75" fillId="0" borderId="6" xfId="0" applyNumberFormat="1" applyFont="1" applyFill="1" applyBorder="1" applyAlignment="1" applyProtection="1">
      <alignment horizontal="center" vertical="center" wrapText="1"/>
    </xf>
    <xf numFmtId="0" fontId="75" fillId="0" borderId="5" xfId="0" applyFont="1" applyFill="1" applyBorder="1" applyAlignment="1" applyProtection="1">
      <alignment horizontal="center" vertical="center" wrapText="1"/>
    </xf>
    <xf numFmtId="0" fontId="75" fillId="0" borderId="9" xfId="0" applyFont="1" applyFill="1" applyBorder="1" applyAlignment="1" applyProtection="1">
      <alignment horizontal="center" vertical="center" wrapText="1"/>
    </xf>
    <xf numFmtId="0" fontId="75" fillId="0" borderId="6" xfId="0" applyFont="1" applyFill="1" applyBorder="1" applyAlignment="1" applyProtection="1">
      <alignment horizontal="center" vertical="center" wrapText="1"/>
    </xf>
    <xf numFmtId="0" fontId="55" fillId="0" borderId="5" xfId="0" applyFont="1" applyFill="1" applyBorder="1" applyAlignment="1" applyProtection="1">
      <alignment horizontal="left" vertical="center" wrapText="1"/>
    </xf>
    <xf numFmtId="0" fontId="55" fillId="0" borderId="9" xfId="0" applyFont="1" applyFill="1" applyBorder="1" applyAlignment="1" applyProtection="1">
      <alignment horizontal="left" vertical="center" wrapText="1"/>
    </xf>
    <xf numFmtId="0" fontId="55" fillId="0" borderId="6" xfId="0" applyFont="1" applyFill="1" applyBorder="1" applyAlignment="1" applyProtection="1">
      <alignment horizontal="left" vertical="center" wrapText="1"/>
    </xf>
    <xf numFmtId="0" fontId="55" fillId="0" borderId="13" xfId="0" applyFont="1" applyFill="1" applyBorder="1" applyAlignment="1" applyProtection="1">
      <alignment horizontal="left" vertical="center" wrapText="1"/>
    </xf>
    <xf numFmtId="0" fontId="55" fillId="0" borderId="8" xfId="0" applyFont="1" applyFill="1" applyBorder="1" applyAlignment="1" applyProtection="1">
      <alignment horizontal="left" vertical="center" wrapText="1"/>
    </xf>
    <xf numFmtId="0" fontId="55" fillId="0" borderId="12" xfId="0" applyFont="1" applyFill="1" applyBorder="1" applyAlignment="1" applyProtection="1">
      <alignment horizontal="left" vertical="center" wrapText="1"/>
    </xf>
    <xf numFmtId="0" fontId="143" fillId="0" borderId="5" xfId="0" applyFont="1" applyFill="1" applyBorder="1" applyAlignment="1" applyProtection="1">
      <alignment horizontal="center" vertical="center" wrapText="1"/>
    </xf>
    <xf numFmtId="0" fontId="143" fillId="0" borderId="9" xfId="0" applyFont="1" applyFill="1" applyBorder="1" applyAlignment="1" applyProtection="1">
      <alignment horizontal="center" vertical="center" wrapText="1"/>
    </xf>
    <xf numFmtId="0" fontId="143" fillId="0" borderId="6" xfId="0" applyFont="1" applyFill="1" applyBorder="1" applyAlignment="1" applyProtection="1">
      <alignment horizontal="center" vertical="center" wrapText="1"/>
    </xf>
    <xf numFmtId="0" fontId="18" fillId="0" borderId="16" xfId="0" applyFont="1" applyFill="1" applyBorder="1" applyAlignment="1" applyProtection="1">
      <alignment horizontal="center" vertical="center" wrapText="1"/>
    </xf>
    <xf numFmtId="179" fontId="116" fillId="0" borderId="69" xfId="0" applyNumberFormat="1" applyFont="1" applyFill="1" applyBorder="1" applyAlignment="1" applyProtection="1">
      <alignment horizontal="center" vertical="center"/>
      <protection locked="0"/>
    </xf>
    <xf numFmtId="0" fontId="17" fillId="0" borderId="12"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wrapText="1"/>
    </xf>
    <xf numFmtId="0" fontId="14" fillId="0" borderId="13"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5"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0" fontId="190" fillId="0" borderId="5" xfId="0" applyFont="1" applyFill="1" applyBorder="1" applyAlignment="1" applyProtection="1">
      <alignment horizontal="center" vertical="center" wrapText="1"/>
      <protection locked="0"/>
    </xf>
    <xf numFmtId="0" fontId="190" fillId="0" borderId="9" xfId="0" applyFont="1" applyFill="1" applyBorder="1" applyAlignment="1" applyProtection="1">
      <alignment horizontal="center" vertical="center" wrapText="1"/>
      <protection locked="0"/>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204" fillId="0" borderId="0" xfId="84" applyFont="1" applyFill="1" applyBorder="1" applyAlignment="1" applyProtection="1">
      <alignment horizontal="left" vertical="center"/>
    </xf>
    <xf numFmtId="41" fontId="50" fillId="0" borderId="1" xfId="0" applyNumberFormat="1" applyFont="1" applyFill="1" applyBorder="1" applyAlignment="1" applyProtection="1">
      <alignment horizontal="center" vertical="center" wrapText="1"/>
    </xf>
    <xf numFmtId="41" fontId="50" fillId="0" borderId="1" xfId="0" applyNumberFormat="1" applyFont="1" applyFill="1" applyBorder="1" applyAlignment="1" applyProtection="1">
      <alignment horizontal="center" vertical="center" wrapText="1"/>
      <protection locked="0"/>
    </xf>
    <xf numFmtId="41" fontId="50" fillId="0" borderId="5"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6" xfId="0" applyNumberFormat="1" applyFont="1" applyFill="1" applyBorder="1" applyAlignment="1" applyProtection="1">
      <alignment horizontal="center" vertical="center" wrapText="1"/>
      <protection locked="0"/>
    </xf>
    <xf numFmtId="0" fontId="50" fillId="0" borderId="10" xfId="0" applyFont="1" applyFill="1" applyBorder="1" applyAlignment="1" applyProtection="1">
      <alignment horizontal="center" vertical="center" wrapText="1"/>
    </xf>
    <xf numFmtId="0" fontId="50" fillId="0" borderId="3" xfId="0" applyNumberFormat="1" applyFont="1" applyFill="1" applyBorder="1" applyAlignment="1" applyProtection="1">
      <alignment horizontal="center" vertical="center" wrapText="1"/>
    </xf>
    <xf numFmtId="0" fontId="50" fillId="0" borderId="10" xfId="0" applyNumberFormat="1" applyFont="1" applyFill="1" applyBorder="1" applyAlignment="1" applyProtection="1">
      <alignment horizontal="center" vertical="center" wrapText="1"/>
    </xf>
    <xf numFmtId="0" fontId="50" fillId="0" borderId="8" xfId="0" applyFont="1" applyFill="1" applyBorder="1" applyAlignment="1" applyProtection="1">
      <alignment horizontal="center" vertical="center"/>
    </xf>
    <xf numFmtId="0" fontId="50" fillId="0" borderId="12" xfId="0"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50" fillId="5" borderId="3" xfId="0" applyFont="1" applyFill="1" applyBorder="1" applyAlignment="1">
      <alignment horizontal="center" vertical="center" wrapText="1"/>
    </xf>
    <xf numFmtId="0" fontId="50" fillId="5" borderId="10" xfId="0" applyFont="1" applyFill="1" applyBorder="1" applyAlignment="1">
      <alignment horizontal="center" vertical="center" wrapText="1"/>
    </xf>
    <xf numFmtId="0" fontId="50" fillId="5" borderId="2" xfId="0" applyFont="1" applyFill="1" applyBorder="1" applyAlignment="1">
      <alignment horizontal="center" vertical="center" wrapText="1"/>
    </xf>
    <xf numFmtId="0" fontId="50" fillId="0" borderId="13"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11" xfId="0" applyFont="1" applyFill="1" applyBorder="1" applyAlignment="1" applyProtection="1">
      <alignment horizontal="center" vertical="center" wrapText="1"/>
    </xf>
    <xf numFmtId="0" fontId="50" fillId="0" borderId="16" xfId="0" applyFont="1" applyFill="1" applyBorder="1" applyAlignment="1" applyProtection="1">
      <alignment horizontal="center" vertical="center" wrapText="1"/>
    </xf>
    <xf numFmtId="0" fontId="50" fillId="0" borderId="7" xfId="0" quotePrefix="1" applyFont="1" applyFill="1" applyBorder="1" applyAlignment="1" applyProtection="1">
      <alignment horizontal="center" vertical="center"/>
    </xf>
    <xf numFmtId="20" fontId="50" fillId="0" borderId="1" xfId="0" quotePrefix="1" applyNumberFormat="1" applyFont="1" applyFill="1" applyBorder="1" applyAlignment="1" applyProtection="1">
      <alignment horizontal="center" vertical="center"/>
    </xf>
    <xf numFmtId="0" fontId="50" fillId="0" borderId="1" xfId="0" quotePrefix="1" applyFont="1" applyFill="1" applyBorder="1" applyAlignment="1" applyProtection="1">
      <alignment horizontal="center" vertical="center"/>
    </xf>
    <xf numFmtId="0" fontId="50" fillId="0" borderId="5" xfId="0" applyFont="1" applyFill="1" applyBorder="1" applyAlignment="1">
      <alignment horizontal="center" vertical="center"/>
    </xf>
    <xf numFmtId="0" fontId="50" fillId="0" borderId="6" xfId="0" applyFont="1" applyFill="1" applyBorder="1" applyAlignment="1">
      <alignment horizontal="center" vertical="center"/>
    </xf>
    <xf numFmtId="0" fontId="147" fillId="0" borderId="3" xfId="0" applyFont="1" applyFill="1" applyBorder="1" applyAlignment="1" applyProtection="1">
      <alignment horizontal="center" vertical="center"/>
    </xf>
    <xf numFmtId="0" fontId="147" fillId="0" borderId="2" xfId="0" applyFont="1" applyFill="1" applyBorder="1" applyAlignment="1" applyProtection="1">
      <alignment horizontal="center" vertical="center"/>
    </xf>
    <xf numFmtId="0" fontId="147" fillId="0" borderId="8" xfId="0" applyFont="1" applyFill="1" applyBorder="1" applyAlignment="1" applyProtection="1">
      <alignment horizontal="center" vertical="center"/>
    </xf>
    <xf numFmtId="0" fontId="147" fillId="0" borderId="12" xfId="0" applyFont="1" applyFill="1" applyBorder="1" applyAlignment="1" applyProtection="1">
      <alignment horizontal="center" vertical="center"/>
    </xf>
    <xf numFmtId="0" fontId="147" fillId="0" borderId="7" xfId="0" applyFont="1" applyFill="1" applyBorder="1" applyAlignment="1" applyProtection="1">
      <alignment horizontal="center" vertical="center"/>
    </xf>
    <xf numFmtId="0" fontId="147" fillId="0" borderId="15" xfId="0" applyFont="1" applyFill="1" applyBorder="1" applyAlignment="1" applyProtection="1">
      <alignment horizontal="center" vertical="center"/>
    </xf>
    <xf numFmtId="0" fontId="141" fillId="0" borderId="0" xfId="0" applyFont="1" applyFill="1" applyBorder="1" applyAlignment="1">
      <alignment horizontal="center" vertical="center" wrapText="1"/>
    </xf>
    <xf numFmtId="20" fontId="144" fillId="5" borderId="5" xfId="0" quotePrefix="1" applyNumberFormat="1" applyFont="1" applyFill="1" applyBorder="1" applyAlignment="1">
      <alignment horizontal="right" vertical="center" wrapText="1"/>
    </xf>
    <xf numFmtId="20" fontId="144" fillId="5" borderId="9" xfId="0" quotePrefix="1" applyNumberFormat="1" applyFont="1" applyFill="1" applyBorder="1" applyAlignment="1">
      <alignment horizontal="right" vertical="center" wrapText="1"/>
    </xf>
    <xf numFmtId="0" fontId="53" fillId="0" borderId="3" xfId="0" applyFont="1" applyFill="1" applyBorder="1" applyAlignment="1" applyProtection="1">
      <alignment horizontal="center" vertical="center"/>
    </xf>
    <xf numFmtId="0" fontId="53" fillId="0" borderId="10" xfId="0" applyFont="1" applyFill="1" applyBorder="1" applyAlignment="1" applyProtection="1">
      <alignment horizontal="center" vertical="center"/>
    </xf>
    <xf numFmtId="0" fontId="53" fillId="0" borderId="2" xfId="0" applyFont="1" applyFill="1" applyBorder="1" applyAlignment="1" applyProtection="1">
      <alignment horizontal="center" vertical="center"/>
    </xf>
    <xf numFmtId="0" fontId="53" fillId="0" borderId="12" xfId="0" applyFont="1" applyFill="1" applyBorder="1" applyAlignment="1" applyProtection="1">
      <alignment horizontal="center" vertical="center" wrapText="1"/>
    </xf>
    <xf numFmtId="0" fontId="53" fillId="0" borderId="11"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53" fillId="0" borderId="16" xfId="0" applyFont="1" applyFill="1" applyBorder="1" applyAlignment="1" applyProtection="1">
      <alignment horizontal="center" vertical="center" wrapText="1"/>
    </xf>
    <xf numFmtId="0" fontId="53" fillId="0" borderId="15" xfId="0"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53" fillId="0" borderId="2" xfId="0" applyFont="1" applyFill="1" applyBorder="1" applyAlignment="1" applyProtection="1">
      <alignment horizontal="center" vertical="center" wrapText="1"/>
    </xf>
    <xf numFmtId="0" fontId="53" fillId="0" borderId="3" xfId="0" applyNumberFormat="1" applyFont="1" applyFill="1" applyBorder="1" applyAlignment="1" applyProtection="1">
      <alignment horizontal="center" vertical="center" wrapText="1"/>
    </xf>
    <xf numFmtId="0" fontId="53" fillId="0" borderId="10" xfId="0" applyNumberFormat="1" applyFont="1" applyFill="1" applyBorder="1" applyAlignment="1" applyProtection="1">
      <alignment horizontal="center" vertical="center" wrapText="1"/>
    </xf>
    <xf numFmtId="0" fontId="53" fillId="0" borderId="2" xfId="0" applyNumberFormat="1" applyFont="1" applyFill="1" applyBorder="1" applyAlignment="1" applyProtection="1">
      <alignment horizontal="center" vertical="center" wrapText="1"/>
    </xf>
    <xf numFmtId="0" fontId="144" fillId="0" borderId="1" xfId="0" applyFont="1" applyFill="1" applyBorder="1" applyAlignment="1" applyProtection="1">
      <alignment horizontal="center" vertical="center"/>
    </xf>
    <xf numFmtId="0" fontId="144" fillId="0" borderId="1" xfId="0" quotePrefix="1" applyFont="1" applyFill="1" applyBorder="1" applyAlignment="1" applyProtection="1">
      <alignment horizontal="center" vertical="center"/>
    </xf>
    <xf numFmtId="181" fontId="116" fillId="5" borderId="9" xfId="0" applyNumberFormat="1" applyFont="1" applyFill="1" applyBorder="1" applyAlignment="1" applyProtection="1">
      <alignment horizontal="center" vertical="center"/>
      <protection locked="0"/>
    </xf>
    <xf numFmtId="181" fontId="77" fillId="5" borderId="69" xfId="8" applyNumberFormat="1" applyFont="1" applyFill="1" applyBorder="1" applyAlignment="1" applyProtection="1">
      <alignment horizontal="left" vertical="center" wrapText="1"/>
    </xf>
    <xf numFmtId="0" fontId="77" fillId="5" borderId="69" xfId="8" applyFont="1" applyFill="1" applyBorder="1" applyAlignment="1" applyProtection="1">
      <alignment horizontal="left" vertical="center" wrapText="1"/>
    </xf>
    <xf numFmtId="0" fontId="76" fillId="0" borderId="5" xfId="0" applyFont="1" applyFill="1" applyBorder="1" applyAlignment="1">
      <alignment horizontal="center" vertical="center" wrapText="1"/>
    </xf>
    <xf numFmtId="0" fontId="76" fillId="0" borderId="9" xfId="0" applyFont="1" applyFill="1" applyBorder="1" applyAlignment="1">
      <alignment horizontal="center" vertical="center" wrapText="1"/>
    </xf>
    <xf numFmtId="0" fontId="76" fillId="0" borderId="6" xfId="0" applyFont="1" applyFill="1" applyBorder="1" applyAlignment="1">
      <alignment horizontal="center" vertical="center" wrapText="1"/>
    </xf>
    <xf numFmtId="0" fontId="76" fillId="0" borderId="13" xfId="0" applyFont="1" applyFill="1" applyBorder="1" applyAlignment="1">
      <alignment horizontal="center" vertical="center" wrapText="1"/>
    </xf>
    <xf numFmtId="0" fontId="76" fillId="0" borderId="8" xfId="0" applyFont="1" applyFill="1" applyBorder="1" applyAlignment="1">
      <alignment horizontal="center" vertical="center" wrapText="1"/>
    </xf>
    <xf numFmtId="0" fontId="76" fillId="0" borderId="12" xfId="0" applyFont="1" applyFill="1" applyBorder="1" applyAlignment="1">
      <alignment horizontal="center" vertical="center" wrapText="1"/>
    </xf>
    <xf numFmtId="0" fontId="50" fillId="42" borderId="13" xfId="0" applyFont="1" applyFill="1" applyBorder="1" applyAlignment="1">
      <alignment horizontal="left" vertical="center" wrapText="1"/>
    </xf>
    <xf numFmtId="0" fontId="50" fillId="42" borderId="11" xfId="0" applyFont="1" applyFill="1" applyBorder="1" applyAlignment="1">
      <alignment horizontal="left" vertical="center" wrapText="1"/>
    </xf>
    <xf numFmtId="0" fontId="154" fillId="0" borderId="6" xfId="0" applyFont="1" applyFill="1" applyBorder="1" applyAlignment="1">
      <alignment horizontal="center" vertical="center"/>
    </xf>
    <xf numFmtId="0" fontId="154" fillId="0" borderId="1" xfId="0" applyFont="1" applyFill="1" applyBorder="1" applyAlignment="1">
      <alignment horizontal="center" vertical="center"/>
    </xf>
    <xf numFmtId="0" fontId="59" fillId="0" borderId="5" xfId="0" applyFont="1" applyFill="1" applyBorder="1" applyAlignment="1" applyProtection="1">
      <alignment horizontal="center" vertical="center" wrapText="1"/>
    </xf>
    <xf numFmtId="0" fontId="59" fillId="0" borderId="9" xfId="0" applyFont="1" applyFill="1" applyBorder="1" applyAlignment="1" applyProtection="1">
      <alignment horizontal="center" vertical="center"/>
    </xf>
    <xf numFmtId="0" fontId="59" fillId="0" borderId="9" xfId="0" applyFont="1" applyFill="1" applyBorder="1" applyAlignment="1" applyProtection="1">
      <alignment horizontal="center" vertical="center" wrapText="1"/>
    </xf>
    <xf numFmtId="0" fontId="59" fillId="0" borderId="6" xfId="0" quotePrefix="1" applyFont="1" applyFill="1" applyBorder="1" applyAlignment="1" applyProtection="1">
      <alignment horizontal="center" vertical="center"/>
    </xf>
    <xf numFmtId="177" fontId="153" fillId="40" borderId="5" xfId="0" applyNumberFormat="1" applyFont="1" applyFill="1" applyBorder="1" applyAlignment="1">
      <alignment horizontal="center" vertical="center"/>
    </xf>
    <xf numFmtId="177" fontId="153" fillId="40" borderId="9" xfId="0" applyNumberFormat="1" applyFont="1" applyFill="1" applyBorder="1" applyAlignment="1">
      <alignment horizontal="center" vertical="center"/>
    </xf>
    <xf numFmtId="177" fontId="153" fillId="40" borderId="6" xfId="0" applyNumberFormat="1" applyFont="1" applyFill="1" applyBorder="1" applyAlignment="1">
      <alignment horizontal="center" vertical="center"/>
    </xf>
    <xf numFmtId="177" fontId="50" fillId="0" borderId="1" xfId="0" applyNumberFormat="1" applyFont="1" applyFill="1" applyBorder="1" applyAlignment="1" applyProtection="1">
      <alignment horizontal="center" vertical="center" wrapText="1"/>
      <protection locked="0"/>
    </xf>
    <xf numFmtId="0" fontId="76" fillId="0" borderId="4" xfId="0" applyFont="1" applyFill="1" applyBorder="1" applyAlignment="1">
      <alignment horizontal="center" vertical="center" wrapText="1"/>
    </xf>
    <xf numFmtId="0" fontId="76" fillId="0" borderId="7" xfId="0" applyFont="1" applyFill="1" applyBorder="1" applyAlignment="1">
      <alignment horizontal="center" vertical="center" wrapText="1"/>
    </xf>
    <xf numFmtId="0" fontId="76" fillId="0" borderId="15" xfId="0" applyFont="1" applyFill="1" applyBorder="1" applyAlignment="1">
      <alignment horizontal="center" vertical="center" wrapText="1"/>
    </xf>
    <xf numFmtId="177" fontId="50" fillId="0" borderId="5" xfId="0" applyNumberFormat="1" applyFont="1" applyFill="1" applyBorder="1" applyAlignment="1" applyProtection="1">
      <alignment horizontal="center" vertical="center" wrapText="1"/>
      <protection locked="0"/>
    </xf>
    <xf numFmtId="177" fontId="50" fillId="0" borderId="6" xfId="0" applyNumberFormat="1" applyFont="1" applyFill="1" applyBorder="1" applyAlignment="1" applyProtection="1">
      <alignment horizontal="center" vertical="center" wrapText="1"/>
      <protection locked="0"/>
    </xf>
    <xf numFmtId="177" fontId="50" fillId="0" borderId="9" xfId="0" applyNumberFormat="1" applyFont="1" applyFill="1" applyBorder="1" applyAlignment="1" applyProtection="1">
      <alignment horizontal="center" vertical="center" wrapText="1"/>
      <protection locked="0"/>
    </xf>
    <xf numFmtId="20" fontId="144" fillId="5" borderId="5" xfId="0" quotePrefix="1" applyNumberFormat="1" applyFont="1" applyFill="1" applyBorder="1" applyAlignment="1">
      <alignment horizontal="center" vertical="center" wrapText="1"/>
    </xf>
    <xf numFmtId="20" fontId="144" fillId="5" borderId="9" xfId="0" quotePrefix="1" applyNumberFormat="1" applyFont="1" applyFill="1" applyBorder="1" applyAlignment="1">
      <alignment horizontal="center" vertical="center" wrapText="1"/>
    </xf>
    <xf numFmtId="0" fontId="24" fillId="6" borderId="1" xfId="0" applyFont="1" applyFill="1" applyBorder="1" applyAlignment="1" applyProtection="1">
      <alignment horizontal="center" vertical="center" wrapText="1"/>
    </xf>
    <xf numFmtId="0" fontId="25" fillId="6" borderId="3" xfId="0" applyFont="1" applyFill="1" applyBorder="1" applyAlignment="1" applyProtection="1">
      <alignment horizontal="center" vertical="center"/>
    </xf>
    <xf numFmtId="0" fontId="25" fillId="6" borderId="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0" fontId="24" fillId="6" borderId="5" xfId="0" applyFont="1" applyFill="1" applyBorder="1" applyAlignment="1" applyProtection="1">
      <alignment horizontal="center" vertical="center"/>
    </xf>
    <xf numFmtId="0" fontId="24" fillId="0" borderId="13"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52" fillId="0" borderId="3" xfId="0" applyFont="1" applyFill="1" applyBorder="1" applyAlignment="1">
      <alignment horizontal="center" vertical="center"/>
    </xf>
    <xf numFmtId="0" fontId="52" fillId="0" borderId="2" xfId="0" applyFont="1" applyFill="1" applyBorder="1" applyAlignment="1">
      <alignment horizontal="center" vertical="center"/>
    </xf>
    <xf numFmtId="0" fontId="52" fillId="0" borderId="4" xfId="0" applyFont="1" applyFill="1" applyBorder="1" applyAlignment="1">
      <alignment horizontal="center" vertical="center" wrapText="1"/>
    </xf>
    <xf numFmtId="0" fontId="25" fillId="0" borderId="3" xfId="0" applyFont="1" applyFill="1" applyBorder="1" applyAlignment="1" applyProtection="1">
      <alignment horizontal="center" vertical="center"/>
    </xf>
    <xf numFmtId="0" fontId="25" fillId="0" borderId="2" xfId="0" applyFont="1" applyFill="1" applyBorder="1" applyAlignment="1" applyProtection="1">
      <alignment horizontal="center" vertical="center"/>
    </xf>
    <xf numFmtId="0" fontId="25" fillId="0" borderId="13" xfId="0" applyFont="1" applyFill="1" applyBorder="1" applyAlignment="1" applyProtection="1">
      <alignment horizontal="center" vertical="center" wrapText="1"/>
    </xf>
    <xf numFmtId="0" fontId="25" fillId="0" borderId="4" xfId="0" applyFont="1" applyFill="1" applyBorder="1" applyAlignment="1" applyProtection="1">
      <alignment horizontal="center" vertical="center" wrapText="1"/>
    </xf>
    <xf numFmtId="14" fontId="52" fillId="5" borderId="5" xfId="0" applyNumberFormat="1" applyFont="1" applyFill="1" applyBorder="1" applyAlignment="1">
      <alignment horizontal="left" vertical="center" wrapText="1"/>
    </xf>
    <xf numFmtId="14" fontId="52" fillId="5" borderId="6" xfId="0" applyNumberFormat="1" applyFont="1" applyFill="1" applyBorder="1" applyAlignment="1">
      <alignment horizontal="left" vertical="center" wrapText="1"/>
    </xf>
    <xf numFmtId="0" fontId="52" fillId="0" borderId="3" xfId="0" applyFont="1" applyFill="1" applyBorder="1" applyAlignment="1" applyProtection="1">
      <alignment horizontal="center" vertical="center"/>
    </xf>
    <xf numFmtId="0" fontId="52" fillId="0" borderId="10" xfId="0" applyFont="1" applyFill="1" applyBorder="1" applyAlignment="1" applyProtection="1">
      <alignment horizontal="center" vertical="center"/>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71" fillId="6" borderId="0" xfId="0" applyFont="1" applyFill="1" applyAlignment="1">
      <alignment horizontal="center" vertical="center"/>
    </xf>
    <xf numFmtId="0" fontId="68" fillId="12" borderId="87" xfId="6" applyFont="1" applyFill="1" applyBorder="1" applyAlignment="1">
      <alignment horizontal="left"/>
    </xf>
    <xf numFmtId="0" fontId="68" fillId="12" borderId="69" xfId="6" applyFont="1" applyFill="1" applyBorder="1" applyAlignment="1">
      <alignment horizontal="left"/>
    </xf>
    <xf numFmtId="0" fontId="68" fillId="12" borderId="1" xfId="6" applyFont="1" applyFill="1" applyBorder="1" applyAlignment="1">
      <alignment horizontal="left"/>
    </xf>
    <xf numFmtId="178" fontId="68" fillId="13" borderId="0" xfId="6" applyNumberFormat="1" applyFont="1" applyFill="1" applyAlignment="1">
      <alignment horizontal="center"/>
    </xf>
    <xf numFmtId="178" fontId="24" fillId="13" borderId="0" xfId="6" applyNumberFormat="1" applyFont="1" applyFill="1" applyAlignment="1">
      <alignment horizontal="center"/>
    </xf>
    <xf numFmtId="178" fontId="68" fillId="12" borderId="0" xfId="6" applyNumberFormat="1" applyFont="1" applyFill="1" applyAlignment="1">
      <alignment horizontal="center"/>
    </xf>
    <xf numFmtId="178" fontId="68" fillId="5" borderId="0" xfId="6" applyNumberFormat="1" applyFont="1" applyFill="1" applyAlignment="1">
      <alignment horizontal="center"/>
    </xf>
    <xf numFmtId="178" fontId="24" fillId="5" borderId="0" xfId="6" applyNumberFormat="1" applyFont="1" applyFill="1" applyAlignment="1">
      <alignment horizontal="center"/>
    </xf>
    <xf numFmtId="0" fontId="52" fillId="0" borderId="1" xfId="4" applyFont="1" applyBorder="1" applyAlignment="1">
      <alignment horizontal="center" vertical="center"/>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7276">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s>
  <tableStyles count="0" defaultTableStyle="TableStyleMedium9" defaultPivotStyle="PivotStyleLight16"/>
  <colors>
    <mruColors>
      <color rgb="FF0000FF"/>
      <color rgb="FFCCFF66"/>
      <color rgb="FF00FF00"/>
      <color rgb="FFCCFF33"/>
      <color rgb="FF99FF66"/>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3.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6.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5.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7.xml.rels><?xml version="1.0" encoding="UTF-8" standalone="yes"?>
<Relationships xmlns="http://schemas.openxmlformats.org/package/2006/relationships"><Relationship Id="rId1" Type="http://schemas.openxmlformats.org/officeDocument/2006/relationships/hyperlink" Target="#MENU!A1"/></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hyperlink" Target="#MENU!A1"/></Relationships>
</file>

<file path=xl/drawings/_rels/drawing2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s>
</file>

<file path=xl/drawings/_rels/drawing32.xml.rels><?xml version="1.0" encoding="UTF-8" standalone="yes"?>
<Relationships xmlns="http://schemas.openxmlformats.org/package/2006/relationships"><Relationship Id="rId1" Type="http://schemas.openxmlformats.org/officeDocument/2006/relationships/hyperlink" Target="#MENU!A1"/></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hyperlink" Target="#MENU!A1"/></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hyperlink" Target="#MENU!A1"/></Relationships>
</file>

<file path=xl/drawings/_rels/drawing4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4.xml.rels><?xml version="1.0" encoding="UTF-8" standalone="yes"?>
<Relationships xmlns="http://schemas.openxmlformats.org/package/2006/relationships"><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1" Type="http://schemas.openxmlformats.org/officeDocument/2006/relationships/hyperlink" Target="#MENU!A1"/></Relationships>
</file>

<file path=xl/drawings/_rels/drawing50.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9</xdr:col>
      <xdr:colOff>22412</xdr:colOff>
      <xdr:row>0</xdr:row>
      <xdr:rowOff>33619</xdr:rowOff>
    </xdr:from>
    <xdr:to>
      <xdr:col>10</xdr:col>
      <xdr:colOff>629792</xdr:colOff>
      <xdr:row>0</xdr:row>
      <xdr:rowOff>356853</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7944971" y="33619"/>
          <a:ext cx="1290939" cy="3232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609601</xdr:colOff>
      <xdr:row>8</xdr:row>
      <xdr:rowOff>104775</xdr:rowOff>
    </xdr:from>
    <xdr:to>
      <xdr:col>18</xdr:col>
      <xdr:colOff>561976</xdr:colOff>
      <xdr:row>8</xdr:row>
      <xdr:rowOff>106363</xdr:rowOff>
    </xdr:to>
    <xdr:cxnSp macro="">
      <xdr:nvCxnSpPr>
        <xdr:cNvPr id="8" name="Straight Arrow Connector 7">
          <a:extLst>
            <a:ext uri="{FF2B5EF4-FFF2-40B4-BE49-F238E27FC236}">
              <a16:creationId xmlns:a16="http://schemas.microsoft.com/office/drawing/2014/main" xmlns=""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13</xdr:row>
      <xdr:rowOff>104775</xdr:rowOff>
    </xdr:from>
    <xdr:to>
      <xdr:col>18</xdr:col>
      <xdr:colOff>561976</xdr:colOff>
      <xdr:row>13</xdr:row>
      <xdr:rowOff>106363</xdr:rowOff>
    </xdr:to>
    <xdr:cxnSp macro="">
      <xdr:nvCxnSpPr>
        <xdr:cNvPr id="14" name="Straight Arrow Connector 13">
          <a:extLst>
            <a:ext uri="{FF2B5EF4-FFF2-40B4-BE49-F238E27FC236}">
              <a16:creationId xmlns:a16="http://schemas.microsoft.com/office/drawing/2014/main" xmlns=""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17</xdr:row>
      <xdr:rowOff>104775</xdr:rowOff>
    </xdr:from>
    <xdr:to>
      <xdr:col>18</xdr:col>
      <xdr:colOff>561976</xdr:colOff>
      <xdr:row>17</xdr:row>
      <xdr:rowOff>106363</xdr:rowOff>
    </xdr:to>
    <xdr:cxnSp macro="">
      <xdr:nvCxnSpPr>
        <xdr:cNvPr id="16" name="Straight Arrow Connector 15">
          <a:extLst>
            <a:ext uri="{FF2B5EF4-FFF2-40B4-BE49-F238E27FC236}">
              <a16:creationId xmlns:a16="http://schemas.microsoft.com/office/drawing/2014/main" xmlns=""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5</xdr:row>
      <xdr:rowOff>104775</xdr:rowOff>
    </xdr:from>
    <xdr:to>
      <xdr:col>18</xdr:col>
      <xdr:colOff>638175</xdr:colOff>
      <xdr:row>5</xdr:row>
      <xdr:rowOff>106363</xdr:rowOff>
    </xdr:to>
    <xdr:cxnSp macro="">
      <xdr:nvCxnSpPr>
        <xdr:cNvPr id="24" name="Straight Arrow Connector 23">
          <a:extLst>
            <a:ext uri="{FF2B5EF4-FFF2-40B4-BE49-F238E27FC236}">
              <a16:creationId xmlns:a16="http://schemas.microsoft.com/office/drawing/2014/main" xmlns=""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619125</xdr:colOff>
      <xdr:row>12</xdr:row>
      <xdr:rowOff>85725</xdr:rowOff>
    </xdr:from>
    <xdr:to>
      <xdr:col>18</xdr:col>
      <xdr:colOff>600075</xdr:colOff>
      <xdr:row>12</xdr:row>
      <xdr:rowOff>87313</xdr:rowOff>
    </xdr:to>
    <xdr:cxnSp macro="">
      <xdr:nvCxnSpPr>
        <xdr:cNvPr id="26" name="Straight Arrow Connector 25">
          <a:extLst>
            <a:ext uri="{FF2B5EF4-FFF2-40B4-BE49-F238E27FC236}">
              <a16:creationId xmlns:a16="http://schemas.microsoft.com/office/drawing/2014/main" xmlns=""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657225</xdr:colOff>
      <xdr:row>16</xdr:row>
      <xdr:rowOff>95250</xdr:rowOff>
    </xdr:from>
    <xdr:to>
      <xdr:col>18</xdr:col>
      <xdr:colOff>600075</xdr:colOff>
      <xdr:row>16</xdr:row>
      <xdr:rowOff>96838</xdr:rowOff>
    </xdr:to>
    <xdr:cxnSp macro="">
      <xdr:nvCxnSpPr>
        <xdr:cNvPr id="28" name="Straight Arrow Connector 27">
          <a:extLst>
            <a:ext uri="{FF2B5EF4-FFF2-40B4-BE49-F238E27FC236}">
              <a16:creationId xmlns:a16="http://schemas.microsoft.com/office/drawing/2014/main" xmlns=""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247650</xdr:colOff>
      <xdr:row>18</xdr:row>
      <xdr:rowOff>19050</xdr:rowOff>
    </xdr:from>
    <xdr:to>
      <xdr:col>19</xdr:col>
      <xdr:colOff>352426</xdr:colOff>
      <xdr:row>22</xdr:row>
      <xdr:rowOff>150158</xdr:rowOff>
    </xdr:to>
    <xdr:pic>
      <xdr:nvPicPr>
        <xdr:cNvPr id="19729" name="Picture 81">
          <a:extLst>
            <a:ext uri="{FF2B5EF4-FFF2-40B4-BE49-F238E27FC236}">
              <a16:creationId xmlns:a16="http://schemas.microsoft.com/office/drawing/2014/main" xmlns=""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4</xdr:col>
      <xdr:colOff>443194</xdr:colOff>
      <xdr:row>0</xdr:row>
      <xdr:rowOff>0</xdr:rowOff>
    </xdr:from>
    <xdr:to>
      <xdr:col>6</xdr:col>
      <xdr:colOff>504264</xdr:colOff>
      <xdr:row>0</xdr:row>
      <xdr:rowOff>324971</xdr:rowOff>
    </xdr:to>
    <xdr:sp macro="" textlink="">
      <xdr:nvSpPr>
        <xdr:cNvPr id="9" name="Left Arrow 8">
          <a:hlinkClick xmlns:r="http://schemas.openxmlformats.org/officeDocument/2006/relationships" r:id="rId2"/>
          <a:extLst>
            <a:ext uri="{FF2B5EF4-FFF2-40B4-BE49-F238E27FC236}">
              <a16:creationId xmlns:a16="http://schemas.microsoft.com/office/drawing/2014/main" xmlns="" id="{00000000-0008-0000-0300-000009000000}"/>
            </a:ext>
          </a:extLst>
        </xdr:cNvPr>
        <xdr:cNvSpPr/>
      </xdr:nvSpPr>
      <xdr:spPr>
        <a:xfrm>
          <a:off x="4219576" y="0"/>
          <a:ext cx="1271306" cy="324971"/>
        </a:xfrm>
        <a:prstGeom prst="leftArrow">
          <a:avLst/>
        </a:prstGeom>
        <a:solidFill>
          <a:srgbClr val="CCFF33"/>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17320</xdr:colOff>
      <xdr:row>0</xdr:row>
      <xdr:rowOff>51955</xdr:rowOff>
    </xdr:from>
    <xdr:to>
      <xdr:col>0</xdr:col>
      <xdr:colOff>848591</xdr:colOff>
      <xdr:row>0</xdr:row>
      <xdr:rowOff>467590</xdr:rowOff>
    </xdr:to>
    <xdr:sp macro="" textlink="">
      <xdr:nvSpPr>
        <xdr:cNvPr id="11" name="Left Arrow 10">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7320" y="51955"/>
          <a:ext cx="831271" cy="415635"/>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186170</xdr:colOff>
      <xdr:row>0</xdr:row>
      <xdr:rowOff>247650</xdr:rowOff>
    </xdr:to>
    <xdr:pic>
      <xdr:nvPicPr>
        <xdr:cNvPr id="2" name="Picture 1" descr="clip_image002.jpg">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editAs="oneCell">
    <xdr:from>
      <xdr:col>0</xdr:col>
      <xdr:colOff>238125</xdr:colOff>
      <xdr:row>40</xdr:row>
      <xdr:rowOff>186418</xdr:rowOff>
    </xdr:from>
    <xdr:to>
      <xdr:col>1</xdr:col>
      <xdr:colOff>352177</xdr:colOff>
      <xdr:row>40</xdr:row>
      <xdr:rowOff>430892</xdr:rowOff>
    </xdr:to>
    <xdr:pic>
      <xdr:nvPicPr>
        <xdr:cNvPr id="3" name="Picture 1" descr="clip_image002.jpg">
          <a:extLst>
            <a:ext uri="{FF2B5EF4-FFF2-40B4-BE49-F238E27FC236}">
              <a16:creationId xmlns:a16="http://schemas.microsoft.com/office/drawing/2014/main" xmlns=""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238125" y="22260606"/>
          <a:ext cx="356507" cy="244474"/>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44</xdr:row>
      <xdr:rowOff>0</xdr:rowOff>
    </xdr:from>
    <xdr:to>
      <xdr:col>35</xdr:col>
      <xdr:colOff>410935</xdr:colOff>
      <xdr:row>45</xdr:row>
      <xdr:rowOff>205468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65</xdr:row>
      <xdr:rowOff>0</xdr:rowOff>
    </xdr:from>
    <xdr:to>
      <xdr:col>36</xdr:col>
      <xdr:colOff>692726</xdr:colOff>
      <xdr:row>66</xdr:row>
      <xdr:rowOff>24864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77</xdr:row>
      <xdr:rowOff>0</xdr:rowOff>
    </xdr:from>
    <xdr:to>
      <xdr:col>36</xdr:col>
      <xdr:colOff>692726</xdr:colOff>
      <xdr:row>78</xdr:row>
      <xdr:rowOff>24864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6</xdr:col>
      <xdr:colOff>177635</xdr:colOff>
      <xdr:row>38</xdr:row>
      <xdr:rowOff>0</xdr:rowOff>
    </xdr:to>
    <xdr:pic>
      <xdr:nvPicPr>
        <xdr:cNvPr id="2" name="Picture 5" descr="clip_image002.jpg">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176027</xdr:colOff>
      <xdr:row>0</xdr:row>
      <xdr:rowOff>66675</xdr:rowOff>
    </xdr:to>
    <xdr:pic>
      <xdr:nvPicPr>
        <xdr:cNvPr id="3"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237259</xdr:colOff>
      <xdr:row>0</xdr:row>
      <xdr:rowOff>323850</xdr:rowOff>
    </xdr:to>
    <xdr:pic>
      <xdr:nvPicPr>
        <xdr:cNvPr id="4" name="Picture 1" descr="clip_image002.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176027</xdr:colOff>
      <xdr:row>38</xdr:row>
      <xdr:rowOff>66675</xdr:rowOff>
    </xdr:to>
    <xdr:pic>
      <xdr:nvPicPr>
        <xdr:cNvPr id="5" name="Picture 1" descr="clip_image002.jpg">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6" name="Picture 1" descr="clip_image002.jpg">
          <a:extLst>
            <a:ext uri="{FF2B5EF4-FFF2-40B4-BE49-F238E27FC236}">
              <a16:creationId xmlns:a16="http://schemas.microsoft.com/office/drawing/2014/main" xmlns=""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89808</xdr:colOff>
      <xdr:row>38</xdr:row>
      <xdr:rowOff>112939</xdr:rowOff>
    </xdr:from>
    <xdr:to>
      <xdr:col>1</xdr:col>
      <xdr:colOff>260392</xdr:colOff>
      <xdr:row>38</xdr:row>
      <xdr:rowOff>345622</xdr:rowOff>
    </xdr:to>
    <xdr:pic>
      <xdr:nvPicPr>
        <xdr:cNvPr id="7" name="Picture 1" descr="clip_image002.jpg">
          <a:extLst>
            <a:ext uri="{FF2B5EF4-FFF2-40B4-BE49-F238E27FC236}">
              <a16:creationId xmlns:a16="http://schemas.microsoft.com/office/drawing/2014/main" xmlns="" id="{00000000-0008-0000-0600-000007000000}"/>
            </a:ext>
          </a:extLst>
        </xdr:cNvPr>
        <xdr:cNvPicPr>
          <a:picLocks noChangeAspect="1"/>
        </xdr:cNvPicPr>
      </xdr:nvPicPr>
      <xdr:blipFill>
        <a:blip xmlns:r="http://schemas.openxmlformats.org/officeDocument/2006/relationships" r:embed="rId1"/>
        <a:srcRect/>
        <a:stretch>
          <a:fillRect/>
        </a:stretch>
      </xdr:blipFill>
      <xdr:spPr bwMode="auto">
        <a:xfrm>
          <a:off x="89808" y="15352939"/>
          <a:ext cx="381000" cy="232683"/>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8" name="Picture 1" descr="clip_image002.jpg">
          <a:extLst>
            <a:ext uri="{FF2B5EF4-FFF2-40B4-BE49-F238E27FC236}">
              <a16:creationId xmlns:a16="http://schemas.microsoft.com/office/drawing/2014/main" xmlns=""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9" name="Picture 1" descr="clip_image002.jpg">
          <a:extLst>
            <a:ext uri="{FF2B5EF4-FFF2-40B4-BE49-F238E27FC236}">
              <a16:creationId xmlns:a16="http://schemas.microsoft.com/office/drawing/2014/main" xmlns=""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10" name="Picture 1" descr="clip_image002.jpg">
          <a:extLst>
            <a:ext uri="{FF2B5EF4-FFF2-40B4-BE49-F238E27FC236}">
              <a16:creationId xmlns:a16="http://schemas.microsoft.com/office/drawing/2014/main" xmlns=""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176027</xdr:colOff>
      <xdr:row>38</xdr:row>
      <xdr:rowOff>66675</xdr:rowOff>
    </xdr:to>
    <xdr:pic>
      <xdr:nvPicPr>
        <xdr:cNvPr id="11" name="Picture 1" descr="clip_image002.jpg">
          <a:extLst>
            <a:ext uri="{FF2B5EF4-FFF2-40B4-BE49-F238E27FC236}">
              <a16:creationId xmlns:a16="http://schemas.microsoft.com/office/drawing/2014/main" xmlns=""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66675</xdr:colOff>
      <xdr:row>38</xdr:row>
      <xdr:rowOff>85725</xdr:rowOff>
    </xdr:from>
    <xdr:to>
      <xdr:col>1</xdr:col>
      <xdr:colOff>237259</xdr:colOff>
      <xdr:row>38</xdr:row>
      <xdr:rowOff>323850</xdr:rowOff>
    </xdr:to>
    <xdr:pic>
      <xdr:nvPicPr>
        <xdr:cNvPr id="12" name="Picture 1" descr="clip_image002.jpg">
          <a:extLst>
            <a:ext uri="{FF2B5EF4-FFF2-40B4-BE49-F238E27FC236}">
              <a16:creationId xmlns:a16="http://schemas.microsoft.com/office/drawing/2014/main" xmlns=""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66675" y="15325725"/>
          <a:ext cx="381000" cy="23812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a16="http://schemas.microsoft.com/office/drawing/2014/main" xmlns=""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41</xdr:row>
      <xdr:rowOff>0</xdr:rowOff>
    </xdr:from>
    <xdr:to>
      <xdr:col>35</xdr:col>
      <xdr:colOff>571499</xdr:colOff>
      <xdr:row>42</xdr:row>
      <xdr:rowOff>69396</xdr:rowOff>
    </xdr:to>
    <xdr:sp macro="" textlink="">
      <xdr:nvSpPr>
        <xdr:cNvPr id="14" name="Left Arrow 13">
          <a:hlinkClick xmlns:r="http://schemas.openxmlformats.org/officeDocument/2006/relationships" r:id="rId3"/>
          <a:extLst>
            <a:ext uri="{FF2B5EF4-FFF2-40B4-BE49-F238E27FC236}">
              <a16:creationId xmlns:a16="http://schemas.microsoft.com/office/drawing/2014/main" xmlns=""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37</xdr:col>
      <xdr:colOff>-1</xdr:colOff>
      <xdr:row>55</xdr:row>
      <xdr:rowOff>596364</xdr:rowOff>
    </xdr:to>
    <xdr:sp macro="" textlink="">
      <xdr:nvSpPr>
        <xdr:cNvPr id="15" name="Left Arrow 14">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41</xdr:row>
      <xdr:rowOff>76200</xdr:rowOff>
    </xdr:from>
    <xdr:to>
      <xdr:col>1</xdr:col>
      <xdr:colOff>57150</xdr:colOff>
      <xdr:row>41</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619250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291955" y="5442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24</xdr:row>
      <xdr:rowOff>0</xdr:rowOff>
    </xdr:from>
    <xdr:to>
      <xdr:col>36</xdr:col>
      <xdr:colOff>692726</xdr:colOff>
      <xdr:row>24</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5569045" y="1290204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47</xdr:row>
      <xdr:rowOff>0</xdr:rowOff>
    </xdr:from>
    <xdr:to>
      <xdr:col>36</xdr:col>
      <xdr:colOff>692726</xdr:colOff>
      <xdr:row>47</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569045" y="2462645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66</xdr:row>
      <xdr:rowOff>0</xdr:rowOff>
    </xdr:from>
    <xdr:to>
      <xdr:col>36</xdr:col>
      <xdr:colOff>692726</xdr:colOff>
      <xdr:row>66</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569045" y="352251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78</xdr:row>
      <xdr:rowOff>0</xdr:rowOff>
    </xdr:from>
    <xdr:to>
      <xdr:col>36</xdr:col>
      <xdr:colOff>692726</xdr:colOff>
      <xdr:row>78</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569045" y="40836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5569045" y="68406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41</xdr:row>
      <xdr:rowOff>76200</xdr:rowOff>
    </xdr:from>
    <xdr:to>
      <xdr:col>1</xdr:col>
      <xdr:colOff>57150</xdr:colOff>
      <xdr:row>41</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2310765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24</xdr:row>
      <xdr:rowOff>0</xdr:rowOff>
    </xdr:from>
    <xdr:to>
      <xdr:col>36</xdr:col>
      <xdr:colOff>692726</xdr:colOff>
      <xdr:row>24</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47</xdr:row>
      <xdr:rowOff>0</xdr:rowOff>
    </xdr:from>
    <xdr:to>
      <xdr:col>36</xdr:col>
      <xdr:colOff>692726</xdr:colOff>
      <xdr:row>47</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66</xdr:row>
      <xdr:rowOff>0</xdr:rowOff>
    </xdr:from>
    <xdr:to>
      <xdr:col>36</xdr:col>
      <xdr:colOff>692726</xdr:colOff>
      <xdr:row>66</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78</xdr:row>
      <xdr:rowOff>0</xdr:rowOff>
    </xdr:from>
    <xdr:to>
      <xdr:col>36</xdr:col>
      <xdr:colOff>692726</xdr:colOff>
      <xdr:row>78</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33</xdr:row>
      <xdr:rowOff>76200</xdr:rowOff>
    </xdr:from>
    <xdr:to>
      <xdr:col>1</xdr:col>
      <xdr:colOff>57150</xdr:colOff>
      <xdr:row>33</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2310765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21</xdr:row>
      <xdr:rowOff>0</xdr:rowOff>
    </xdr:from>
    <xdr:to>
      <xdr:col>36</xdr:col>
      <xdr:colOff>692726</xdr:colOff>
      <xdr:row>21</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39</xdr:row>
      <xdr:rowOff>0</xdr:rowOff>
    </xdr:from>
    <xdr:to>
      <xdr:col>36</xdr:col>
      <xdr:colOff>692726</xdr:colOff>
      <xdr:row>39</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36</xdr:col>
      <xdr:colOff>692726</xdr:colOff>
      <xdr:row>55</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34638</xdr:colOff>
      <xdr:row>135</xdr:row>
      <xdr:rowOff>536862</xdr:rowOff>
    </xdr:from>
    <xdr:to>
      <xdr:col>4</xdr:col>
      <xdr:colOff>1021774</xdr:colOff>
      <xdr:row>137</xdr:row>
      <xdr:rowOff>398317</xdr:rowOff>
    </xdr:to>
    <xdr:cxnSp macro="">
      <xdr:nvCxnSpPr>
        <xdr:cNvPr id="20" name="Straight Arrow Connector 19"/>
        <xdr:cNvCxnSpPr/>
      </xdr:nvCxnSpPr>
      <xdr:spPr>
        <a:xfrm rot="5400000">
          <a:off x="20980979" y="9594272"/>
          <a:ext cx="1242580"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xdr:colOff>
      <xdr:row>142</xdr:row>
      <xdr:rowOff>34638</xdr:rowOff>
    </xdr:from>
    <xdr:to>
      <xdr:col>4</xdr:col>
      <xdr:colOff>727365</xdr:colOff>
      <xdr:row>145</xdr:row>
      <xdr:rowOff>3</xdr:rowOff>
    </xdr:to>
    <xdr:cxnSp macro="">
      <xdr:nvCxnSpPr>
        <xdr:cNvPr id="22" name="Straight Arrow Connector 21"/>
        <xdr:cNvCxnSpPr/>
      </xdr:nvCxnSpPr>
      <xdr:spPr>
        <a:xfrm rot="16200000" flipV="1">
          <a:off x="3818661" y="57089390"/>
          <a:ext cx="1264229" cy="72736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86592</xdr:colOff>
      <xdr:row>136</xdr:row>
      <xdr:rowOff>519544</xdr:rowOff>
    </xdr:from>
    <xdr:to>
      <xdr:col>5</xdr:col>
      <xdr:colOff>329046</xdr:colOff>
      <xdr:row>138</xdr:row>
      <xdr:rowOff>415635</xdr:rowOff>
    </xdr:to>
    <xdr:cxnSp macro="">
      <xdr:nvCxnSpPr>
        <xdr:cNvPr id="23" name="Straight Arrow Connector 22"/>
        <xdr:cNvCxnSpPr/>
      </xdr:nvCxnSpPr>
      <xdr:spPr>
        <a:xfrm rot="10800000" flipV="1">
          <a:off x="21160655" y="10139794"/>
          <a:ext cx="1623579" cy="10152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34641</xdr:colOff>
      <xdr:row>141</xdr:row>
      <xdr:rowOff>17322</xdr:rowOff>
    </xdr:from>
    <xdr:to>
      <xdr:col>5</xdr:col>
      <xdr:colOff>173182</xdr:colOff>
      <xdr:row>142</xdr:row>
      <xdr:rowOff>398318</xdr:rowOff>
    </xdr:to>
    <xdr:cxnSp macro="">
      <xdr:nvCxnSpPr>
        <xdr:cNvPr id="25" name="Straight Arrow Connector 24"/>
        <xdr:cNvCxnSpPr/>
      </xdr:nvCxnSpPr>
      <xdr:spPr>
        <a:xfrm rot="10800000">
          <a:off x="4121732" y="56370686"/>
          <a:ext cx="1246905" cy="813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329046</xdr:colOff>
      <xdr:row>139</xdr:row>
      <xdr:rowOff>51955</xdr:rowOff>
    </xdr:from>
    <xdr:to>
      <xdr:col>4</xdr:col>
      <xdr:colOff>450273</xdr:colOff>
      <xdr:row>140</xdr:row>
      <xdr:rowOff>415636</xdr:rowOff>
    </xdr:to>
    <xdr:sp macro="" textlink="">
      <xdr:nvSpPr>
        <xdr:cNvPr id="27" name="Right Brace 26"/>
        <xdr:cNvSpPr/>
      </xdr:nvSpPr>
      <xdr:spPr>
        <a:xfrm>
          <a:off x="21403109" y="11220018"/>
          <a:ext cx="121227" cy="79230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0</xdr:row>
      <xdr:rowOff>0</xdr:rowOff>
    </xdr:from>
    <xdr:to>
      <xdr:col>2</xdr:col>
      <xdr:colOff>155863</xdr:colOff>
      <xdr:row>0</xdr:row>
      <xdr:rowOff>381000</xdr:rowOff>
    </xdr:to>
    <xdr:sp macro="" textlink="">
      <xdr:nvSpPr>
        <xdr:cNvPr id="12" name="Left Arrow 11">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0"/>
          <a:ext cx="900545" cy="381000"/>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156482</xdr:colOff>
      <xdr:row>0</xdr:row>
      <xdr:rowOff>247650</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417451</xdr:colOff>
      <xdr:row>0</xdr:row>
      <xdr:rowOff>66675</xdr:rowOff>
    </xdr:to>
    <xdr:pic>
      <xdr:nvPicPr>
        <xdr:cNvPr id="18"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8125"/>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24</xdr:col>
      <xdr:colOff>69273</xdr:colOff>
      <xdr:row>26</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23</xdr:col>
      <xdr:colOff>244928</xdr:colOff>
      <xdr:row>0</xdr:row>
      <xdr:rowOff>0</xdr:rowOff>
    </xdr:from>
    <xdr:to>
      <xdr:col>26</xdr:col>
      <xdr:colOff>27214</xdr:colOff>
      <xdr:row>1</xdr:row>
      <xdr:rowOff>232682</xdr:rowOff>
    </xdr:to>
    <xdr:sp macro="" textlink="">
      <xdr:nvSpPr>
        <xdr:cNvPr id="4" name="Left Arrow 3">
          <a:hlinkClick xmlns:r="http://schemas.openxmlformats.org/officeDocument/2006/relationships" r:id="rId1"/>
          <a:extLst>
            <a:ext uri="{FF2B5EF4-FFF2-40B4-BE49-F238E27FC236}">
              <a16:creationId xmlns:a16="http://schemas.microsoft.com/office/drawing/2014/main" xmlns="" id="{00000000-0008-0000-0D00-000004000000}"/>
            </a:ext>
          </a:extLst>
        </xdr:cNvPr>
        <xdr:cNvSpPr/>
      </xdr:nvSpPr>
      <xdr:spPr>
        <a:xfrm>
          <a:off x="11157857" y="0"/>
          <a:ext cx="1823357"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316180</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486724</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9"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10"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11"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244269</xdr:colOff>
      <xdr:row>0</xdr:row>
      <xdr:rowOff>66675</xdr:rowOff>
    </xdr:to>
    <xdr:pic>
      <xdr:nvPicPr>
        <xdr:cNvPr id="1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23</xdr:col>
      <xdr:colOff>883227</xdr:colOff>
      <xdr:row>26</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24</xdr:col>
      <xdr:colOff>95249</xdr:colOff>
      <xdr:row>0</xdr:row>
      <xdr:rowOff>231322</xdr:rowOff>
    </xdr:from>
    <xdr:to>
      <xdr:col>26</xdr:col>
      <xdr:colOff>512989</xdr:colOff>
      <xdr:row>1</xdr:row>
      <xdr:rowOff>394607</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579678" y="231322"/>
          <a:ext cx="1778454" cy="5306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0</xdr:colOff>
      <xdr:row>220</xdr:row>
      <xdr:rowOff>0</xdr:rowOff>
    </xdr:from>
    <xdr:to>
      <xdr:col>11</xdr:col>
      <xdr:colOff>552450</xdr:colOff>
      <xdr:row>222</xdr:row>
      <xdr:rowOff>47625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5</xdr:col>
      <xdr:colOff>438150</xdr:colOff>
      <xdr:row>0</xdr:row>
      <xdr:rowOff>28575</xdr:rowOff>
    </xdr:from>
    <xdr:to>
      <xdr:col>6</xdr:col>
      <xdr:colOff>587952</xdr:colOff>
      <xdr:row>1</xdr:row>
      <xdr:rowOff>45893</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5362575" y="2857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33618</xdr:colOff>
      <xdr:row>163</xdr:row>
      <xdr:rowOff>11206</xdr:rowOff>
    </xdr:from>
    <xdr:to>
      <xdr:col>3</xdr:col>
      <xdr:colOff>11206</xdr:colOff>
      <xdr:row>165</xdr:row>
      <xdr:rowOff>11205</xdr:rowOff>
    </xdr:to>
    <xdr:cxnSp macro="">
      <xdr:nvCxnSpPr>
        <xdr:cNvPr id="3" name="Straight Connector 2"/>
        <xdr:cNvCxnSpPr/>
      </xdr:nvCxnSpPr>
      <xdr:spPr>
        <a:xfrm>
          <a:off x="33618" y="45645481"/>
          <a:ext cx="2720788" cy="5524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33618</xdr:colOff>
      <xdr:row>3</xdr:row>
      <xdr:rowOff>11206</xdr:rowOff>
    </xdr:from>
    <xdr:to>
      <xdr:col>4</xdr:col>
      <xdr:colOff>11206</xdr:colOff>
      <xdr:row>5</xdr:row>
      <xdr:rowOff>11205</xdr:rowOff>
    </xdr:to>
    <xdr:cxnSp macro="">
      <xdr:nvCxnSpPr>
        <xdr:cNvPr id="3" name="Straight Connector 2"/>
        <xdr:cNvCxnSpPr/>
      </xdr:nvCxnSpPr>
      <xdr:spPr>
        <a:xfrm>
          <a:off x="719418" y="639856"/>
          <a:ext cx="2034988"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1</xdr:col>
      <xdr:colOff>502227</xdr:colOff>
      <xdr:row>1</xdr:row>
      <xdr:rowOff>30925</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12</xdr:col>
      <xdr:colOff>571500</xdr:colOff>
      <xdr:row>12</xdr:row>
      <xdr:rowOff>122465</xdr:rowOff>
    </xdr:from>
    <xdr:to>
      <xdr:col>15</xdr:col>
      <xdr:colOff>234043</xdr:colOff>
      <xdr:row>13</xdr:row>
      <xdr:rowOff>355147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500-000002000000}"/>
            </a:ext>
          </a:extLst>
        </xdr:cNvPr>
        <xdr:cNvSpPr/>
      </xdr:nvSpPr>
      <xdr:spPr>
        <a:xfrm>
          <a:off x="11987893"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45</xdr:col>
      <xdr:colOff>0</xdr:colOff>
      <xdr:row>81</xdr:row>
      <xdr:rowOff>0</xdr:rowOff>
    </xdr:from>
    <xdr:to>
      <xdr:col>47</xdr:col>
      <xdr:colOff>386195</xdr:colOff>
      <xdr:row>82</xdr:row>
      <xdr:rowOff>80530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22</xdr:col>
      <xdr:colOff>0</xdr:colOff>
      <xdr:row>68</xdr:row>
      <xdr:rowOff>0</xdr:rowOff>
    </xdr:from>
    <xdr:to>
      <xdr:col>27</xdr:col>
      <xdr:colOff>247650</xdr:colOff>
      <xdr:row>69</xdr:row>
      <xdr:rowOff>167120</xdr:rowOff>
    </xdr:to>
    <xdr:sp macro="" textlink="">
      <xdr:nvSpPr>
        <xdr:cNvPr id="12" name="Left Arrow 11">
          <a:hlinkClick xmlns:r="http://schemas.openxmlformats.org/officeDocument/2006/relationships" r:id="rId2"/>
          <a:extLst>
            <a:ext uri="{FF2B5EF4-FFF2-40B4-BE49-F238E27FC236}">
              <a16:creationId xmlns:a16="http://schemas.microsoft.com/office/drawing/2014/main" xmlns=""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0</xdr:row>
      <xdr:rowOff>0</xdr:rowOff>
    </xdr:from>
    <xdr:to>
      <xdr:col>0</xdr:col>
      <xdr:colOff>969818</xdr:colOff>
      <xdr:row>0</xdr:row>
      <xdr:rowOff>432954</xdr:rowOff>
    </xdr:to>
    <xdr:sp macro="" textlink="">
      <xdr:nvSpPr>
        <xdr:cNvPr id="9" name="Left Arrow 8">
          <a:hlinkClick xmlns:r="http://schemas.openxmlformats.org/officeDocument/2006/relationships" r:id="rId3"/>
          <a:extLst>
            <a:ext uri="{FF2B5EF4-FFF2-40B4-BE49-F238E27FC236}">
              <a16:creationId xmlns:a16="http://schemas.microsoft.com/office/drawing/2014/main" xmlns="" id="{00000000-0008-0000-0400-000002000000}"/>
            </a:ext>
          </a:extLst>
        </xdr:cNvPr>
        <xdr:cNvSpPr/>
      </xdr:nvSpPr>
      <xdr:spPr>
        <a:xfrm>
          <a:off x="0" y="0"/>
          <a:ext cx="969818" cy="432954"/>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18</xdr:col>
      <xdr:colOff>0</xdr:colOff>
      <xdr:row>7</xdr:row>
      <xdr:rowOff>0</xdr:rowOff>
    </xdr:from>
    <xdr:to>
      <xdr:col>20</xdr:col>
      <xdr:colOff>410935</xdr:colOff>
      <xdr:row>8</xdr:row>
      <xdr:rowOff>240104</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500-000005000000}"/>
            </a:ext>
          </a:extLst>
        </xdr:cNvPr>
        <xdr:cNvSpPr/>
      </xdr:nvSpPr>
      <xdr:spPr>
        <a:xfrm>
          <a:off x="11759045" y="3532909"/>
          <a:ext cx="1796390" cy="77696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a16="http://schemas.microsoft.com/office/drawing/2014/main" xmlns=""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a16="http://schemas.microsoft.com/office/drawing/2014/main" xmlns=""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18</xdr:col>
      <xdr:colOff>0</xdr:colOff>
      <xdr:row>8</xdr:row>
      <xdr:rowOff>0</xdr:rowOff>
    </xdr:from>
    <xdr:to>
      <xdr:col>20</xdr:col>
      <xdr:colOff>410936</xdr:colOff>
      <xdr:row>9</xdr:row>
      <xdr:rowOff>42182</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300-000009000000}"/>
            </a:ext>
          </a:extLst>
        </xdr:cNvPr>
        <xdr:cNvSpPr/>
      </xdr:nvSpPr>
      <xdr:spPr>
        <a:xfrm>
          <a:off x="12083143" y="446314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a16="http://schemas.microsoft.com/office/drawing/2014/main" xmlns=""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a16="http://schemas.microsoft.com/office/drawing/2014/main" xmlns=""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51954</xdr:rowOff>
    </xdr:from>
    <xdr:to>
      <xdr:col>0</xdr:col>
      <xdr:colOff>848591</xdr:colOff>
      <xdr:row>0</xdr:row>
      <xdr:rowOff>467590</xdr:rowOff>
    </xdr:to>
    <xdr:sp macro="" textlink="">
      <xdr:nvSpPr>
        <xdr:cNvPr id="10" name="Left Arrow 9">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51954"/>
          <a:ext cx="848591" cy="415636"/>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a16="http://schemas.microsoft.com/office/drawing/2014/main" xmlns=""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a16="http://schemas.microsoft.com/office/drawing/2014/main" xmlns=""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a16="http://schemas.microsoft.com/office/drawing/2014/main" xmlns=""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7.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8</xdr:col>
      <xdr:colOff>39024</xdr:colOff>
      <xdr:row>52</xdr:row>
      <xdr:rowOff>25612</xdr:rowOff>
    </xdr:from>
    <xdr:to>
      <xdr:col>12</xdr:col>
      <xdr:colOff>855453</xdr:colOff>
      <xdr:row>70</xdr:row>
      <xdr:rowOff>96854</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7480528" y="12042322"/>
          <a:ext cx="3826813" cy="4612822"/>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XLBM-2023030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7)-HOA%20NGHIEM-2023111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T TAP CHAT"/>
      <sheetName val="MENU"/>
      <sheetName val="1"/>
      <sheetName val="2"/>
      <sheetName val="3"/>
      <sheetName val="4"/>
      <sheetName val="5"/>
      <sheetName val="6"/>
      <sheetName val="7"/>
      <sheetName val="8"/>
      <sheetName val="XM.HN"/>
      <sheetName val="XM.FILE GOC"/>
      <sheetName val="1. XL-1E kh"/>
      <sheetName val="2. XL-1F kh"/>
      <sheetName val="3.XT-C kh"/>
      <sheetName val="4.ZN-NI kh"/>
      <sheetName val="1. XL-1E TT"/>
      <sheetName val="1. XL-1E TT(CA2)"/>
      <sheetName val="2. XL-1F TT "/>
      <sheetName val="2. XL-1F TT(CA2)"/>
      <sheetName val="3.XT-C TT"/>
      <sheetName val="3.XT-C TT(CA2)"/>
      <sheetName val="4.ZN-NI tt(CA1)"/>
      <sheetName val="4.ZN-NI tt(CA2)"/>
      <sheetName val="4.ZN-NI tt"/>
      <sheetName val="XM.GUI MAIL"/>
      <sheetName val="XM.chart"/>
      <sheetName val="XM.chart 1"/>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
          <cell r="A6" t="str">
            <v>1E-XB1</v>
          </cell>
          <cell r="B6" t="str">
            <v>XL-001E</v>
          </cell>
          <cell r="C6" t="str">
            <v xml:space="preserve">Xà bông (1)脫脂 </v>
          </cell>
          <cell r="D6" t="str">
            <v>g/L</v>
          </cell>
          <cell r="E6" t="str">
            <v>25~35</v>
          </cell>
          <cell r="F6" t="str">
            <v>(30±2)</v>
          </cell>
          <cell r="G6">
            <v>30</v>
          </cell>
          <cell r="H6">
            <v>0</v>
          </cell>
          <cell r="I6">
            <v>0</v>
          </cell>
          <cell r="J6">
            <v>80.790000000000006</v>
          </cell>
          <cell r="K6" t="str">
            <v>+</v>
          </cell>
          <cell r="L6">
            <v>0</v>
          </cell>
          <cell r="M6" t="str">
            <v>kg</v>
          </cell>
          <cell r="N6">
            <v>0</v>
          </cell>
          <cell r="O6">
            <v>0</v>
          </cell>
          <cell r="P6">
            <v>80.790000000000006</v>
          </cell>
          <cell r="Q6" t="str">
            <v>+</v>
          </cell>
          <cell r="R6">
            <v>0</v>
          </cell>
          <cell r="S6" t="str">
            <v>kg</v>
          </cell>
          <cell r="T6">
            <v>0</v>
          </cell>
          <cell r="U6">
            <v>0</v>
          </cell>
          <cell r="V6">
            <v>80.790000000000006</v>
          </cell>
          <cell r="W6" t="str">
            <v>+</v>
          </cell>
          <cell r="X6">
            <v>0</v>
          </cell>
          <cell r="Y6" t="str">
            <v>kg</v>
          </cell>
          <cell r="Z6">
            <v>0</v>
          </cell>
          <cell r="AA6">
            <v>0</v>
          </cell>
          <cell r="AB6">
            <v>80.790000000000006</v>
          </cell>
          <cell r="AC6" t="str">
            <v>+</v>
          </cell>
          <cell r="AD6">
            <v>0</v>
          </cell>
          <cell r="AE6" t="str">
            <v>kg</v>
          </cell>
          <cell r="AF6">
            <v>0</v>
          </cell>
          <cell r="AG6">
            <v>0</v>
          </cell>
          <cell r="AH6">
            <v>80.790000000000006</v>
          </cell>
          <cell r="AI6" t="str">
            <v>+</v>
          </cell>
          <cell r="AJ6">
            <v>0</v>
          </cell>
          <cell r="AK6" t="str">
            <v>kg</v>
          </cell>
          <cell r="AL6">
            <v>0</v>
          </cell>
          <cell r="AM6">
            <v>0</v>
          </cell>
          <cell r="AN6">
            <v>80.790000000000006</v>
          </cell>
          <cell r="AO6" t="str">
            <v>+</v>
          </cell>
          <cell r="AP6">
            <v>0</v>
          </cell>
          <cell r="AQ6" t="str">
            <v>kg</v>
          </cell>
        </row>
        <row r="7">
          <cell r="A7" t="str">
            <v>1E-XB2</v>
          </cell>
          <cell r="B7" t="str">
            <v>XL-001E</v>
          </cell>
          <cell r="C7" t="str">
            <v xml:space="preserve">Xà bông (2)脫脂 </v>
          </cell>
          <cell r="D7" t="str">
            <v>g/L</v>
          </cell>
          <cell r="E7" t="str">
            <v>25~35</v>
          </cell>
          <cell r="F7" t="str">
            <v>(30±2)</v>
          </cell>
          <cell r="G7">
            <v>30</v>
          </cell>
          <cell r="H7">
            <v>0</v>
          </cell>
          <cell r="I7">
            <v>0</v>
          </cell>
          <cell r="J7">
            <v>99.15</v>
          </cell>
          <cell r="K7" t="str">
            <v>+</v>
          </cell>
          <cell r="L7">
            <v>0</v>
          </cell>
          <cell r="M7" t="str">
            <v>kg</v>
          </cell>
          <cell r="N7">
            <v>0</v>
          </cell>
          <cell r="O7">
            <v>0</v>
          </cell>
          <cell r="P7">
            <v>99.15</v>
          </cell>
          <cell r="Q7" t="str">
            <v>+</v>
          </cell>
          <cell r="R7">
            <v>0</v>
          </cell>
          <cell r="S7" t="str">
            <v>kg</v>
          </cell>
          <cell r="T7">
            <v>0</v>
          </cell>
          <cell r="U7">
            <v>0</v>
          </cell>
          <cell r="V7">
            <v>99.15</v>
          </cell>
          <cell r="W7" t="str">
            <v>+</v>
          </cell>
          <cell r="X7">
            <v>0</v>
          </cell>
          <cell r="Y7" t="str">
            <v>kg</v>
          </cell>
          <cell r="Z7">
            <v>0</v>
          </cell>
          <cell r="AA7">
            <v>0</v>
          </cell>
          <cell r="AB7">
            <v>99.15</v>
          </cell>
          <cell r="AC7" t="str">
            <v>+</v>
          </cell>
          <cell r="AD7">
            <v>0</v>
          </cell>
          <cell r="AE7" t="str">
            <v>kg</v>
          </cell>
          <cell r="AF7">
            <v>0</v>
          </cell>
          <cell r="AG7">
            <v>0</v>
          </cell>
          <cell r="AH7">
            <v>99.15</v>
          </cell>
          <cell r="AI7" t="str">
            <v>+</v>
          </cell>
          <cell r="AJ7">
            <v>0</v>
          </cell>
          <cell r="AK7" t="str">
            <v>kg</v>
          </cell>
          <cell r="AL7">
            <v>0</v>
          </cell>
          <cell r="AM7">
            <v>0</v>
          </cell>
          <cell r="AN7">
            <v>99.15</v>
          </cell>
          <cell r="AO7" t="str">
            <v>+</v>
          </cell>
          <cell r="AP7">
            <v>0</v>
          </cell>
          <cell r="AQ7" t="str">
            <v>kg</v>
          </cell>
        </row>
        <row r="8">
          <cell r="A8" t="str">
            <v>1E-DG1</v>
          </cell>
          <cell r="B8" t="str">
            <v>XL-001E</v>
          </cell>
          <cell r="C8" t="str">
            <v xml:space="preserve">điện giải(1)+電解  </v>
          </cell>
          <cell r="D8" t="str">
            <v>g/L</v>
          </cell>
          <cell r="E8" t="str">
            <v>60~80</v>
          </cell>
          <cell r="F8" t="str">
            <v>(70±10)</v>
          </cell>
          <cell r="G8">
            <v>70</v>
          </cell>
          <cell r="H8">
            <v>0</v>
          </cell>
          <cell r="I8">
            <v>0</v>
          </cell>
          <cell r="J8">
            <v>80.92</v>
          </cell>
          <cell r="K8" t="str">
            <v>+</v>
          </cell>
          <cell r="L8">
            <v>0</v>
          </cell>
          <cell r="M8" t="str">
            <v>kg</v>
          </cell>
          <cell r="N8">
            <v>0</v>
          </cell>
          <cell r="O8">
            <v>0</v>
          </cell>
          <cell r="P8">
            <v>80.92</v>
          </cell>
          <cell r="Q8" t="str">
            <v>+</v>
          </cell>
          <cell r="R8">
            <v>0</v>
          </cell>
          <cell r="S8" t="str">
            <v>kg</v>
          </cell>
          <cell r="T8">
            <v>0</v>
          </cell>
          <cell r="U8">
            <v>0</v>
          </cell>
          <cell r="V8">
            <v>80.92</v>
          </cell>
          <cell r="W8" t="str">
            <v>+</v>
          </cell>
          <cell r="X8">
            <v>0</v>
          </cell>
          <cell r="Y8" t="str">
            <v>kg</v>
          </cell>
          <cell r="Z8">
            <v>0</v>
          </cell>
          <cell r="AA8">
            <v>0</v>
          </cell>
          <cell r="AB8">
            <v>80.92</v>
          </cell>
          <cell r="AC8" t="str">
            <v>+</v>
          </cell>
          <cell r="AD8">
            <v>0</v>
          </cell>
          <cell r="AE8" t="str">
            <v>kg</v>
          </cell>
          <cell r="AF8">
            <v>0</v>
          </cell>
          <cell r="AG8">
            <v>0</v>
          </cell>
          <cell r="AH8">
            <v>80.92</v>
          </cell>
          <cell r="AI8" t="str">
            <v>+</v>
          </cell>
          <cell r="AJ8">
            <v>0</v>
          </cell>
          <cell r="AK8" t="str">
            <v>kg</v>
          </cell>
          <cell r="AL8">
            <v>0</v>
          </cell>
          <cell r="AM8">
            <v>0</v>
          </cell>
          <cell r="AN8">
            <v>80.92</v>
          </cell>
          <cell r="AO8" t="str">
            <v>+</v>
          </cell>
          <cell r="AP8">
            <v>0</v>
          </cell>
          <cell r="AQ8" t="str">
            <v>kg</v>
          </cell>
        </row>
        <row r="9">
          <cell r="A9" t="str">
            <v>1E-DG2</v>
          </cell>
          <cell r="B9" t="str">
            <v>XL-001E</v>
          </cell>
          <cell r="C9" t="str">
            <v xml:space="preserve">điện giải (2)+電解  </v>
          </cell>
          <cell r="D9" t="str">
            <v>g/L</v>
          </cell>
          <cell r="E9" t="str">
            <v>60~80</v>
          </cell>
          <cell r="F9" t="str">
            <v>(70±10)</v>
          </cell>
          <cell r="G9">
            <v>70</v>
          </cell>
          <cell r="H9">
            <v>0</v>
          </cell>
          <cell r="I9">
            <v>0</v>
          </cell>
          <cell r="J9">
            <v>102.13</v>
          </cell>
          <cell r="K9" t="str">
            <v>+</v>
          </cell>
          <cell r="L9">
            <v>0</v>
          </cell>
          <cell r="M9" t="str">
            <v>kg</v>
          </cell>
          <cell r="N9">
            <v>0</v>
          </cell>
          <cell r="O9">
            <v>0</v>
          </cell>
          <cell r="P9">
            <v>102.13</v>
          </cell>
          <cell r="Q9" t="str">
            <v>+</v>
          </cell>
          <cell r="R9">
            <v>0</v>
          </cell>
          <cell r="S9" t="str">
            <v>kg</v>
          </cell>
          <cell r="T9">
            <v>0</v>
          </cell>
          <cell r="U9">
            <v>0</v>
          </cell>
          <cell r="V9">
            <v>102.13</v>
          </cell>
          <cell r="W9" t="str">
            <v>+</v>
          </cell>
          <cell r="X9">
            <v>0</v>
          </cell>
          <cell r="Y9" t="str">
            <v>kg</v>
          </cell>
          <cell r="Z9">
            <v>0</v>
          </cell>
          <cell r="AA9">
            <v>0</v>
          </cell>
          <cell r="AB9">
            <v>102.13</v>
          </cell>
          <cell r="AC9" t="str">
            <v>+</v>
          </cell>
          <cell r="AD9">
            <v>0</v>
          </cell>
          <cell r="AE9" t="str">
            <v>kg</v>
          </cell>
          <cell r="AF9">
            <v>0</v>
          </cell>
          <cell r="AG9">
            <v>0</v>
          </cell>
          <cell r="AH9">
            <v>102.13</v>
          </cell>
          <cell r="AI9" t="str">
            <v>+</v>
          </cell>
          <cell r="AJ9">
            <v>0</v>
          </cell>
          <cell r="AK9" t="str">
            <v>kg</v>
          </cell>
          <cell r="AL9">
            <v>0</v>
          </cell>
          <cell r="AM9">
            <v>0</v>
          </cell>
          <cell r="AN9">
            <v>102.13</v>
          </cell>
          <cell r="AO9" t="str">
            <v>+</v>
          </cell>
          <cell r="AP9">
            <v>0</v>
          </cell>
          <cell r="AQ9" t="str">
            <v>kg</v>
          </cell>
        </row>
        <row r="10">
          <cell r="A10" t="str">
            <v>1E-NAOH</v>
          </cell>
          <cell r="B10" t="str">
            <v>XL-001E</v>
          </cell>
          <cell r="C10" t="str">
            <v>Nồng độ    NaOH
氫氧化鈉</v>
          </cell>
          <cell r="D10" t="str">
            <v>g/L</v>
          </cell>
          <cell r="E10" t="str">
            <v>130 - 150</v>
          </cell>
          <cell r="F10" t="str">
            <v>(140±5L)</v>
          </cell>
          <cell r="G10">
            <v>140</v>
          </cell>
          <cell r="H10">
            <v>0</v>
          </cell>
          <cell r="I10">
            <v>0</v>
          </cell>
          <cell r="J10">
            <v>2793.14</v>
          </cell>
          <cell r="K10" t="str">
            <v>+</v>
          </cell>
          <cell r="L10">
            <v>0</v>
          </cell>
          <cell r="M10" t="str">
            <v>kg</v>
          </cell>
          <cell r="N10">
            <v>0</v>
          </cell>
          <cell r="O10">
            <v>0</v>
          </cell>
          <cell r="P10">
            <v>2793.14</v>
          </cell>
          <cell r="Q10" t="str">
            <v>+</v>
          </cell>
          <cell r="R10">
            <v>0</v>
          </cell>
          <cell r="S10" t="str">
            <v>kg</v>
          </cell>
          <cell r="T10">
            <v>0</v>
          </cell>
          <cell r="U10">
            <v>0</v>
          </cell>
          <cell r="V10">
            <v>2793.14</v>
          </cell>
          <cell r="W10" t="str">
            <v>+</v>
          </cell>
          <cell r="X10">
            <v>0</v>
          </cell>
          <cell r="Y10" t="str">
            <v>kg</v>
          </cell>
          <cell r="Z10">
            <v>0</v>
          </cell>
          <cell r="AA10">
            <v>0</v>
          </cell>
          <cell r="AB10">
            <v>2793.14</v>
          </cell>
          <cell r="AC10" t="str">
            <v>+</v>
          </cell>
          <cell r="AD10">
            <v>0</v>
          </cell>
          <cell r="AE10" t="str">
            <v>kg</v>
          </cell>
          <cell r="AF10">
            <v>0</v>
          </cell>
          <cell r="AG10">
            <v>0</v>
          </cell>
          <cell r="AH10">
            <v>2793.14</v>
          </cell>
          <cell r="AI10" t="str">
            <v>+</v>
          </cell>
          <cell r="AJ10">
            <v>0</v>
          </cell>
          <cell r="AK10" t="str">
            <v>kg</v>
          </cell>
          <cell r="AL10">
            <v>0</v>
          </cell>
          <cell r="AM10">
            <v>0</v>
          </cell>
          <cell r="AN10">
            <v>2793.14</v>
          </cell>
          <cell r="AO10" t="str">
            <v>+</v>
          </cell>
          <cell r="AP10">
            <v>0</v>
          </cell>
          <cell r="AQ10" t="str">
            <v>kg</v>
          </cell>
        </row>
        <row r="11">
          <cell r="A11" t="str">
            <v>1E-ZN</v>
          </cell>
          <cell r="B11" t="str">
            <v>XL-001E</v>
          </cell>
          <cell r="C11" t="str">
            <v>Nồng độ Zn  鋅
(1 pcs Zn=25kg)</v>
          </cell>
          <cell r="D11" t="str">
            <v>g/L</v>
          </cell>
          <cell r="E11" t="str">
            <v>7~12</v>
          </cell>
          <cell r="F11" t="str">
            <v>(9g±1)</v>
          </cell>
          <cell r="G11">
            <v>9</v>
          </cell>
          <cell r="H11">
            <v>0</v>
          </cell>
          <cell r="I11">
            <v>0</v>
          </cell>
          <cell r="J11">
            <v>179.559</v>
          </cell>
          <cell r="K11" t="str">
            <v>+</v>
          </cell>
          <cell r="L11">
            <v>0</v>
          </cell>
          <cell r="M11" t="str">
            <v>kg</v>
          </cell>
          <cell r="N11">
            <v>0</v>
          </cell>
          <cell r="O11">
            <v>0</v>
          </cell>
          <cell r="P11">
            <v>179.559</v>
          </cell>
          <cell r="Q11" t="str">
            <v>+</v>
          </cell>
          <cell r="R11">
            <v>0</v>
          </cell>
          <cell r="S11" t="str">
            <v>kg</v>
          </cell>
          <cell r="T11">
            <v>0</v>
          </cell>
          <cell r="U11">
            <v>0</v>
          </cell>
          <cell r="V11">
            <v>179.559</v>
          </cell>
          <cell r="W11" t="str">
            <v>+</v>
          </cell>
          <cell r="X11">
            <v>0</v>
          </cell>
          <cell r="Y11" t="str">
            <v>kg</v>
          </cell>
          <cell r="Z11">
            <v>0</v>
          </cell>
          <cell r="AA11">
            <v>0</v>
          </cell>
          <cell r="AB11">
            <v>179.559</v>
          </cell>
          <cell r="AC11" t="str">
            <v>+</v>
          </cell>
          <cell r="AD11">
            <v>0</v>
          </cell>
          <cell r="AE11" t="str">
            <v>kg</v>
          </cell>
          <cell r="AF11">
            <v>0</v>
          </cell>
          <cell r="AG11">
            <v>0</v>
          </cell>
          <cell r="AH11">
            <v>179.559</v>
          </cell>
          <cell r="AI11" t="str">
            <v>+</v>
          </cell>
          <cell r="AJ11">
            <v>0</v>
          </cell>
          <cell r="AK11" t="str">
            <v>kg</v>
          </cell>
          <cell r="AL11">
            <v>0</v>
          </cell>
          <cell r="AM11">
            <v>0</v>
          </cell>
          <cell r="AN11">
            <v>179.559</v>
          </cell>
          <cell r="AO11" t="str">
            <v>+</v>
          </cell>
          <cell r="AP11">
            <v>0</v>
          </cell>
          <cell r="AQ11" t="str">
            <v>kg</v>
          </cell>
        </row>
        <row r="12">
          <cell r="A12" t="str">
            <v>1E-CR3I</v>
          </cell>
          <cell r="B12" t="str">
            <v>XL-001E</v>
          </cell>
          <cell r="C12" t="str">
            <v>Nồng độ Cr2O3
三價鉻</v>
          </cell>
          <cell r="D12" t="str">
            <v>%</v>
          </cell>
          <cell r="E12" t="str">
            <v xml:space="preserve">12~18 </v>
          </cell>
          <cell r="F12" t="str">
            <v>(14±2)</v>
          </cell>
          <cell r="G12">
            <v>14</v>
          </cell>
          <cell r="H12">
            <v>0</v>
          </cell>
          <cell r="I12">
            <v>0</v>
          </cell>
          <cell r="J12">
            <v>80.5</v>
          </cell>
          <cell r="K12" t="str">
            <v>+</v>
          </cell>
          <cell r="L12">
            <v>0</v>
          </cell>
          <cell r="M12" t="str">
            <v>L</v>
          </cell>
          <cell r="N12">
            <v>0</v>
          </cell>
          <cell r="O12">
            <v>0</v>
          </cell>
          <cell r="P12">
            <v>80.5</v>
          </cell>
          <cell r="Q12" t="str">
            <v>+</v>
          </cell>
          <cell r="R12">
            <v>0</v>
          </cell>
          <cell r="S12" t="str">
            <v>L</v>
          </cell>
          <cell r="T12">
            <v>0</v>
          </cell>
          <cell r="U12">
            <v>0</v>
          </cell>
          <cell r="V12">
            <v>80.5</v>
          </cell>
          <cell r="W12" t="str">
            <v>+</v>
          </cell>
          <cell r="X12">
            <v>0</v>
          </cell>
          <cell r="Y12" t="str">
            <v>L</v>
          </cell>
          <cell r="Z12">
            <v>0</v>
          </cell>
          <cell r="AA12">
            <v>0</v>
          </cell>
          <cell r="AB12">
            <v>80.5</v>
          </cell>
          <cell r="AC12" t="str">
            <v>+</v>
          </cell>
          <cell r="AD12">
            <v>0</v>
          </cell>
          <cell r="AE12" t="str">
            <v>L</v>
          </cell>
          <cell r="AF12">
            <v>0</v>
          </cell>
          <cell r="AG12">
            <v>0</v>
          </cell>
          <cell r="AH12">
            <v>80.5</v>
          </cell>
          <cell r="AI12" t="str">
            <v>+</v>
          </cell>
          <cell r="AJ12">
            <v>0</v>
          </cell>
          <cell r="AK12" t="str">
            <v>L</v>
          </cell>
          <cell r="AL12">
            <v>0</v>
          </cell>
          <cell r="AM12">
            <v>0</v>
          </cell>
          <cell r="AN12">
            <v>80.5</v>
          </cell>
          <cell r="AO12" t="str">
            <v>+</v>
          </cell>
          <cell r="AP12">
            <v>0</v>
          </cell>
          <cell r="AQ12" t="str">
            <v>L</v>
          </cell>
        </row>
        <row r="13">
          <cell r="A13" t="str">
            <v>1E-CR3IPH</v>
          </cell>
          <cell r="B13" t="str">
            <v>XL-001E</v>
          </cell>
          <cell r="C13" t="str">
            <v>PH</v>
          </cell>
          <cell r="D13" t="str">
            <v>pH</v>
          </cell>
          <cell r="E13" t="str">
            <v>1.6~2.2</v>
          </cell>
          <cell r="F13" t="str">
            <v>(1.8±0.1 )</v>
          </cell>
          <cell r="I13">
            <v>0</v>
          </cell>
          <cell r="O13">
            <v>0</v>
          </cell>
          <cell r="U13">
            <v>0</v>
          </cell>
          <cell r="AA13">
            <v>0</v>
          </cell>
          <cell r="AG13">
            <v>0</v>
          </cell>
          <cell r="AM13">
            <v>0</v>
          </cell>
        </row>
        <row r="14">
          <cell r="A14" t="str">
            <v>1E-HCL1</v>
          </cell>
          <cell r="B14" t="str">
            <v>XL-001E</v>
          </cell>
          <cell r="C14" t="str">
            <v>Nồng độ acid đặc
鹽酸 濃度</v>
          </cell>
          <cell r="D14" t="str">
            <v>%V/V</v>
          </cell>
          <cell r="E14" t="str">
            <v>30~60</v>
          </cell>
          <cell r="F14" t="str">
            <v>(45±5)</v>
          </cell>
          <cell r="G14">
            <v>0.45</v>
          </cell>
          <cell r="H14">
            <v>0</v>
          </cell>
          <cell r="I14">
            <v>0</v>
          </cell>
          <cell r="J14">
            <v>954.9</v>
          </cell>
          <cell r="K14" t="str">
            <v>+</v>
          </cell>
          <cell r="L14">
            <v>0</v>
          </cell>
          <cell r="M14" t="str">
            <v>L</v>
          </cell>
          <cell r="N14">
            <v>0</v>
          </cell>
          <cell r="O14">
            <v>0</v>
          </cell>
          <cell r="P14">
            <v>954.9</v>
          </cell>
          <cell r="Q14" t="str">
            <v>+</v>
          </cell>
          <cell r="R14">
            <v>0</v>
          </cell>
          <cell r="S14" t="str">
            <v>L</v>
          </cell>
          <cell r="T14">
            <v>0</v>
          </cell>
          <cell r="U14">
            <v>0</v>
          </cell>
          <cell r="V14">
            <v>954.9</v>
          </cell>
          <cell r="W14" t="str">
            <v>+</v>
          </cell>
          <cell r="X14">
            <v>0</v>
          </cell>
          <cell r="Y14" t="str">
            <v>L</v>
          </cell>
          <cell r="Z14">
            <v>0</v>
          </cell>
          <cell r="AA14">
            <v>0</v>
          </cell>
          <cell r="AB14">
            <v>954.9</v>
          </cell>
          <cell r="AC14" t="str">
            <v>+</v>
          </cell>
          <cell r="AD14">
            <v>0</v>
          </cell>
          <cell r="AE14" t="str">
            <v>L</v>
          </cell>
          <cell r="AF14">
            <v>0</v>
          </cell>
          <cell r="AG14">
            <v>0</v>
          </cell>
          <cell r="AH14">
            <v>954.9</v>
          </cell>
          <cell r="AI14" t="str">
            <v>+</v>
          </cell>
          <cell r="AJ14">
            <v>0</v>
          </cell>
          <cell r="AK14" t="str">
            <v>L</v>
          </cell>
          <cell r="AL14">
            <v>0</v>
          </cell>
          <cell r="AM14">
            <v>0</v>
          </cell>
          <cell r="AN14">
            <v>954.9</v>
          </cell>
          <cell r="AO14" t="str">
            <v>+</v>
          </cell>
          <cell r="AP14">
            <v>0</v>
          </cell>
          <cell r="AQ14" t="str">
            <v>L</v>
          </cell>
        </row>
        <row r="15">
          <cell r="A15" t="str">
            <v>1E-HCL2</v>
          </cell>
          <cell r="B15" t="str">
            <v>XL-001E</v>
          </cell>
          <cell r="C15" t="str">
            <v>Nồng độ acid loãng
稀酸 濃度</v>
          </cell>
          <cell r="D15" t="str">
            <v>%V/V</v>
          </cell>
          <cell r="E15" t="str">
            <v>15~30</v>
          </cell>
          <cell r="F15" t="str">
            <v>(22±5)</v>
          </cell>
          <cell r="G15">
            <v>0.22</v>
          </cell>
          <cell r="H15">
            <v>0</v>
          </cell>
          <cell r="I15">
            <v>0</v>
          </cell>
          <cell r="J15">
            <v>134.64000000000001</v>
          </cell>
          <cell r="K15" t="str">
            <v>+</v>
          </cell>
          <cell r="L15">
            <v>0</v>
          </cell>
          <cell r="M15" t="str">
            <v>L</v>
          </cell>
          <cell r="N15">
            <v>0</v>
          </cell>
          <cell r="O15">
            <v>0</v>
          </cell>
          <cell r="P15">
            <v>134.64000000000001</v>
          </cell>
          <cell r="Q15" t="str">
            <v>+</v>
          </cell>
          <cell r="R15">
            <v>0</v>
          </cell>
          <cell r="S15" t="str">
            <v>L</v>
          </cell>
          <cell r="T15">
            <v>0</v>
          </cell>
          <cell r="U15">
            <v>0</v>
          </cell>
          <cell r="V15">
            <v>134.64000000000001</v>
          </cell>
          <cell r="W15" t="str">
            <v>+</v>
          </cell>
          <cell r="X15">
            <v>0</v>
          </cell>
          <cell r="Y15" t="str">
            <v>L</v>
          </cell>
          <cell r="Z15">
            <v>0</v>
          </cell>
          <cell r="AA15">
            <v>0</v>
          </cell>
          <cell r="AB15">
            <v>134.64000000000001</v>
          </cell>
          <cell r="AC15" t="str">
            <v>+</v>
          </cell>
          <cell r="AD15">
            <v>0</v>
          </cell>
          <cell r="AE15" t="str">
            <v>L</v>
          </cell>
          <cell r="AF15">
            <v>0</v>
          </cell>
          <cell r="AG15">
            <v>0</v>
          </cell>
          <cell r="AH15">
            <v>134.64000000000001</v>
          </cell>
          <cell r="AI15" t="str">
            <v>+</v>
          </cell>
          <cell r="AJ15">
            <v>0</v>
          </cell>
          <cell r="AK15" t="str">
            <v>L</v>
          </cell>
          <cell r="AL15">
            <v>0</v>
          </cell>
          <cell r="AM15">
            <v>0</v>
          </cell>
          <cell r="AN15">
            <v>134.64000000000001</v>
          </cell>
          <cell r="AO15" t="str">
            <v>+</v>
          </cell>
          <cell r="AP15">
            <v>0</v>
          </cell>
          <cell r="AQ15" t="str">
            <v>L</v>
          </cell>
        </row>
        <row r="16">
          <cell r="A16" t="str">
            <v>1E-HCL3</v>
          </cell>
          <cell r="B16" t="str">
            <v>XL-001E</v>
          </cell>
          <cell r="C16" t="str">
            <v>Nồng độ HCl hoạt hóa
稀酸活化 濃度</v>
          </cell>
          <cell r="D16" t="str">
            <v>%V/V</v>
          </cell>
          <cell r="E16" t="str">
            <v>5~15</v>
          </cell>
          <cell r="F16" t="str">
            <v>(10±3)</v>
          </cell>
          <cell r="G16">
            <v>0.1</v>
          </cell>
          <cell r="H16">
            <v>0</v>
          </cell>
          <cell r="I16">
            <v>0</v>
          </cell>
          <cell r="J16">
            <v>57.5</v>
          </cell>
          <cell r="K16" t="str">
            <v>+</v>
          </cell>
          <cell r="L16">
            <v>0</v>
          </cell>
          <cell r="M16" t="str">
            <v>L</v>
          </cell>
          <cell r="N16">
            <v>0</v>
          </cell>
          <cell r="O16">
            <v>0</v>
          </cell>
          <cell r="P16">
            <v>57.5</v>
          </cell>
          <cell r="Q16" t="str">
            <v>+</v>
          </cell>
          <cell r="R16">
            <v>0</v>
          </cell>
          <cell r="S16" t="str">
            <v>L</v>
          </cell>
          <cell r="T16">
            <v>0</v>
          </cell>
          <cell r="U16">
            <v>0</v>
          </cell>
          <cell r="V16">
            <v>57.5</v>
          </cell>
          <cell r="W16" t="str">
            <v>+</v>
          </cell>
          <cell r="X16">
            <v>0</v>
          </cell>
          <cell r="Y16" t="str">
            <v>L</v>
          </cell>
          <cell r="Z16">
            <v>0</v>
          </cell>
          <cell r="AA16">
            <v>0</v>
          </cell>
          <cell r="AB16">
            <v>57.5</v>
          </cell>
          <cell r="AC16" t="str">
            <v>+</v>
          </cell>
          <cell r="AD16">
            <v>0</v>
          </cell>
          <cell r="AE16" t="str">
            <v>L</v>
          </cell>
          <cell r="AF16">
            <v>0</v>
          </cell>
          <cell r="AG16">
            <v>0</v>
          </cell>
          <cell r="AH16">
            <v>57.5</v>
          </cell>
          <cell r="AI16" t="str">
            <v>+</v>
          </cell>
          <cell r="AJ16">
            <v>0</v>
          </cell>
          <cell r="AK16" t="str">
            <v>L</v>
          </cell>
          <cell r="AL16">
            <v>0</v>
          </cell>
          <cell r="AM16">
            <v>0</v>
          </cell>
          <cell r="AN16">
            <v>57.5</v>
          </cell>
          <cell r="AO16" t="str">
            <v>+</v>
          </cell>
          <cell r="AP16">
            <v>0</v>
          </cell>
          <cell r="AQ16" t="str">
            <v>L</v>
          </cell>
        </row>
        <row r="17">
          <cell r="A17" t="str">
            <v>1E-HNO3</v>
          </cell>
          <cell r="B17" t="str">
            <v>XL-001E</v>
          </cell>
          <cell r="C17" t="str">
            <v>Nồng độ  HNO3
硝酸濃度</v>
          </cell>
          <cell r="D17" t="str">
            <v>%</v>
          </cell>
          <cell r="E17" t="str">
            <v>0.5~1.5</v>
          </cell>
          <cell r="F17" t="str">
            <v>(1±0.4)</v>
          </cell>
          <cell r="G17">
            <v>0.01</v>
          </cell>
          <cell r="H17">
            <v>0</v>
          </cell>
          <cell r="I17">
            <v>0</v>
          </cell>
          <cell r="J17">
            <v>8.1538461538461533</v>
          </cell>
          <cell r="K17" t="str">
            <v>+</v>
          </cell>
          <cell r="L17">
            <v>0</v>
          </cell>
          <cell r="M17" t="str">
            <v>L</v>
          </cell>
          <cell r="N17">
            <v>0</v>
          </cell>
          <cell r="O17">
            <v>0</v>
          </cell>
          <cell r="P17">
            <v>8.1538461538461533</v>
          </cell>
          <cell r="Q17" t="str">
            <v>+</v>
          </cell>
          <cell r="R17">
            <v>0</v>
          </cell>
          <cell r="S17" t="str">
            <v>L</v>
          </cell>
          <cell r="T17">
            <v>0</v>
          </cell>
          <cell r="U17">
            <v>0</v>
          </cell>
          <cell r="V17">
            <v>8.1538461538461533</v>
          </cell>
          <cell r="W17" t="str">
            <v>+</v>
          </cell>
          <cell r="X17">
            <v>0</v>
          </cell>
          <cell r="Y17" t="str">
            <v>L</v>
          </cell>
          <cell r="Z17">
            <v>0</v>
          </cell>
          <cell r="AA17">
            <v>0</v>
          </cell>
          <cell r="AB17">
            <v>8.1538461538461533</v>
          </cell>
          <cell r="AC17" t="str">
            <v>+</v>
          </cell>
          <cell r="AD17">
            <v>0</v>
          </cell>
          <cell r="AE17" t="str">
            <v>L</v>
          </cell>
          <cell r="AF17">
            <v>0</v>
          </cell>
          <cell r="AG17">
            <v>0</v>
          </cell>
          <cell r="AH17">
            <v>8.1538461538461533</v>
          </cell>
          <cell r="AI17" t="str">
            <v>+</v>
          </cell>
          <cell r="AJ17">
            <v>0</v>
          </cell>
          <cell r="AK17" t="str">
            <v>L</v>
          </cell>
          <cell r="AL17">
            <v>0</v>
          </cell>
          <cell r="AM17">
            <v>0</v>
          </cell>
          <cell r="AN17">
            <v>8.1538461538461533</v>
          </cell>
          <cell r="AO17" t="str">
            <v>+</v>
          </cell>
          <cell r="AP17">
            <v>0</v>
          </cell>
          <cell r="AQ17" t="str">
            <v>L</v>
          </cell>
        </row>
        <row r="18">
          <cell r="A18" t="str">
            <v>1E-CR3K</v>
          </cell>
          <cell r="B18" t="str">
            <v>XL-001E</v>
          </cell>
          <cell r="C18" t="str">
            <v>Nồng độ   Cr2O3 （K)</v>
          </cell>
          <cell r="D18" t="str">
            <v>%</v>
          </cell>
          <cell r="E18" t="str">
            <v>5~10</v>
          </cell>
          <cell r="F18" t="str">
            <v>(7.5±1)</v>
          </cell>
          <cell r="G18">
            <v>7.5</v>
          </cell>
          <cell r="H18">
            <v>0</v>
          </cell>
          <cell r="I18" t="str">
            <v/>
          </cell>
          <cell r="J18" t="e">
            <v>#VALUE!</v>
          </cell>
          <cell r="K18" t="str">
            <v>+</v>
          </cell>
          <cell r="L18" t="str">
            <v/>
          </cell>
          <cell r="M18" t="str">
            <v>L</v>
          </cell>
          <cell r="N18">
            <v>0</v>
          </cell>
          <cell r="O18" t="str">
            <v/>
          </cell>
          <cell r="P18" t="e">
            <v>#VALUE!</v>
          </cell>
          <cell r="Q18" t="str">
            <v>+</v>
          </cell>
          <cell r="R18" t="str">
            <v/>
          </cell>
          <cell r="S18" t="str">
            <v>L</v>
          </cell>
          <cell r="T18">
            <v>0</v>
          </cell>
          <cell r="U18" t="str">
            <v/>
          </cell>
          <cell r="V18" t="e">
            <v>#VALUE!</v>
          </cell>
          <cell r="W18" t="str">
            <v>+</v>
          </cell>
          <cell r="X18" t="str">
            <v/>
          </cell>
          <cell r="Y18" t="str">
            <v>L</v>
          </cell>
          <cell r="Z18">
            <v>0</v>
          </cell>
          <cell r="AA18" t="str">
            <v/>
          </cell>
          <cell r="AB18" t="e">
            <v>#VALUE!</v>
          </cell>
          <cell r="AC18" t="str">
            <v>+</v>
          </cell>
          <cell r="AD18" t="str">
            <v/>
          </cell>
          <cell r="AE18" t="str">
            <v>L</v>
          </cell>
          <cell r="AF18">
            <v>0</v>
          </cell>
          <cell r="AG18" t="str">
            <v/>
          </cell>
          <cell r="AH18" t="e">
            <v>#VALUE!</v>
          </cell>
          <cell r="AI18" t="str">
            <v>+</v>
          </cell>
          <cell r="AJ18" t="str">
            <v/>
          </cell>
          <cell r="AK18" t="str">
            <v>L</v>
          </cell>
          <cell r="AL18">
            <v>0</v>
          </cell>
          <cell r="AM18" t="str">
            <v/>
          </cell>
          <cell r="AN18" t="e">
            <v>#VALUE!</v>
          </cell>
          <cell r="AO18" t="str">
            <v>+</v>
          </cell>
          <cell r="AP18" t="str">
            <v/>
          </cell>
          <cell r="AQ18" t="str">
            <v>L</v>
          </cell>
        </row>
        <row r="19">
          <cell r="A19" t="str">
            <v>1E-CR3KPH</v>
          </cell>
          <cell r="B19" t="str">
            <v>XL-001E</v>
          </cell>
          <cell r="C19" t="str">
            <v>PH</v>
          </cell>
          <cell r="D19" t="str">
            <v>pH</v>
          </cell>
          <cell r="E19" t="str">
            <v>1.6~2.0</v>
          </cell>
          <cell r="F19" t="str">
            <v>(1.8±0.1)</v>
          </cell>
          <cell r="I19">
            <v>0</v>
          </cell>
          <cell r="O19">
            <v>0</v>
          </cell>
          <cell r="U19">
            <v>0</v>
          </cell>
          <cell r="AA19">
            <v>0</v>
          </cell>
          <cell r="AG19">
            <v>0</v>
          </cell>
          <cell r="AM19">
            <v>0</v>
          </cell>
        </row>
        <row r="20">
          <cell r="A20" t="str">
            <v>Hạng mục kiểm tra nhiệt độ 檢查溫度</v>
          </cell>
        </row>
        <row r="21">
          <cell r="A21" t="str">
            <v>MÃ</v>
          </cell>
          <cell r="B21" t="str">
            <v>MÃ MÁY</v>
          </cell>
          <cell r="C21" t="str">
            <v>Hạng mục kiểm tra nhiệt độ
溫度檢查項目</v>
          </cell>
          <cell r="D21" t="str">
            <v>nhiệt độ
溫度</v>
          </cell>
          <cell r="E21" t="str">
            <v>Phạm vi kiểm soát
範圍值</v>
          </cell>
          <cell r="F21" t="str">
            <v>Giới hạn kiểm soát
管控值</v>
          </cell>
          <cell r="I21" t="str">
            <v>Nhiệt kế 
温度計</v>
          </cell>
          <cell r="L21" t="str">
            <v>Nhiệt tự động
自動温控</v>
          </cell>
          <cell r="O21" t="str">
            <v>Nhiệt kế 
温度計</v>
          </cell>
          <cell r="R21" t="str">
            <v>Nhiệt tự động
自動温控</v>
          </cell>
          <cell r="U21" t="str">
            <v>Nhiệt kế 
温度計</v>
          </cell>
          <cell r="X21" t="str">
            <v>Nhiệt tự động
自動温控</v>
          </cell>
          <cell r="AA21" t="str">
            <v>Nhiệt kế 
温度計</v>
          </cell>
          <cell r="AD21" t="str">
            <v>Nhiệt tự động
自動温控</v>
          </cell>
          <cell r="AG21" t="str">
            <v>Nhiệt kế 
温度計</v>
          </cell>
          <cell r="AJ21" t="str">
            <v>Nhiệt tự động
自動温控</v>
          </cell>
          <cell r="AM21" t="str">
            <v>Nhiệt kế 
温度計</v>
          </cell>
          <cell r="AP21" t="str">
            <v>Nhiệt tự động
自動温控</v>
          </cell>
        </row>
        <row r="22">
          <cell r="A22" t="str">
            <v>1E-TEMXB1</v>
          </cell>
          <cell r="B22" t="str">
            <v>XL-001E</v>
          </cell>
          <cell r="C22" t="str">
            <v>Nhiệt  độ xà bông nóng (1)
 熱脫脂溫度(1)</v>
          </cell>
          <cell r="D22" t="str">
            <v>0C</v>
          </cell>
          <cell r="E22" t="str">
            <v>65~75</v>
          </cell>
          <cell r="F22" t="str">
            <v>(70±3)</v>
          </cell>
          <cell r="I22">
            <v>0</v>
          </cell>
          <cell r="L22">
            <v>0</v>
          </cell>
          <cell r="O22">
            <v>0</v>
          </cell>
          <cell r="R22">
            <v>0</v>
          </cell>
          <cell r="U22">
            <v>0</v>
          </cell>
          <cell r="X22">
            <v>0</v>
          </cell>
          <cell r="AA22">
            <v>0</v>
          </cell>
          <cell r="AD22">
            <v>0</v>
          </cell>
          <cell r="AG22">
            <v>0</v>
          </cell>
          <cell r="AJ22">
            <v>0</v>
          </cell>
          <cell r="AM22">
            <v>0</v>
          </cell>
          <cell r="AP22">
            <v>0</v>
          </cell>
        </row>
        <row r="23">
          <cell r="A23" t="str">
            <v>1E-TEMXB2</v>
          </cell>
          <cell r="B23" t="str">
            <v>XL-001E</v>
          </cell>
          <cell r="C23" t="str">
            <v>Nhiệt  độ xà bông nóng (2)
 熱脫脂溫度(2)</v>
          </cell>
          <cell r="D23" t="str">
            <v>0C</v>
          </cell>
          <cell r="E23" t="str">
            <v>65~75</v>
          </cell>
          <cell r="F23" t="str">
            <v>(70±3)</v>
          </cell>
          <cell r="I23">
            <v>0</v>
          </cell>
          <cell r="L23">
            <v>0</v>
          </cell>
          <cell r="O23">
            <v>0</v>
          </cell>
          <cell r="R23">
            <v>0</v>
          </cell>
          <cell r="U23">
            <v>0</v>
          </cell>
          <cell r="X23">
            <v>0</v>
          </cell>
          <cell r="AA23">
            <v>0</v>
          </cell>
          <cell r="AD23">
            <v>0</v>
          </cell>
          <cell r="AG23">
            <v>0</v>
          </cell>
          <cell r="AJ23">
            <v>0</v>
          </cell>
          <cell r="AM23">
            <v>0</v>
          </cell>
          <cell r="AP23">
            <v>0</v>
          </cell>
        </row>
        <row r="24">
          <cell r="A24" t="str">
            <v>1E-TEMDG1</v>
          </cell>
          <cell r="B24" t="str">
            <v>XL-001E</v>
          </cell>
          <cell r="C24" t="str">
            <v>Nhiệt độ điện giải (1) 
電解1 溫度</v>
          </cell>
          <cell r="D24" t="str">
            <v>0C</v>
          </cell>
          <cell r="E24" t="str">
            <v>50~60</v>
          </cell>
          <cell r="F24" t="str">
            <v>(55±3)</v>
          </cell>
          <cell r="I24">
            <v>0</v>
          </cell>
          <cell r="L24">
            <v>0</v>
          </cell>
          <cell r="O24">
            <v>0</v>
          </cell>
          <cell r="R24">
            <v>0</v>
          </cell>
          <cell r="U24">
            <v>0</v>
          </cell>
          <cell r="X24">
            <v>0</v>
          </cell>
          <cell r="AA24">
            <v>0</v>
          </cell>
          <cell r="AD24">
            <v>0</v>
          </cell>
          <cell r="AG24">
            <v>0</v>
          </cell>
          <cell r="AJ24">
            <v>0</v>
          </cell>
          <cell r="AM24">
            <v>0</v>
          </cell>
          <cell r="AP24">
            <v>0</v>
          </cell>
        </row>
        <row r="25">
          <cell r="A25" t="str">
            <v>1E-TEMDG2</v>
          </cell>
          <cell r="B25" t="str">
            <v>XL-001E</v>
          </cell>
          <cell r="C25" t="str">
            <v>Nhiệt độ điện giải (2)
電解 2 溫度</v>
          </cell>
          <cell r="D25" t="str">
            <v>0C</v>
          </cell>
          <cell r="E25" t="str">
            <v>50~60</v>
          </cell>
          <cell r="F25" t="str">
            <v>(55±3)</v>
          </cell>
          <cell r="I25">
            <v>0</v>
          </cell>
          <cell r="L25">
            <v>0</v>
          </cell>
          <cell r="O25">
            <v>0</v>
          </cell>
          <cell r="R25">
            <v>0</v>
          </cell>
          <cell r="U25">
            <v>0</v>
          </cell>
          <cell r="X25">
            <v>0</v>
          </cell>
          <cell r="AA25">
            <v>0</v>
          </cell>
          <cell r="AD25">
            <v>0</v>
          </cell>
          <cell r="AG25">
            <v>0</v>
          </cell>
          <cell r="AJ25">
            <v>0</v>
          </cell>
          <cell r="AM25">
            <v>0</v>
          </cell>
          <cell r="AP25">
            <v>0</v>
          </cell>
        </row>
        <row r="26">
          <cell r="A26" t="str">
            <v>1E-TEMBX</v>
          </cell>
          <cell r="B26" t="str">
            <v>XL-001E</v>
          </cell>
          <cell r="C26" t="str">
            <v>Nhiệt độ bồn xi
鍍鋅槽溫度</v>
          </cell>
          <cell r="D26" t="str">
            <v>0C</v>
          </cell>
          <cell r="E26" t="str">
            <v>20~30</v>
          </cell>
          <cell r="F26" t="str">
            <v>(25±3)</v>
          </cell>
          <cell r="I26">
            <v>0</v>
          </cell>
          <cell r="L26">
            <v>0</v>
          </cell>
          <cell r="O26">
            <v>0</v>
          </cell>
          <cell r="R26">
            <v>0</v>
          </cell>
          <cell r="U26">
            <v>0</v>
          </cell>
          <cell r="X26">
            <v>0</v>
          </cell>
          <cell r="AA26">
            <v>0</v>
          </cell>
          <cell r="AD26">
            <v>0</v>
          </cell>
          <cell r="AG26">
            <v>0</v>
          </cell>
          <cell r="AJ26">
            <v>0</v>
          </cell>
          <cell r="AM26">
            <v>0</v>
          </cell>
          <cell r="AP26">
            <v>0</v>
          </cell>
        </row>
        <row r="27">
          <cell r="A27" t="str">
            <v>1E-TEMCR3I</v>
          </cell>
          <cell r="B27" t="str">
            <v>XL-001E</v>
          </cell>
          <cell r="C27" t="str">
            <v>Nhiệt độ bồn màu Cr2O3
三價鉻 溫度</v>
          </cell>
          <cell r="D27" t="str">
            <v>0C</v>
          </cell>
          <cell r="E27" t="str">
            <v>35-45</v>
          </cell>
          <cell r="F27" t="str">
            <v>(40±3)</v>
          </cell>
          <cell r="I27">
            <v>0</v>
          </cell>
          <cell r="L27">
            <v>0</v>
          </cell>
          <cell r="O27">
            <v>0</v>
          </cell>
          <cell r="R27">
            <v>0</v>
          </cell>
          <cell r="U27">
            <v>0</v>
          </cell>
          <cell r="X27">
            <v>0</v>
          </cell>
          <cell r="AA27">
            <v>0</v>
          </cell>
          <cell r="AD27">
            <v>0</v>
          </cell>
          <cell r="AG27">
            <v>0</v>
          </cell>
          <cell r="AJ27">
            <v>0</v>
          </cell>
          <cell r="AM27">
            <v>0</v>
          </cell>
          <cell r="AP27">
            <v>0</v>
          </cell>
        </row>
        <row r="28">
          <cell r="A28" t="str">
            <v>1E-TEMH2O</v>
          </cell>
          <cell r="B28" t="str">
            <v>XL-001E</v>
          </cell>
          <cell r="C28" t="str">
            <v xml:space="preserve">Nhiệt độ bồn nước nóng
熱水溫度 </v>
          </cell>
          <cell r="D28" t="str">
            <v>0C</v>
          </cell>
          <cell r="E28" t="str">
            <v>55~65</v>
          </cell>
          <cell r="F28" t="str">
            <v>(60±3)</v>
          </cell>
          <cell r="I28">
            <v>0</v>
          </cell>
          <cell r="L28">
            <v>0</v>
          </cell>
          <cell r="O28">
            <v>0</v>
          </cell>
          <cell r="R28">
            <v>0</v>
          </cell>
          <cell r="U28">
            <v>0</v>
          </cell>
          <cell r="X28">
            <v>0</v>
          </cell>
          <cell r="AA28">
            <v>0</v>
          </cell>
          <cell r="AD28">
            <v>0</v>
          </cell>
          <cell r="AG28">
            <v>0</v>
          </cell>
          <cell r="AJ28">
            <v>0</v>
          </cell>
          <cell r="AM28">
            <v>0</v>
          </cell>
          <cell r="AP28">
            <v>0</v>
          </cell>
        </row>
        <row r="29">
          <cell r="A29" t="str">
            <v>1E-TEMSAY</v>
          </cell>
          <cell r="B29" t="str">
            <v>XL-001E</v>
          </cell>
          <cell r="C29" t="str">
            <v>Sấy khô
烘乾</v>
          </cell>
          <cell r="D29" t="str">
            <v>0C</v>
          </cell>
          <cell r="E29" t="str">
            <v>65~75</v>
          </cell>
          <cell r="F29" t="str">
            <v>(70±3)</v>
          </cell>
          <cell r="L29">
            <v>0</v>
          </cell>
          <cell r="R29">
            <v>0</v>
          </cell>
          <cell r="X29">
            <v>0</v>
          </cell>
          <cell r="AD29">
            <v>0</v>
          </cell>
          <cell r="AJ29">
            <v>0</v>
          </cell>
          <cell r="AP29">
            <v>0</v>
          </cell>
        </row>
        <row r="30">
          <cell r="A30" t="str">
            <v>Hạng mục kiểm tra bơm thuốc tự động
藥液自動添加</v>
          </cell>
        </row>
        <row r="31">
          <cell r="A31" t="str">
            <v>1E-MEM</v>
          </cell>
          <cell r="B31" t="str">
            <v>XL-001E</v>
          </cell>
          <cell r="C31" t="str">
            <v>chất mềm (merlin starer)
開缸劑</v>
          </cell>
          <cell r="D31" t="str">
            <v>ml/KAH</v>
          </cell>
          <cell r="E31" t="str">
            <v>300-360</v>
          </cell>
          <cell r="F31" t="str">
            <v>300-360</v>
          </cell>
          <cell r="I31">
            <v>0</v>
          </cell>
          <cell r="O31">
            <v>0</v>
          </cell>
          <cell r="U31">
            <v>0</v>
          </cell>
          <cell r="AA31">
            <v>0</v>
          </cell>
          <cell r="AG31">
            <v>0</v>
          </cell>
          <cell r="AM31">
            <v>0</v>
          </cell>
        </row>
        <row r="32">
          <cell r="A32" t="str">
            <v>1E-BONG</v>
          </cell>
          <cell r="B32" t="str">
            <v>XL-001E</v>
          </cell>
          <cell r="C32" t="str">
            <v>chaát boùng (merlin brightener)
光亮劑</v>
          </cell>
          <cell r="D32" t="str">
            <v>ml/KAH</v>
          </cell>
          <cell r="E32" t="str">
            <v>30-50</v>
          </cell>
          <cell r="F32" t="str">
            <v>30-50</v>
          </cell>
          <cell r="I32">
            <v>0</v>
          </cell>
          <cell r="O32">
            <v>0</v>
          </cell>
          <cell r="U32">
            <v>0</v>
          </cell>
          <cell r="AA32">
            <v>0</v>
          </cell>
          <cell r="AG32">
            <v>0</v>
          </cell>
          <cell r="AM32">
            <v>0</v>
          </cell>
        </row>
        <row r="34">
          <cell r="A34" t="str">
            <v xml:space="preserve">生產線別：無氰鹼滾電F線 (XL-001F)  </v>
          </cell>
          <cell r="G34" t="str">
            <v xml:space="preserve">          JASCO                         Kết quả kiểm tra 檢查結果</v>
          </cell>
          <cell r="AG34" t="str">
            <v xml:space="preserve">生產線別：無氰鹼滾電F線 (XL-001F)  </v>
          </cell>
        </row>
        <row r="35">
          <cell r="G35" t="str">
            <v>tiêu chuẩn khống chế để bổ sung</v>
          </cell>
          <cell r="I35" t="str">
            <v>6:15</v>
          </cell>
          <cell r="O35" t="str">
            <v>10:15</v>
          </cell>
          <cell r="U35" t="str">
            <v>14:15</v>
          </cell>
          <cell r="AA35" t="str">
            <v>18:15</v>
          </cell>
          <cell r="AG35" t="str">
            <v>22:15</v>
          </cell>
          <cell r="AM35" t="str">
            <v>02:15</v>
          </cell>
        </row>
        <row r="36">
          <cell r="A36" t="str">
            <v>MÃ</v>
          </cell>
          <cell r="B36" t="str">
            <v>MÃ MÁY</v>
          </cell>
          <cell r="C36" t="str">
            <v>Hạng mục kiểm tra nồng độ
化驗檢查項目</v>
          </cell>
          <cell r="D36" t="str">
            <v>Đơn vị
單位</v>
          </cell>
          <cell r="E36" t="str">
            <v>Phạm vi kiểm soát
範圍值</v>
          </cell>
          <cell r="F36" t="str">
            <v>Giới hạn kiểm soát
管控值</v>
          </cell>
          <cell r="I36" t="str">
            <v xml:space="preserve">濃度 </v>
          </cell>
          <cell r="J36" t="str">
            <v>補充 BS</v>
          </cell>
          <cell r="K36" t="str">
            <v>補充 BS</v>
          </cell>
          <cell r="O36" t="str">
            <v xml:space="preserve">濃度 </v>
          </cell>
          <cell r="P36" t="str">
            <v>補充 BS</v>
          </cell>
          <cell r="Q36" t="str">
            <v>補充 BS</v>
          </cell>
          <cell r="U36" t="str">
            <v xml:space="preserve">濃度 </v>
          </cell>
          <cell r="V36" t="str">
            <v>補充 BS</v>
          </cell>
          <cell r="W36" t="str">
            <v>補充 BS</v>
          </cell>
          <cell r="AA36" t="str">
            <v xml:space="preserve">濃度 </v>
          </cell>
          <cell r="AB36" t="str">
            <v>補充 BS</v>
          </cell>
          <cell r="AC36" t="str">
            <v>補充 BS</v>
          </cell>
          <cell r="AG36" t="str">
            <v xml:space="preserve">濃度 </v>
          </cell>
          <cell r="AH36" t="str">
            <v>補充 BS</v>
          </cell>
          <cell r="AI36" t="str">
            <v>補充 BS</v>
          </cell>
          <cell r="AM36" t="str">
            <v xml:space="preserve">濃度 </v>
          </cell>
          <cell r="AN36" t="str">
            <v>補充 BS</v>
          </cell>
          <cell r="AO36" t="str">
            <v>補充 BS</v>
          </cell>
        </row>
        <row r="37">
          <cell r="A37" t="str">
            <v>1F-XB1</v>
          </cell>
          <cell r="B37" t="str">
            <v>XL-001F</v>
          </cell>
          <cell r="C37" t="str">
            <v xml:space="preserve">Xà bông (1)脫脂 </v>
          </cell>
          <cell r="D37" t="str">
            <v>g/L</v>
          </cell>
          <cell r="E37" t="str">
            <v>60~80</v>
          </cell>
          <cell r="F37" t="str">
            <v>(70±5)</v>
          </cell>
          <cell r="G37">
            <v>70</v>
          </cell>
          <cell r="H37">
            <v>10.55</v>
          </cell>
          <cell r="I37">
            <v>68.469500000000011</v>
          </cell>
          <cell r="J37">
            <v>4.1216364999999717</v>
          </cell>
          <cell r="K37" t="str">
            <v>+</v>
          </cell>
          <cell r="L37">
            <v>4.1216364999999717</v>
          </cell>
          <cell r="M37" t="str">
            <v>kg</v>
          </cell>
          <cell r="N37">
            <v>10.3</v>
          </cell>
          <cell r="O37">
            <v>66.847000000000008</v>
          </cell>
          <cell r="P37">
            <v>8.4910289999999762</v>
          </cell>
          <cell r="Q37" t="str">
            <v>+</v>
          </cell>
          <cell r="R37">
            <v>8.4910289999999762</v>
          </cell>
          <cell r="S37" t="str">
            <v>kg</v>
          </cell>
          <cell r="T37">
            <v>10.5</v>
          </cell>
          <cell r="U37">
            <v>68.144999999999996</v>
          </cell>
          <cell r="V37">
            <v>4.9955150000000099</v>
          </cell>
          <cell r="W37" t="str">
            <v>+</v>
          </cell>
          <cell r="X37">
            <v>4.9955150000000099</v>
          </cell>
          <cell r="Y37" t="str">
            <v>kg</v>
          </cell>
          <cell r="Z37">
            <v>10.4</v>
          </cell>
          <cell r="AA37">
            <v>67.496000000000009</v>
          </cell>
          <cell r="AB37">
            <v>6.7432719999999744</v>
          </cell>
          <cell r="AC37" t="str">
            <v>+</v>
          </cell>
          <cell r="AD37">
            <v>6.7432719999999744</v>
          </cell>
          <cell r="AE37" t="str">
            <v>kg</v>
          </cell>
          <cell r="AF37">
            <v>0</v>
          </cell>
          <cell r="AG37">
            <v>0</v>
          </cell>
          <cell r="AH37">
            <v>188.51</v>
          </cell>
          <cell r="AI37" t="str">
            <v>+</v>
          </cell>
          <cell r="AJ37">
            <v>0</v>
          </cell>
          <cell r="AK37" t="str">
            <v>kg</v>
          </cell>
          <cell r="AL37">
            <v>10</v>
          </cell>
          <cell r="AM37">
            <v>64.900000000000006</v>
          </cell>
          <cell r="AN37">
            <v>13.734299999999985</v>
          </cell>
          <cell r="AO37" t="str">
            <v>+</v>
          </cell>
          <cell r="AP37">
            <v>13.734299999999985</v>
          </cell>
          <cell r="AQ37" t="str">
            <v>kg</v>
          </cell>
        </row>
        <row r="38">
          <cell r="A38" t="str">
            <v>1F-XB2</v>
          </cell>
          <cell r="B38" t="str">
            <v>XL-001F</v>
          </cell>
          <cell r="C38" t="str">
            <v xml:space="preserve">Xà bông (2)脫脂 </v>
          </cell>
          <cell r="D38" t="str">
            <v>g/L</v>
          </cell>
          <cell r="E38" t="str">
            <v>60~80</v>
          </cell>
          <cell r="F38" t="str">
            <v>(70±5)</v>
          </cell>
          <cell r="G38">
            <v>70</v>
          </cell>
          <cell r="H38">
            <v>12</v>
          </cell>
          <cell r="I38">
            <v>77.88</v>
          </cell>
          <cell r="J38">
            <v>-26.043399999999984</v>
          </cell>
          <cell r="K38" t="str">
            <v>+</v>
          </cell>
          <cell r="L38">
            <v>0</v>
          </cell>
          <cell r="M38" t="str">
            <v>kg</v>
          </cell>
          <cell r="N38">
            <v>12</v>
          </cell>
          <cell r="O38">
            <v>77.88</v>
          </cell>
          <cell r="P38">
            <v>-26.043399999999984</v>
          </cell>
          <cell r="Q38" t="str">
            <v>+</v>
          </cell>
          <cell r="R38">
            <v>0</v>
          </cell>
          <cell r="S38" t="str">
            <v>kg</v>
          </cell>
          <cell r="T38">
            <v>12</v>
          </cell>
          <cell r="U38">
            <v>77.88</v>
          </cell>
          <cell r="V38">
            <v>-26.043399999999984</v>
          </cell>
          <cell r="W38" t="str">
            <v>+</v>
          </cell>
          <cell r="X38">
            <v>0</v>
          </cell>
          <cell r="Y38" t="str">
            <v>kg</v>
          </cell>
          <cell r="Z38">
            <v>12.1</v>
          </cell>
          <cell r="AA38">
            <v>78.528999999999996</v>
          </cell>
          <cell r="AB38">
            <v>-28.188344999999988</v>
          </cell>
          <cell r="AC38" t="str">
            <v>+</v>
          </cell>
          <cell r="AD38">
            <v>0</v>
          </cell>
          <cell r="AE38" t="str">
            <v>kg</v>
          </cell>
          <cell r="AF38">
            <v>0</v>
          </cell>
          <cell r="AG38">
            <v>0</v>
          </cell>
          <cell r="AH38">
            <v>231.35</v>
          </cell>
          <cell r="AI38" t="str">
            <v>+</v>
          </cell>
          <cell r="AJ38">
            <v>0</v>
          </cell>
          <cell r="AK38" t="str">
            <v>kg</v>
          </cell>
          <cell r="AL38">
            <v>12.5</v>
          </cell>
          <cell r="AM38">
            <v>81.125</v>
          </cell>
          <cell r="AN38">
            <v>-36.768124999999998</v>
          </cell>
          <cell r="AO38" t="str">
            <v>+</v>
          </cell>
          <cell r="AP38">
            <v>0</v>
          </cell>
          <cell r="AQ38" t="str">
            <v>kg</v>
          </cell>
        </row>
        <row r="39">
          <cell r="A39" t="str">
            <v>1F-DG1</v>
          </cell>
          <cell r="B39" t="str">
            <v>XL-001F</v>
          </cell>
          <cell r="C39" t="str">
            <v xml:space="preserve">điện giải(1)+電解  </v>
          </cell>
          <cell r="D39" t="str">
            <v>g/L</v>
          </cell>
          <cell r="E39" t="str">
            <v>50~70</v>
          </cell>
          <cell r="F39" t="str">
            <v>(60±5)</v>
          </cell>
          <cell r="G39">
            <v>60</v>
          </cell>
          <cell r="H39">
            <v>15.3</v>
          </cell>
          <cell r="I39">
            <v>70.686000000000007</v>
          </cell>
          <cell r="J39">
            <v>-12.353016000000009</v>
          </cell>
          <cell r="K39" t="str">
            <v>+</v>
          </cell>
          <cell r="L39">
            <v>0</v>
          </cell>
          <cell r="M39" t="str">
            <v>kg</v>
          </cell>
          <cell r="N39">
            <v>15.5</v>
          </cell>
          <cell r="O39">
            <v>71.61</v>
          </cell>
          <cell r="P39">
            <v>-13.42116</v>
          </cell>
          <cell r="Q39" t="str">
            <v>+</v>
          </cell>
          <cell r="R39">
            <v>0</v>
          </cell>
          <cell r="S39" t="str">
            <v>kg</v>
          </cell>
          <cell r="T39">
            <v>15.3</v>
          </cell>
          <cell r="U39">
            <v>70.686000000000007</v>
          </cell>
          <cell r="V39">
            <v>-12.353016000000009</v>
          </cell>
          <cell r="W39" t="str">
            <v>+</v>
          </cell>
          <cell r="X39">
            <v>0</v>
          </cell>
          <cell r="Y39" t="str">
            <v>kg</v>
          </cell>
          <cell r="Z39">
            <v>14.6</v>
          </cell>
          <cell r="AA39">
            <v>67.451999999999998</v>
          </cell>
          <cell r="AB39">
            <v>-8.6145119999999995</v>
          </cell>
          <cell r="AC39" t="str">
            <v>+</v>
          </cell>
          <cell r="AD39">
            <v>0</v>
          </cell>
          <cell r="AE39" t="str">
            <v>kg</v>
          </cell>
          <cell r="AF39">
            <v>0</v>
          </cell>
          <cell r="AG39">
            <v>0</v>
          </cell>
          <cell r="AH39">
            <v>69.36</v>
          </cell>
          <cell r="AI39" t="str">
            <v>+</v>
          </cell>
          <cell r="AJ39">
            <v>0</v>
          </cell>
          <cell r="AK39" t="str">
            <v>kg</v>
          </cell>
          <cell r="AL39">
            <v>14.2</v>
          </cell>
          <cell r="AM39">
            <v>65.603999999999999</v>
          </cell>
          <cell r="AN39">
            <v>-6.4782239999999991</v>
          </cell>
          <cell r="AO39" t="str">
            <v>+</v>
          </cell>
          <cell r="AP39">
            <v>0</v>
          </cell>
          <cell r="AQ39" t="str">
            <v>kg</v>
          </cell>
        </row>
        <row r="40">
          <cell r="A40" t="str">
            <v>1F-DG2</v>
          </cell>
          <cell r="B40" t="str">
            <v>XL-001F</v>
          </cell>
          <cell r="C40" t="str">
            <v xml:space="preserve">điện giải (2)+電解  </v>
          </cell>
          <cell r="D40" t="str">
            <v>g/L</v>
          </cell>
          <cell r="E40" t="str">
            <v>50~70</v>
          </cell>
          <cell r="F40" t="str">
            <v>(60±5)</v>
          </cell>
          <cell r="G40">
            <v>60</v>
          </cell>
          <cell r="H40">
            <v>13.15</v>
          </cell>
          <cell r="I40">
            <v>60.753</v>
          </cell>
          <cell r="J40">
            <v>-1.0986270000000002</v>
          </cell>
          <cell r="K40" t="str">
            <v>+</v>
          </cell>
          <cell r="L40">
            <v>0</v>
          </cell>
          <cell r="M40" t="str">
            <v>kg</v>
          </cell>
          <cell r="N40">
            <v>13.45</v>
          </cell>
          <cell r="O40">
            <v>62.138999999999996</v>
          </cell>
          <cell r="P40">
            <v>-3.1208009999999939</v>
          </cell>
          <cell r="Q40" t="str">
            <v>+</v>
          </cell>
          <cell r="R40">
            <v>0</v>
          </cell>
          <cell r="S40" t="str">
            <v>kg</v>
          </cell>
          <cell r="T40">
            <v>13</v>
          </cell>
          <cell r="U40">
            <v>60.06</v>
          </cell>
          <cell r="V40">
            <v>-8.7540000000003323E-2</v>
          </cell>
          <cell r="W40" t="str">
            <v>+</v>
          </cell>
          <cell r="X40">
            <v>0</v>
          </cell>
          <cell r="Y40" t="str">
            <v>kg</v>
          </cell>
          <cell r="Z40">
            <v>12.2</v>
          </cell>
          <cell r="AA40">
            <v>56.363999999999997</v>
          </cell>
          <cell r="AB40">
            <v>5.3049240000000033</v>
          </cell>
          <cell r="AC40" t="str">
            <v>+</v>
          </cell>
          <cell r="AD40">
            <v>5.3049240000000033</v>
          </cell>
          <cell r="AE40" t="str">
            <v>kg</v>
          </cell>
          <cell r="AF40">
            <v>0</v>
          </cell>
          <cell r="AG40">
            <v>0</v>
          </cell>
          <cell r="AH40">
            <v>87.54</v>
          </cell>
          <cell r="AI40" t="str">
            <v>+</v>
          </cell>
          <cell r="AJ40">
            <v>0</v>
          </cell>
          <cell r="AK40" t="str">
            <v>kg</v>
          </cell>
          <cell r="AL40">
            <v>11.8</v>
          </cell>
          <cell r="AM40">
            <v>54.516000000000005</v>
          </cell>
          <cell r="AN40">
            <v>8.0011559999999911</v>
          </cell>
          <cell r="AO40" t="str">
            <v>+</v>
          </cell>
          <cell r="AP40">
            <v>8.0011559999999911</v>
          </cell>
          <cell r="AQ40" t="str">
            <v>kg</v>
          </cell>
        </row>
        <row r="41">
          <cell r="A41" t="str">
            <v>1F-NAOH</v>
          </cell>
          <cell r="B41" t="str">
            <v>XL-001F</v>
          </cell>
          <cell r="C41" t="str">
            <v>Nồng độ    NaOH
氫氧化鈉</v>
          </cell>
          <cell r="D41" t="str">
            <v>g/L</v>
          </cell>
          <cell r="E41" t="str">
            <v>130 - 150</v>
          </cell>
          <cell r="F41" t="str">
            <v>(140±10)</v>
          </cell>
          <cell r="G41">
            <v>140</v>
          </cell>
          <cell r="H41">
            <v>17.45</v>
          </cell>
          <cell r="I41">
            <v>139.6</v>
          </cell>
          <cell r="J41">
            <v>7.9804000000001132</v>
          </cell>
          <cell r="K41" t="str">
            <v>+</v>
          </cell>
          <cell r="L41">
            <v>7.9804000000001132</v>
          </cell>
          <cell r="M41" t="str">
            <v>kg</v>
          </cell>
          <cell r="N41">
            <v>17.25</v>
          </cell>
          <cell r="O41">
            <v>138</v>
          </cell>
          <cell r="P41">
            <v>39.902000000000001</v>
          </cell>
          <cell r="Q41" t="str">
            <v>+</v>
          </cell>
          <cell r="R41">
            <v>39.902000000000001</v>
          </cell>
          <cell r="S41" t="str">
            <v>kg</v>
          </cell>
          <cell r="T41">
            <v>17.55</v>
          </cell>
          <cell r="U41">
            <v>140.4</v>
          </cell>
          <cell r="V41">
            <v>-7.9804000000001132</v>
          </cell>
          <cell r="W41" t="str">
            <v>+</v>
          </cell>
          <cell r="X41">
            <v>0</v>
          </cell>
          <cell r="Y41" t="str">
            <v>kg</v>
          </cell>
          <cell r="Z41">
            <v>17.399999999999999</v>
          </cell>
          <cell r="AA41">
            <v>139.19999999999999</v>
          </cell>
          <cell r="AB41">
            <v>15.960800000000226</v>
          </cell>
          <cell r="AC41" t="str">
            <v>+</v>
          </cell>
          <cell r="AD41">
            <v>15.960800000000226</v>
          </cell>
          <cell r="AE41" t="str">
            <v>kg</v>
          </cell>
          <cell r="AF41">
            <v>0</v>
          </cell>
          <cell r="AG41">
            <v>0</v>
          </cell>
          <cell r="AH41">
            <v>2793.14</v>
          </cell>
          <cell r="AI41" t="str">
            <v>+</v>
          </cell>
          <cell r="AJ41">
            <v>0</v>
          </cell>
          <cell r="AK41" t="str">
            <v>kg</v>
          </cell>
          <cell r="AL41">
            <v>17.3</v>
          </cell>
          <cell r="AM41">
            <v>138.4</v>
          </cell>
          <cell r="AN41">
            <v>31.921599999999884</v>
          </cell>
          <cell r="AO41" t="str">
            <v>+</v>
          </cell>
          <cell r="AP41">
            <v>31.921599999999884</v>
          </cell>
          <cell r="AQ41" t="str">
            <v>kg</v>
          </cell>
        </row>
        <row r="42">
          <cell r="A42" t="str">
            <v>1F-ZN</v>
          </cell>
          <cell r="B42" t="str">
            <v>XL-001F</v>
          </cell>
          <cell r="C42" t="str">
            <v>Nồng độ Zn  鋅
(1 pcs Zn=25kg)</v>
          </cell>
          <cell r="D42" t="str">
            <v>g/L</v>
          </cell>
          <cell r="E42" t="str">
            <v>8~12</v>
          </cell>
          <cell r="F42" t="str">
            <v>(10±1)</v>
          </cell>
          <cell r="G42">
            <v>10</v>
          </cell>
          <cell r="H42">
            <v>10.199999999999999</v>
          </cell>
          <cell r="I42">
            <v>13.26</v>
          </cell>
          <cell r="J42">
            <v>-65.040259999999989</v>
          </cell>
          <cell r="K42" t="str">
            <v>+</v>
          </cell>
          <cell r="L42">
            <v>0</v>
          </cell>
          <cell r="M42" t="str">
            <v>kg</v>
          </cell>
          <cell r="N42">
            <v>9.6999999999999993</v>
          </cell>
          <cell r="O42">
            <v>12.61</v>
          </cell>
          <cell r="P42">
            <v>-52.072109999999988</v>
          </cell>
          <cell r="Q42" t="str">
            <v>+</v>
          </cell>
          <cell r="R42">
            <v>0</v>
          </cell>
          <cell r="S42" t="str">
            <v>kg</v>
          </cell>
          <cell r="T42">
            <v>9.5500000000000007</v>
          </cell>
          <cell r="U42">
            <v>12.415000000000001</v>
          </cell>
          <cell r="V42">
            <v>-48.181665000000017</v>
          </cell>
          <cell r="W42" t="str">
            <v>+</v>
          </cell>
          <cell r="X42">
            <v>0</v>
          </cell>
          <cell r="Y42" t="str">
            <v>kg</v>
          </cell>
          <cell r="Z42">
            <v>9.4</v>
          </cell>
          <cell r="AA42">
            <v>12.22</v>
          </cell>
          <cell r="AB42">
            <v>-44.291220000000017</v>
          </cell>
          <cell r="AC42" t="str">
            <v>+</v>
          </cell>
          <cell r="AD42">
            <v>0</v>
          </cell>
          <cell r="AE42" t="str">
            <v>kg</v>
          </cell>
          <cell r="AF42">
            <v>0</v>
          </cell>
          <cell r="AG42">
            <v>0</v>
          </cell>
          <cell r="AH42">
            <v>199.51</v>
          </cell>
          <cell r="AI42" t="str">
            <v>+</v>
          </cell>
          <cell r="AJ42">
            <v>0</v>
          </cell>
          <cell r="AK42" t="str">
            <v>kg</v>
          </cell>
          <cell r="AL42">
            <v>9.6999999999999993</v>
          </cell>
          <cell r="AM42">
            <v>12.61</v>
          </cell>
          <cell r="AN42">
            <v>-52.072109999999988</v>
          </cell>
          <cell r="AO42" t="str">
            <v>+</v>
          </cell>
          <cell r="AP42">
            <v>0</v>
          </cell>
          <cell r="AQ42" t="str">
            <v>kg</v>
          </cell>
        </row>
        <row r="43">
          <cell r="A43" t="str">
            <v>1F-CR3I</v>
          </cell>
          <cell r="B43" t="str">
            <v>XL-001F</v>
          </cell>
          <cell r="C43" t="str">
            <v>Nồng độ Cr2O3 三價鉻
LANTHANE 318</v>
          </cell>
          <cell r="D43" t="str">
            <v>%</v>
          </cell>
          <cell r="E43" t="str">
            <v xml:space="preserve">6~10 </v>
          </cell>
          <cell r="F43" t="str">
            <v>(8±0.5)</v>
          </cell>
          <cell r="G43">
            <v>8</v>
          </cell>
          <cell r="H43">
            <v>23.4</v>
          </cell>
          <cell r="I43">
            <v>8.8684799999999981</v>
          </cell>
          <cell r="J43">
            <v>-4.9937599999999893</v>
          </cell>
          <cell r="K43" t="str">
            <v>+</v>
          </cell>
          <cell r="L43">
            <v>0</v>
          </cell>
          <cell r="M43" t="str">
            <v>L</v>
          </cell>
          <cell r="N43">
            <v>23.2</v>
          </cell>
          <cell r="O43">
            <v>8.7837400000000017</v>
          </cell>
          <cell r="P43">
            <v>-4.5065050000000095</v>
          </cell>
          <cell r="Q43" t="str">
            <v>+</v>
          </cell>
          <cell r="R43">
            <v>0</v>
          </cell>
          <cell r="S43" t="str">
            <v>L</v>
          </cell>
          <cell r="T43">
            <v>22.5</v>
          </cell>
          <cell r="U43">
            <v>8.4871499999999997</v>
          </cell>
          <cell r="V43">
            <v>-2.8011124999999986</v>
          </cell>
          <cell r="W43" t="str">
            <v>+</v>
          </cell>
          <cell r="X43">
            <v>0</v>
          </cell>
          <cell r="Y43" t="str">
            <v>L</v>
          </cell>
          <cell r="Z43">
            <v>19.100000000000001</v>
          </cell>
          <cell r="AA43">
            <v>7.0465700000000018</v>
          </cell>
          <cell r="AB43">
            <v>5.48222249999999</v>
          </cell>
          <cell r="AC43" t="str">
            <v>+</v>
          </cell>
          <cell r="AD43">
            <v>5.48222249999999</v>
          </cell>
          <cell r="AE43" t="str">
            <v>L</v>
          </cell>
          <cell r="AF43">
            <v>0</v>
          </cell>
          <cell r="AG43">
            <v>-1.0461</v>
          </cell>
          <cell r="AH43">
            <v>52.015074999999996</v>
          </cell>
          <cell r="AI43" t="str">
            <v>+</v>
          </cell>
          <cell r="AJ43">
            <v>0</v>
          </cell>
          <cell r="AK43" t="str">
            <v>L</v>
          </cell>
          <cell r="AL43">
            <v>21.5</v>
          </cell>
          <cell r="AM43">
            <v>8.0634499999999996</v>
          </cell>
          <cell r="AN43">
            <v>-0.36483749999999743</v>
          </cell>
          <cell r="AO43" t="str">
            <v>+</v>
          </cell>
          <cell r="AP43">
            <v>0</v>
          </cell>
          <cell r="AQ43" t="str">
            <v>L</v>
          </cell>
        </row>
        <row r="44">
          <cell r="A44" t="str">
            <v>1F-CR3IPH</v>
          </cell>
          <cell r="B44" t="str">
            <v>XL-001F</v>
          </cell>
          <cell r="C44" t="str">
            <v>PH</v>
          </cell>
          <cell r="D44" t="str">
            <v>pH</v>
          </cell>
          <cell r="E44" t="str">
            <v>2~2.5</v>
          </cell>
          <cell r="F44" t="str">
            <v>(2.3±0.1 )</v>
          </cell>
          <cell r="I44">
            <v>2.2000000000000002</v>
          </cell>
          <cell r="O44">
            <v>2.2200000000000002</v>
          </cell>
          <cell r="U44">
            <v>2.2000000000000002</v>
          </cell>
          <cell r="AA44">
            <v>2.2000000000000002</v>
          </cell>
          <cell r="AG44">
            <v>0</v>
          </cell>
          <cell r="AM44">
            <v>2.2000000000000002</v>
          </cell>
        </row>
        <row r="45">
          <cell r="A45" t="str">
            <v>1F-HCL1</v>
          </cell>
          <cell r="B45" t="str">
            <v>XL-001F</v>
          </cell>
          <cell r="C45" t="str">
            <v>Nồng độ acid đặc
鹽酸 濃度</v>
          </cell>
          <cell r="D45" t="str">
            <v>%V/V</v>
          </cell>
          <cell r="E45" t="str">
            <v xml:space="preserve">30~60 </v>
          </cell>
          <cell r="F45" t="str">
            <v>(45±5)</v>
          </cell>
          <cell r="G45">
            <v>0.45</v>
          </cell>
          <cell r="H45">
            <v>4.0999999999999996</v>
          </cell>
          <cell r="I45">
            <v>0.46765624999999994</v>
          </cell>
          <cell r="J45">
            <v>-37.466562499999853</v>
          </cell>
          <cell r="K45" t="str">
            <v>+</v>
          </cell>
          <cell r="L45">
            <v>0</v>
          </cell>
          <cell r="M45" t="str">
            <v>L</v>
          </cell>
          <cell r="N45">
            <v>4.4000000000000004</v>
          </cell>
          <cell r="O45">
            <v>0.50187500000000007</v>
          </cell>
          <cell r="P45">
            <v>-110.07875000000013</v>
          </cell>
          <cell r="Q45" t="str">
            <v>+</v>
          </cell>
          <cell r="R45">
            <v>0</v>
          </cell>
          <cell r="S45" t="str">
            <v>L</v>
          </cell>
          <cell r="T45">
            <v>4.2</v>
          </cell>
          <cell r="U45">
            <v>0.47906250000000006</v>
          </cell>
          <cell r="V45">
            <v>-61.670625000000101</v>
          </cell>
          <cell r="W45" t="str">
            <v>+</v>
          </cell>
          <cell r="X45">
            <v>0</v>
          </cell>
          <cell r="Y45" t="str">
            <v>L</v>
          </cell>
          <cell r="Z45">
            <v>4.5</v>
          </cell>
          <cell r="AA45">
            <v>0.51328125000000002</v>
          </cell>
          <cell r="AB45">
            <v>-134.28281250000003</v>
          </cell>
          <cell r="AC45" t="str">
            <v>+</v>
          </cell>
          <cell r="AD45">
            <v>0</v>
          </cell>
          <cell r="AE45" t="str">
            <v>L</v>
          </cell>
          <cell r="AF45">
            <v>0</v>
          </cell>
          <cell r="AG45">
            <v>0</v>
          </cell>
          <cell r="AH45">
            <v>954.9</v>
          </cell>
          <cell r="AI45" t="str">
            <v>+</v>
          </cell>
          <cell r="AJ45">
            <v>0</v>
          </cell>
          <cell r="AK45" t="str">
            <v>L</v>
          </cell>
          <cell r="AL45">
            <v>4.4000000000000004</v>
          </cell>
          <cell r="AM45">
            <v>0.50187500000000007</v>
          </cell>
          <cell r="AN45">
            <v>-110.07875000000013</v>
          </cell>
          <cell r="AO45" t="str">
            <v>+</v>
          </cell>
          <cell r="AP45">
            <v>0</v>
          </cell>
          <cell r="AQ45" t="str">
            <v>L</v>
          </cell>
        </row>
        <row r="46">
          <cell r="A46" t="str">
            <v>1F-HCL2</v>
          </cell>
          <cell r="B46" t="str">
            <v>XL-001F</v>
          </cell>
          <cell r="C46" t="str">
            <v>Nồng độ acid loãng
稀酸 濃度</v>
          </cell>
          <cell r="D46" t="str">
            <v>%V/V</v>
          </cell>
          <cell r="E46" t="str">
            <v>15~30</v>
          </cell>
          <cell r="F46" t="str">
            <v>(22±5 )</v>
          </cell>
          <cell r="G46">
            <v>0.22</v>
          </cell>
          <cell r="H46">
            <v>2.4</v>
          </cell>
          <cell r="I46">
            <v>0.27374999999999999</v>
          </cell>
          <cell r="J46">
            <v>-32.894999999999996</v>
          </cell>
          <cell r="K46" t="str">
            <v>+</v>
          </cell>
          <cell r="L46">
            <v>0</v>
          </cell>
          <cell r="M46" t="str">
            <v>L</v>
          </cell>
          <cell r="N46">
            <v>2.2999999999999998</v>
          </cell>
          <cell r="O46">
            <v>0.26234374999999999</v>
          </cell>
          <cell r="P46">
            <v>-25.914374999999993</v>
          </cell>
          <cell r="Q46" t="str">
            <v>+</v>
          </cell>
          <cell r="R46">
            <v>0</v>
          </cell>
          <cell r="S46" t="str">
            <v>L</v>
          </cell>
          <cell r="T46">
            <v>2.4</v>
          </cell>
          <cell r="U46">
            <v>0.27374999999999999</v>
          </cell>
          <cell r="V46">
            <v>-32.894999999999996</v>
          </cell>
          <cell r="W46" t="str">
            <v>+</v>
          </cell>
          <cell r="X46">
            <v>0</v>
          </cell>
          <cell r="Y46" t="str">
            <v>L</v>
          </cell>
          <cell r="Z46">
            <v>2.4</v>
          </cell>
          <cell r="AA46">
            <v>0.27374999999999999</v>
          </cell>
          <cell r="AB46">
            <v>-32.894999999999996</v>
          </cell>
          <cell r="AC46" t="str">
            <v>+</v>
          </cell>
          <cell r="AD46">
            <v>0</v>
          </cell>
          <cell r="AE46" t="str">
            <v>L</v>
          </cell>
          <cell r="AF46">
            <v>0</v>
          </cell>
          <cell r="AG46">
            <v>0</v>
          </cell>
          <cell r="AH46">
            <v>134.64000000000001</v>
          </cell>
          <cell r="AI46" t="str">
            <v>+</v>
          </cell>
          <cell r="AJ46">
            <v>0</v>
          </cell>
          <cell r="AK46" t="str">
            <v>L</v>
          </cell>
          <cell r="AL46">
            <v>2.6</v>
          </cell>
          <cell r="AM46">
            <v>0.29656250000000001</v>
          </cell>
          <cell r="AN46">
            <v>-46.856250000000003</v>
          </cell>
          <cell r="AO46" t="str">
            <v>+</v>
          </cell>
          <cell r="AP46">
            <v>0</v>
          </cell>
          <cell r="AQ46" t="str">
            <v>L</v>
          </cell>
        </row>
        <row r="47">
          <cell r="A47" t="str">
            <v>1F-HCL3</v>
          </cell>
          <cell r="B47" t="str">
            <v>XL-001F</v>
          </cell>
          <cell r="C47" t="str">
            <v>Nồng độ HCl hoạt hóa
稀酸活化 濃度</v>
          </cell>
          <cell r="D47" t="str">
            <v>%V/V</v>
          </cell>
          <cell r="E47" t="str">
            <v>5~15</v>
          </cell>
          <cell r="F47" t="str">
            <v>(10±3)</v>
          </cell>
          <cell r="G47">
            <v>0.1</v>
          </cell>
          <cell r="H47">
            <v>5.5</v>
          </cell>
          <cell r="I47">
            <v>0.12546874999999999</v>
          </cell>
          <cell r="J47">
            <v>-14.644531249999991</v>
          </cell>
          <cell r="K47" t="str">
            <v>+</v>
          </cell>
          <cell r="L47">
            <v>0</v>
          </cell>
          <cell r="M47" t="str">
            <v>L</v>
          </cell>
          <cell r="N47">
            <v>5.5</v>
          </cell>
          <cell r="O47">
            <v>0.12546874999999999</v>
          </cell>
          <cell r="P47">
            <v>-14.644531249999991</v>
          </cell>
          <cell r="Q47" t="str">
            <v>+</v>
          </cell>
          <cell r="R47">
            <v>0</v>
          </cell>
          <cell r="S47" t="str">
            <v>L</v>
          </cell>
          <cell r="T47">
            <v>4.7</v>
          </cell>
          <cell r="U47">
            <v>0.10721875</v>
          </cell>
          <cell r="V47">
            <v>-4.1507812499999979</v>
          </cell>
          <cell r="W47" t="str">
            <v>+</v>
          </cell>
          <cell r="X47">
            <v>0</v>
          </cell>
          <cell r="Y47" t="str">
            <v>L</v>
          </cell>
          <cell r="Z47">
            <v>6.5</v>
          </cell>
          <cell r="AA47">
            <v>0.14828125</v>
          </cell>
          <cell r="AB47">
            <v>-27.76171875</v>
          </cell>
          <cell r="AC47" t="str">
            <v>+</v>
          </cell>
          <cell r="AD47">
            <v>0</v>
          </cell>
          <cell r="AE47" t="str">
            <v>L</v>
          </cell>
          <cell r="AF47">
            <v>0</v>
          </cell>
          <cell r="AG47">
            <v>0</v>
          </cell>
          <cell r="AH47">
            <v>57.5</v>
          </cell>
          <cell r="AI47" t="str">
            <v>+</v>
          </cell>
          <cell r="AJ47">
            <v>0</v>
          </cell>
          <cell r="AK47" t="str">
            <v>L</v>
          </cell>
          <cell r="AL47">
            <v>5.0999999999999996</v>
          </cell>
          <cell r="AM47">
            <v>0.11634374999999998</v>
          </cell>
          <cell r="AN47">
            <v>-9.3976562499999865</v>
          </cell>
          <cell r="AO47" t="str">
            <v>+</v>
          </cell>
          <cell r="AP47">
            <v>0</v>
          </cell>
          <cell r="AQ47" t="str">
            <v>L</v>
          </cell>
        </row>
        <row r="48">
          <cell r="A48" t="str">
            <v>1F-HNO3</v>
          </cell>
          <cell r="B48" t="str">
            <v>XL-001F</v>
          </cell>
          <cell r="C48" t="str">
            <v>Nồng độ  HNO3
硝酸濃度</v>
          </cell>
          <cell r="D48" t="str">
            <v>%</v>
          </cell>
          <cell r="E48" t="str">
            <v>0.5~1.5</v>
          </cell>
          <cell r="F48" t="str">
            <v>(1±0.2)</v>
          </cell>
          <cell r="G48">
            <v>0.01</v>
          </cell>
          <cell r="H48">
            <v>0.7</v>
          </cell>
          <cell r="I48">
            <v>8.8214000000000001E-3</v>
          </cell>
          <cell r="J48">
            <v>0.96101230769230772</v>
          </cell>
          <cell r="K48" t="str">
            <v>+</v>
          </cell>
          <cell r="L48">
            <v>0.96101230769230772</v>
          </cell>
          <cell r="M48" t="str">
            <v>L</v>
          </cell>
          <cell r="N48">
            <v>0.7</v>
          </cell>
          <cell r="O48">
            <v>8.8214000000000001E-3</v>
          </cell>
          <cell r="P48">
            <v>0.96101230769230772</v>
          </cell>
          <cell r="Q48" t="str">
            <v>+</v>
          </cell>
          <cell r="R48">
            <v>0.96101230769230772</v>
          </cell>
          <cell r="S48" t="str">
            <v>L</v>
          </cell>
          <cell r="T48">
            <v>0.9</v>
          </cell>
          <cell r="U48">
            <v>1.1341800000000003E-2</v>
          </cell>
          <cell r="V48">
            <v>-1.0940830769230789</v>
          </cell>
          <cell r="W48" t="str">
            <v>+</v>
          </cell>
          <cell r="X48">
            <v>0</v>
          </cell>
          <cell r="Y48" t="str">
            <v>L</v>
          </cell>
          <cell r="Z48">
            <v>0.7</v>
          </cell>
          <cell r="AA48">
            <v>8.8214000000000001E-3</v>
          </cell>
          <cell r="AB48">
            <v>0.96101230769230772</v>
          </cell>
          <cell r="AC48" t="str">
            <v>+</v>
          </cell>
          <cell r="AD48">
            <v>0.96101230769230772</v>
          </cell>
          <cell r="AE48" t="str">
            <v>L</v>
          </cell>
          <cell r="AF48">
            <v>0</v>
          </cell>
          <cell r="AG48">
            <v>0</v>
          </cell>
          <cell r="AH48">
            <v>8.1538461538461533</v>
          </cell>
          <cell r="AI48" t="str">
            <v>+</v>
          </cell>
          <cell r="AJ48">
            <v>0</v>
          </cell>
          <cell r="AK48" t="str">
            <v>L</v>
          </cell>
          <cell r="AL48">
            <v>0.6</v>
          </cell>
          <cell r="AM48">
            <v>7.5611999999999988E-3</v>
          </cell>
          <cell r="AN48">
            <v>1.988560000000001</v>
          </cell>
          <cell r="AO48" t="str">
            <v>+</v>
          </cell>
          <cell r="AP48">
            <v>1.988560000000001</v>
          </cell>
          <cell r="AQ48" t="str">
            <v>L</v>
          </cell>
        </row>
        <row r="49">
          <cell r="A49" t="str">
            <v>1F-CR3K</v>
          </cell>
          <cell r="B49" t="str">
            <v>XL-001F</v>
          </cell>
          <cell r="C49" t="str">
            <v>Nồng độ   Cr2O3 （K) 三價鉻
FINIDIP 124</v>
          </cell>
          <cell r="D49" t="str">
            <v>%</v>
          </cell>
          <cell r="E49" t="str">
            <v>5~8</v>
          </cell>
          <cell r="F49" t="str">
            <v>(6%±0.5)</v>
          </cell>
          <cell r="G49">
            <v>6</v>
          </cell>
          <cell r="H49">
            <v>7</v>
          </cell>
          <cell r="I49">
            <v>6.7000000000000011</v>
          </cell>
          <cell r="J49">
            <v>-4.2368421052631646</v>
          </cell>
          <cell r="K49" t="str">
            <v>+</v>
          </cell>
          <cell r="L49">
            <v>0</v>
          </cell>
          <cell r="M49" t="str">
            <v>L</v>
          </cell>
          <cell r="N49">
            <v>0</v>
          </cell>
          <cell r="O49" t="str">
            <v/>
          </cell>
          <cell r="P49" t="e">
            <v>#VALUE!</v>
          </cell>
          <cell r="Q49" t="str">
            <v>+</v>
          </cell>
          <cell r="R49" t="str">
            <v/>
          </cell>
          <cell r="S49" t="str">
            <v>L</v>
          </cell>
          <cell r="T49">
            <v>0</v>
          </cell>
          <cell r="U49" t="str">
            <v/>
          </cell>
          <cell r="V49" t="e">
            <v>#VALUE!</v>
          </cell>
          <cell r="W49" t="str">
            <v>+</v>
          </cell>
          <cell r="X49" t="str">
            <v/>
          </cell>
          <cell r="Y49" t="str">
            <v>L</v>
          </cell>
          <cell r="Z49">
            <v>7.9</v>
          </cell>
          <cell r="AA49">
            <v>7.42</v>
          </cell>
          <cell r="AB49">
            <v>-8.594736842105263</v>
          </cell>
          <cell r="AC49" t="str">
            <v>+</v>
          </cell>
          <cell r="AD49">
            <v>0</v>
          </cell>
          <cell r="AE49" t="str">
            <v>L</v>
          </cell>
          <cell r="AF49">
            <v>0</v>
          </cell>
          <cell r="AG49" t="str">
            <v/>
          </cell>
          <cell r="AH49" t="e">
            <v>#VALUE!</v>
          </cell>
          <cell r="AI49" t="str">
            <v>+</v>
          </cell>
          <cell r="AJ49" t="str">
            <v/>
          </cell>
          <cell r="AK49" t="str">
            <v>L</v>
          </cell>
          <cell r="AL49">
            <v>0</v>
          </cell>
          <cell r="AM49" t="str">
            <v/>
          </cell>
          <cell r="AN49" t="e">
            <v>#VALUE!</v>
          </cell>
          <cell r="AO49" t="str">
            <v>+</v>
          </cell>
          <cell r="AP49" t="str">
            <v/>
          </cell>
          <cell r="AQ49" t="str">
            <v>L</v>
          </cell>
        </row>
        <row r="50">
          <cell r="A50" t="str">
            <v>1F-CR3KPH</v>
          </cell>
          <cell r="B50" t="str">
            <v>XL-001F</v>
          </cell>
          <cell r="C50" t="str">
            <v>PH</v>
          </cell>
          <cell r="D50" t="str">
            <v>pH</v>
          </cell>
          <cell r="E50" t="str">
            <v>1.8~2.4</v>
          </cell>
          <cell r="F50" t="str">
            <v>(2.1±0.1 )</v>
          </cell>
          <cell r="I50">
            <v>1.9</v>
          </cell>
          <cell r="O50">
            <v>0</v>
          </cell>
          <cell r="U50">
            <v>0</v>
          </cell>
          <cell r="AA50">
            <v>1.8</v>
          </cell>
          <cell r="AG50">
            <v>0</v>
          </cell>
          <cell r="AM50">
            <v>0</v>
          </cell>
        </row>
        <row r="51">
          <cell r="A51" t="str">
            <v>Hạng mục kiểm tra nhiệt độ 檢查溫度</v>
          </cell>
        </row>
        <row r="52">
          <cell r="A52" t="str">
            <v>MÃ</v>
          </cell>
          <cell r="B52" t="str">
            <v>MÃ MÁY</v>
          </cell>
          <cell r="C52" t="str">
            <v>Hạng mục kiểm tra nhiệt độ
溫度檢查項目</v>
          </cell>
          <cell r="D52" t="str">
            <v>nhiệt độ
溫度</v>
          </cell>
          <cell r="E52" t="str">
            <v>Phạm vi kiểm soát
範圍值</v>
          </cell>
          <cell r="F52" t="str">
            <v>Giới hạn kiểm soát
管控值</v>
          </cell>
          <cell r="I52" t="str">
            <v>Nhiệt kế 
温度計</v>
          </cell>
          <cell r="L52" t="str">
            <v>Nhiệt tự động
自動温控</v>
          </cell>
          <cell r="O52" t="str">
            <v>Nhiệt kế 
温度計</v>
          </cell>
          <cell r="R52" t="str">
            <v>Nhiệt tự động
自動温控</v>
          </cell>
          <cell r="U52" t="str">
            <v>Nhiệt kế 
温度計</v>
          </cell>
          <cell r="X52" t="str">
            <v>Nhiệt tự động
自動温控</v>
          </cell>
          <cell r="AA52" t="str">
            <v>Nhiệt kế 
温度計</v>
          </cell>
          <cell r="AD52" t="str">
            <v>Nhiệt tự động
自動温控</v>
          </cell>
          <cell r="AG52" t="str">
            <v>Nhiệt kế 
温度計</v>
          </cell>
          <cell r="AJ52" t="str">
            <v>Nhiệt tự động
自動温控</v>
          </cell>
          <cell r="AM52" t="str">
            <v>Nhiệt kế 
温度計</v>
          </cell>
          <cell r="AP52" t="str">
            <v>Nhiệt tự động
自動温控</v>
          </cell>
        </row>
        <row r="53">
          <cell r="A53" t="str">
            <v>1F-TEMXB1</v>
          </cell>
          <cell r="B53" t="str">
            <v>XL-001F</v>
          </cell>
          <cell r="C53" t="str">
            <v>Nhiệt  độ xà bông nóng (1)
 熱脫脂溫度(1)</v>
          </cell>
          <cell r="D53" t="str">
            <v>0C</v>
          </cell>
          <cell r="E53" t="str">
            <v>50~70</v>
          </cell>
          <cell r="F53" t="str">
            <v>(60±3)</v>
          </cell>
          <cell r="I53">
            <v>63</v>
          </cell>
          <cell r="L53">
            <v>63</v>
          </cell>
          <cell r="O53">
            <v>62</v>
          </cell>
          <cell r="R53">
            <v>60</v>
          </cell>
          <cell r="U53">
            <v>61</v>
          </cell>
          <cell r="X53">
            <v>60</v>
          </cell>
          <cell r="AA53">
            <v>63</v>
          </cell>
          <cell r="AD53">
            <v>62</v>
          </cell>
          <cell r="AG53">
            <v>0</v>
          </cell>
          <cell r="AJ53">
            <v>0</v>
          </cell>
          <cell r="AM53">
            <v>64</v>
          </cell>
          <cell r="AP53">
            <v>63</v>
          </cell>
        </row>
        <row r="54">
          <cell r="A54" t="str">
            <v>1F-TEMXB2</v>
          </cell>
          <cell r="B54" t="str">
            <v>XL-001F</v>
          </cell>
          <cell r="C54" t="str">
            <v>Nhiệt  độ xà bông nóng (2)
 熱脫脂溫度(2)</v>
          </cell>
          <cell r="D54" t="str">
            <v>0C</v>
          </cell>
          <cell r="E54" t="str">
            <v>50~70</v>
          </cell>
          <cell r="F54" t="str">
            <v>(60±3)</v>
          </cell>
          <cell r="I54">
            <v>62</v>
          </cell>
          <cell r="L54">
            <v>61</v>
          </cell>
          <cell r="O54">
            <v>62</v>
          </cell>
          <cell r="R54">
            <v>62</v>
          </cell>
          <cell r="U54">
            <v>60</v>
          </cell>
          <cell r="X54">
            <v>60</v>
          </cell>
          <cell r="AA54">
            <v>62</v>
          </cell>
          <cell r="AD54">
            <v>61</v>
          </cell>
          <cell r="AG54">
            <v>0</v>
          </cell>
          <cell r="AJ54">
            <v>0</v>
          </cell>
          <cell r="AM54">
            <v>63</v>
          </cell>
          <cell r="AP54">
            <v>62</v>
          </cell>
        </row>
        <row r="55">
          <cell r="A55" t="str">
            <v>1F-TEMDG1</v>
          </cell>
          <cell r="B55" t="str">
            <v>XL-001F</v>
          </cell>
          <cell r="C55" t="str">
            <v>Nhiệt độ điện giải (1) 
電解1 溫度</v>
          </cell>
          <cell r="D55" t="str">
            <v>0C</v>
          </cell>
          <cell r="E55" t="str">
            <v>50~70</v>
          </cell>
          <cell r="F55" t="str">
            <v>(60±3)</v>
          </cell>
          <cell r="I55">
            <v>58</v>
          </cell>
          <cell r="L55">
            <v>58</v>
          </cell>
          <cell r="O55">
            <v>59</v>
          </cell>
          <cell r="R55">
            <v>58</v>
          </cell>
          <cell r="U55">
            <v>58</v>
          </cell>
          <cell r="X55">
            <v>57</v>
          </cell>
          <cell r="AA55">
            <v>59</v>
          </cell>
          <cell r="AD55">
            <v>58</v>
          </cell>
          <cell r="AG55">
            <v>0</v>
          </cell>
          <cell r="AJ55">
            <v>0</v>
          </cell>
          <cell r="AM55">
            <v>58</v>
          </cell>
          <cell r="AP55">
            <v>57</v>
          </cell>
        </row>
        <row r="56">
          <cell r="A56" t="str">
            <v>1F-TEMDG2</v>
          </cell>
          <cell r="B56" t="str">
            <v>XL-001F</v>
          </cell>
          <cell r="C56" t="str">
            <v>Nhiệt độ điện giải (2)
電解 2 溫度</v>
          </cell>
          <cell r="D56" t="str">
            <v>0C</v>
          </cell>
          <cell r="E56" t="str">
            <v>50~70</v>
          </cell>
          <cell r="F56" t="str">
            <v>(60±3)</v>
          </cell>
          <cell r="I56">
            <v>56</v>
          </cell>
          <cell r="L56">
            <v>56</v>
          </cell>
          <cell r="O56">
            <v>53</v>
          </cell>
          <cell r="R56">
            <v>52</v>
          </cell>
          <cell r="U56">
            <v>50</v>
          </cell>
          <cell r="X56">
            <v>48</v>
          </cell>
          <cell r="AA56">
            <v>52</v>
          </cell>
          <cell r="AD56">
            <v>50</v>
          </cell>
          <cell r="AG56">
            <v>0</v>
          </cell>
          <cell r="AJ56">
            <v>0</v>
          </cell>
          <cell r="AM56">
            <v>49</v>
          </cell>
          <cell r="AP56">
            <v>48</v>
          </cell>
        </row>
        <row r="57">
          <cell r="A57" t="str">
            <v>1F-TEMBX</v>
          </cell>
          <cell r="B57" t="str">
            <v>XL-001F</v>
          </cell>
          <cell r="C57" t="str">
            <v>Nhiệt độ bồn xi
鍍鋅槽溫度</v>
          </cell>
          <cell r="D57" t="str">
            <v>0C</v>
          </cell>
          <cell r="E57" t="str">
            <v>22~30</v>
          </cell>
          <cell r="F57" t="str">
            <v>(24±1)</v>
          </cell>
          <cell r="I57">
            <v>26</v>
          </cell>
          <cell r="L57">
            <v>27</v>
          </cell>
          <cell r="O57">
            <v>27</v>
          </cell>
          <cell r="R57">
            <v>27</v>
          </cell>
          <cell r="U57">
            <v>28</v>
          </cell>
          <cell r="X57">
            <v>28</v>
          </cell>
          <cell r="AA57">
            <v>29</v>
          </cell>
          <cell r="AD57">
            <v>30</v>
          </cell>
          <cell r="AG57">
            <v>0</v>
          </cell>
          <cell r="AJ57">
            <v>0</v>
          </cell>
          <cell r="AM57">
            <v>28</v>
          </cell>
          <cell r="AP57">
            <v>28</v>
          </cell>
        </row>
        <row r="58">
          <cell r="A58" t="str">
            <v>1F-TEMCR3I</v>
          </cell>
          <cell r="B58" t="str">
            <v>XL-001F</v>
          </cell>
          <cell r="C58" t="str">
            <v>Nhiệt độ bồn màu Cr2O3
三價鉻 溫度</v>
          </cell>
          <cell r="D58" t="str">
            <v>0C</v>
          </cell>
          <cell r="E58" t="str">
            <v>30-38</v>
          </cell>
          <cell r="F58" t="str">
            <v>(34±2)</v>
          </cell>
          <cell r="I58">
            <v>36</v>
          </cell>
          <cell r="L58">
            <v>35</v>
          </cell>
          <cell r="O58">
            <v>37</v>
          </cell>
          <cell r="R58">
            <v>36</v>
          </cell>
          <cell r="U58">
            <v>36</v>
          </cell>
          <cell r="X58">
            <v>36</v>
          </cell>
          <cell r="AA58">
            <v>36</v>
          </cell>
          <cell r="AD58">
            <v>35</v>
          </cell>
          <cell r="AG58">
            <v>0</v>
          </cell>
          <cell r="AJ58">
            <v>0</v>
          </cell>
          <cell r="AM58">
            <v>36</v>
          </cell>
          <cell r="AP58">
            <v>35</v>
          </cell>
        </row>
        <row r="59">
          <cell r="A59" t="str">
            <v>1F-TEMH2O</v>
          </cell>
          <cell r="B59" t="str">
            <v>XL-001F</v>
          </cell>
          <cell r="C59" t="str">
            <v xml:space="preserve">Nhiệt độ bồn nước nóng
熱水溫度 </v>
          </cell>
          <cell r="D59" t="str">
            <v>0C</v>
          </cell>
          <cell r="E59" t="str">
            <v>55~65</v>
          </cell>
          <cell r="F59" t="str">
            <v>(60±3)</v>
          </cell>
          <cell r="I59">
            <v>54</v>
          </cell>
          <cell r="L59">
            <v>53</v>
          </cell>
          <cell r="O59">
            <v>53</v>
          </cell>
          <cell r="R59">
            <v>52</v>
          </cell>
          <cell r="U59">
            <v>54</v>
          </cell>
          <cell r="X59">
            <v>52</v>
          </cell>
          <cell r="AA59">
            <v>57</v>
          </cell>
          <cell r="AD59">
            <v>56</v>
          </cell>
          <cell r="AG59">
            <v>0</v>
          </cell>
          <cell r="AJ59">
            <v>0</v>
          </cell>
          <cell r="AM59">
            <v>50</v>
          </cell>
          <cell r="AP59">
            <v>49</v>
          </cell>
        </row>
        <row r="60">
          <cell r="A60" t="str">
            <v>1F-TEMSAY</v>
          </cell>
          <cell r="B60" t="str">
            <v>XL-001F</v>
          </cell>
          <cell r="C60" t="str">
            <v>Sấy khô
烘乾</v>
          </cell>
          <cell r="D60" t="str">
            <v>0C</v>
          </cell>
          <cell r="E60" t="str">
            <v>65~75</v>
          </cell>
          <cell r="F60" t="str">
            <v>(70±3)</v>
          </cell>
          <cell r="L60">
            <v>75</v>
          </cell>
          <cell r="R60">
            <v>73</v>
          </cell>
          <cell r="X60">
            <v>75</v>
          </cell>
          <cell r="AD60">
            <v>73</v>
          </cell>
          <cell r="AJ60">
            <v>0</v>
          </cell>
          <cell r="AP60">
            <v>71</v>
          </cell>
        </row>
        <row r="61">
          <cell r="A61" t="str">
            <v>Hạng mục kiểm tra bơm thuốc tự động
藥液自動添加</v>
          </cell>
        </row>
        <row r="62">
          <cell r="A62" t="str">
            <v>1F-MEM</v>
          </cell>
          <cell r="B62" t="str">
            <v>XL-001F</v>
          </cell>
          <cell r="C62" t="str">
            <v>開缸劑
250 Base</v>
          </cell>
          <cell r="D62" t="str">
            <v>ml/1000AH</v>
          </cell>
          <cell r="E62" t="str">
            <v>100-200</v>
          </cell>
          <cell r="F62" t="str">
            <v>100-200</v>
          </cell>
          <cell r="I62">
            <v>195</v>
          </cell>
          <cell r="O62">
            <v>198</v>
          </cell>
          <cell r="U62">
            <v>190</v>
          </cell>
          <cell r="AA62">
            <v>195</v>
          </cell>
          <cell r="AG62">
            <v>0</v>
          </cell>
          <cell r="AM62">
            <v>195</v>
          </cell>
        </row>
        <row r="63">
          <cell r="A63" t="str">
            <v>1F-BONG</v>
          </cell>
          <cell r="B63" t="str">
            <v>XL-001F</v>
          </cell>
          <cell r="C63" t="str">
            <v>光亮劑
250 Brightener</v>
          </cell>
          <cell r="D63" t="str">
            <v>ml/1000AH</v>
          </cell>
          <cell r="E63" t="str">
            <v>20-50</v>
          </cell>
          <cell r="F63" t="str">
            <v>20-50</v>
          </cell>
          <cell r="I63">
            <v>40</v>
          </cell>
          <cell r="O63">
            <v>42</v>
          </cell>
          <cell r="T63">
            <v>42</v>
          </cell>
          <cell r="U63">
            <v>42</v>
          </cell>
          <cell r="AA63">
            <v>41</v>
          </cell>
          <cell r="AG63">
            <v>0</v>
          </cell>
          <cell r="AM63">
            <v>40</v>
          </cell>
        </row>
        <row r="65">
          <cell r="A65" t="str">
            <v>生產線別：無氰鹼吊電C線 (XT-000C)</v>
          </cell>
          <cell r="G65" t="str">
            <v>Kết quả kiểm tra 檢查結果</v>
          </cell>
          <cell r="AG65" t="str">
            <v>生產線別：無氰鹼吊電C線 (XT-000C)</v>
          </cell>
        </row>
        <row r="66">
          <cell r="G66" t="str">
            <v>tiêu chuẩn khống chế để bổ sung</v>
          </cell>
          <cell r="I66" t="str">
            <v>6:15</v>
          </cell>
          <cell r="O66" t="str">
            <v>10:15</v>
          </cell>
          <cell r="U66" t="str">
            <v>14:15</v>
          </cell>
          <cell r="AA66" t="str">
            <v>18:15</v>
          </cell>
          <cell r="AG66" t="str">
            <v>22:15</v>
          </cell>
          <cell r="AM66" t="str">
            <v>02:15</v>
          </cell>
        </row>
        <row r="67">
          <cell r="A67" t="str">
            <v>MÃ</v>
          </cell>
          <cell r="B67" t="str">
            <v>MÃ MÁY</v>
          </cell>
          <cell r="C67" t="str">
            <v>Hạng mục kiểm tra nồng độ
化驗檢查項目</v>
          </cell>
          <cell r="D67" t="str">
            <v>Đơn vị
單位</v>
          </cell>
          <cell r="E67" t="str">
            <v>Phạm vi kiểm soát
範圍值</v>
          </cell>
          <cell r="F67" t="str">
            <v>Giới hạn kiểm soát
管控值</v>
          </cell>
          <cell r="I67" t="str">
            <v xml:space="preserve">濃度 </v>
          </cell>
          <cell r="J67" t="str">
            <v>補充 BS</v>
          </cell>
          <cell r="K67" t="str">
            <v>補充 BS</v>
          </cell>
          <cell r="O67" t="str">
            <v xml:space="preserve">濃度 </v>
          </cell>
          <cell r="P67" t="str">
            <v>補充 BS</v>
          </cell>
          <cell r="Q67" t="str">
            <v>補充 BS</v>
          </cell>
          <cell r="U67" t="str">
            <v xml:space="preserve">濃度 </v>
          </cell>
          <cell r="V67" t="str">
            <v>補充 BS</v>
          </cell>
          <cell r="W67" t="str">
            <v>補充 BS</v>
          </cell>
          <cell r="AA67" t="str">
            <v xml:space="preserve">濃度 </v>
          </cell>
          <cell r="AB67" t="str">
            <v>補充 BS</v>
          </cell>
          <cell r="AC67" t="str">
            <v>補充 BS</v>
          </cell>
          <cell r="AG67" t="str">
            <v xml:space="preserve">濃度 </v>
          </cell>
          <cell r="AH67" t="str">
            <v>補充 BS</v>
          </cell>
          <cell r="AI67" t="str">
            <v>補充 BS</v>
          </cell>
          <cell r="AM67" t="str">
            <v xml:space="preserve">濃度 </v>
          </cell>
          <cell r="AN67" t="str">
            <v>補充 BS</v>
          </cell>
          <cell r="AO67" t="str">
            <v>補充 BS</v>
          </cell>
        </row>
        <row r="68">
          <cell r="A68" t="str">
            <v>XT-XB1</v>
          </cell>
          <cell r="B68" t="str">
            <v>XT-000C</v>
          </cell>
          <cell r="C68" t="str">
            <v xml:space="preserve"> Xà bông  脫脂 (2,3,4)</v>
          </cell>
          <cell r="D68" t="str">
            <v>g/L</v>
          </cell>
          <cell r="E68" t="str">
            <v>40~60</v>
          </cell>
          <cell r="F68" t="str">
            <v>(50±5)</v>
          </cell>
          <cell r="G68">
            <v>50</v>
          </cell>
          <cell r="H68">
            <v>0</v>
          </cell>
          <cell r="I68">
            <v>0</v>
          </cell>
          <cell r="J68">
            <v>775.85</v>
          </cell>
          <cell r="K68" t="str">
            <v>+</v>
          </cell>
          <cell r="L68">
            <v>0</v>
          </cell>
          <cell r="M68" t="str">
            <v>kg</v>
          </cell>
          <cell r="N68">
            <v>0</v>
          </cell>
          <cell r="O68">
            <v>0</v>
          </cell>
          <cell r="P68">
            <v>775.85</v>
          </cell>
          <cell r="Q68" t="str">
            <v>+</v>
          </cell>
          <cell r="R68">
            <v>0</v>
          </cell>
          <cell r="S68" t="str">
            <v>kg</v>
          </cell>
          <cell r="T68">
            <v>0</v>
          </cell>
          <cell r="U68">
            <v>0</v>
          </cell>
          <cell r="V68">
            <v>775.85</v>
          </cell>
          <cell r="W68" t="str">
            <v>+</v>
          </cell>
          <cell r="X68">
            <v>0</v>
          </cell>
          <cell r="Y68" t="str">
            <v>kg</v>
          </cell>
          <cell r="Z68">
            <v>0</v>
          </cell>
          <cell r="AA68">
            <v>0</v>
          </cell>
          <cell r="AB68">
            <v>775.85</v>
          </cell>
          <cell r="AC68" t="str">
            <v>+</v>
          </cell>
          <cell r="AD68">
            <v>0</v>
          </cell>
          <cell r="AE68" t="str">
            <v>kg</v>
          </cell>
          <cell r="AF68">
            <v>0</v>
          </cell>
          <cell r="AG68">
            <v>0</v>
          </cell>
          <cell r="AH68">
            <v>775.85</v>
          </cell>
          <cell r="AI68" t="str">
            <v>+</v>
          </cell>
          <cell r="AJ68">
            <v>0</v>
          </cell>
          <cell r="AK68" t="str">
            <v>kg</v>
          </cell>
          <cell r="AL68">
            <v>0</v>
          </cell>
          <cell r="AM68">
            <v>0</v>
          </cell>
          <cell r="AN68">
            <v>775.85</v>
          </cell>
          <cell r="AO68" t="str">
            <v>+</v>
          </cell>
          <cell r="AP68">
            <v>0</v>
          </cell>
          <cell r="AQ68" t="str">
            <v>kg</v>
          </cell>
        </row>
        <row r="69">
          <cell r="A69" t="str">
            <v>XT-XB2</v>
          </cell>
          <cell r="B69" t="str">
            <v>XT-000C</v>
          </cell>
          <cell r="C69" t="str">
            <v>Xà bông  脫脂  (5,6)</v>
          </cell>
          <cell r="D69" t="str">
            <v>g/L</v>
          </cell>
          <cell r="E69" t="str">
            <v>40~60</v>
          </cell>
          <cell r="F69" t="str">
            <v>(50±5)</v>
          </cell>
          <cell r="G69">
            <v>50</v>
          </cell>
          <cell r="H69">
            <v>0</v>
          </cell>
          <cell r="I69">
            <v>0</v>
          </cell>
          <cell r="J69">
            <v>573.75</v>
          </cell>
          <cell r="K69" t="str">
            <v>+</v>
          </cell>
          <cell r="L69">
            <v>0</v>
          </cell>
          <cell r="M69" t="str">
            <v>kg</v>
          </cell>
          <cell r="N69">
            <v>0</v>
          </cell>
          <cell r="O69">
            <v>0</v>
          </cell>
          <cell r="P69">
            <v>573.75</v>
          </cell>
          <cell r="Q69" t="str">
            <v>+</v>
          </cell>
          <cell r="R69">
            <v>0</v>
          </cell>
          <cell r="S69" t="str">
            <v>kg</v>
          </cell>
          <cell r="T69">
            <v>0</v>
          </cell>
          <cell r="U69">
            <v>0</v>
          </cell>
          <cell r="V69">
            <v>573.75</v>
          </cell>
          <cell r="W69" t="str">
            <v>+</v>
          </cell>
          <cell r="X69">
            <v>0</v>
          </cell>
          <cell r="Y69" t="str">
            <v>kg</v>
          </cell>
          <cell r="Z69">
            <v>0</v>
          </cell>
          <cell r="AA69">
            <v>0</v>
          </cell>
          <cell r="AB69">
            <v>573.75</v>
          </cell>
          <cell r="AC69" t="str">
            <v>+</v>
          </cell>
          <cell r="AD69">
            <v>0</v>
          </cell>
          <cell r="AE69" t="str">
            <v>kg</v>
          </cell>
          <cell r="AF69">
            <v>0</v>
          </cell>
          <cell r="AG69">
            <v>0</v>
          </cell>
          <cell r="AH69">
            <v>573.75</v>
          </cell>
          <cell r="AI69" t="str">
            <v>+</v>
          </cell>
          <cell r="AJ69">
            <v>0</v>
          </cell>
          <cell r="AK69" t="str">
            <v>kg</v>
          </cell>
          <cell r="AL69">
            <v>0</v>
          </cell>
          <cell r="AM69">
            <v>0</v>
          </cell>
          <cell r="AN69">
            <v>573.75</v>
          </cell>
          <cell r="AO69" t="str">
            <v>+</v>
          </cell>
          <cell r="AP69">
            <v>0</v>
          </cell>
          <cell r="AQ69" t="str">
            <v>kg</v>
          </cell>
        </row>
        <row r="70">
          <cell r="A70" t="str">
            <v>XT-DG1</v>
          </cell>
          <cell r="B70" t="str">
            <v>XT-000C</v>
          </cell>
          <cell r="C70" t="str">
            <v>Điện giải  電解 (8)</v>
          </cell>
          <cell r="D70" t="str">
            <v>g/L</v>
          </cell>
          <cell r="E70" t="str">
            <v>50~70</v>
          </cell>
          <cell r="F70" t="str">
            <v>(60±5)</v>
          </cell>
          <cell r="G70">
            <v>60</v>
          </cell>
          <cell r="H70">
            <v>0</v>
          </cell>
          <cell r="I70">
            <v>0</v>
          </cell>
          <cell r="J70">
            <v>492</v>
          </cell>
          <cell r="K70" t="str">
            <v>+</v>
          </cell>
          <cell r="L70">
            <v>0</v>
          </cell>
          <cell r="M70" t="str">
            <v>kg</v>
          </cell>
          <cell r="N70">
            <v>0</v>
          </cell>
          <cell r="O70">
            <v>0</v>
          </cell>
          <cell r="P70">
            <v>492</v>
          </cell>
          <cell r="Q70" t="str">
            <v>+</v>
          </cell>
          <cell r="R70">
            <v>0</v>
          </cell>
          <cell r="S70" t="str">
            <v>kg</v>
          </cell>
          <cell r="T70">
            <v>0</v>
          </cell>
          <cell r="U70">
            <v>0</v>
          </cell>
          <cell r="V70">
            <v>492</v>
          </cell>
          <cell r="W70" t="str">
            <v>+</v>
          </cell>
          <cell r="X70">
            <v>0</v>
          </cell>
          <cell r="Y70" t="str">
            <v>kg</v>
          </cell>
          <cell r="Z70">
            <v>0</v>
          </cell>
          <cell r="AA70">
            <v>0</v>
          </cell>
          <cell r="AB70">
            <v>492</v>
          </cell>
          <cell r="AC70" t="str">
            <v>+</v>
          </cell>
          <cell r="AD70">
            <v>0</v>
          </cell>
          <cell r="AE70" t="str">
            <v>kg</v>
          </cell>
          <cell r="AF70">
            <v>0</v>
          </cell>
          <cell r="AG70">
            <v>0</v>
          </cell>
          <cell r="AH70">
            <v>492</v>
          </cell>
          <cell r="AI70" t="str">
            <v>+</v>
          </cell>
          <cell r="AJ70">
            <v>0</v>
          </cell>
          <cell r="AK70" t="str">
            <v>kg</v>
          </cell>
          <cell r="AL70">
            <v>0</v>
          </cell>
          <cell r="AM70">
            <v>0</v>
          </cell>
          <cell r="AN70">
            <v>492</v>
          </cell>
          <cell r="AO70" t="str">
            <v>+</v>
          </cell>
          <cell r="AP70">
            <v>0</v>
          </cell>
          <cell r="AQ70" t="str">
            <v>kg</v>
          </cell>
        </row>
        <row r="71">
          <cell r="A71" t="str">
            <v>XT-DG2</v>
          </cell>
          <cell r="B71" t="str">
            <v>XT-000C</v>
          </cell>
          <cell r="C71" t="str">
            <v>Điện giải  電解  (20,21)</v>
          </cell>
          <cell r="D71" t="str">
            <v>g/L</v>
          </cell>
          <cell r="E71" t="str">
            <v>50~70</v>
          </cell>
          <cell r="F71" t="str">
            <v>(60±5)</v>
          </cell>
          <cell r="G71">
            <v>60</v>
          </cell>
          <cell r="H71">
            <v>0</v>
          </cell>
          <cell r="I71">
            <v>0</v>
          </cell>
          <cell r="J71">
            <v>520.08000000000004</v>
          </cell>
          <cell r="K71" t="str">
            <v>+</v>
          </cell>
          <cell r="L71">
            <v>0</v>
          </cell>
          <cell r="M71" t="str">
            <v>kg</v>
          </cell>
          <cell r="N71">
            <v>0</v>
          </cell>
          <cell r="O71">
            <v>0</v>
          </cell>
          <cell r="P71">
            <v>520.08000000000004</v>
          </cell>
          <cell r="Q71" t="str">
            <v>+</v>
          </cell>
          <cell r="R71">
            <v>0</v>
          </cell>
          <cell r="S71" t="str">
            <v>kg</v>
          </cell>
          <cell r="T71">
            <v>0</v>
          </cell>
          <cell r="U71">
            <v>0</v>
          </cell>
          <cell r="V71">
            <v>520.08000000000004</v>
          </cell>
          <cell r="W71" t="str">
            <v>+</v>
          </cell>
          <cell r="X71">
            <v>0</v>
          </cell>
          <cell r="Y71" t="str">
            <v>kg</v>
          </cell>
          <cell r="Z71">
            <v>0</v>
          </cell>
          <cell r="AA71">
            <v>0</v>
          </cell>
          <cell r="AB71">
            <v>520.08000000000004</v>
          </cell>
          <cell r="AC71" t="str">
            <v>+</v>
          </cell>
          <cell r="AD71">
            <v>0</v>
          </cell>
          <cell r="AE71" t="str">
            <v>kg</v>
          </cell>
          <cell r="AF71">
            <v>0</v>
          </cell>
          <cell r="AG71">
            <v>0</v>
          </cell>
          <cell r="AH71">
            <v>520.08000000000004</v>
          </cell>
          <cell r="AI71" t="str">
            <v>+</v>
          </cell>
          <cell r="AJ71">
            <v>0</v>
          </cell>
          <cell r="AK71" t="str">
            <v>kg</v>
          </cell>
          <cell r="AL71">
            <v>0</v>
          </cell>
          <cell r="AM71">
            <v>0</v>
          </cell>
          <cell r="AN71">
            <v>520.08000000000004</v>
          </cell>
          <cell r="AO71" t="str">
            <v>+</v>
          </cell>
          <cell r="AP71">
            <v>0</v>
          </cell>
          <cell r="AQ71" t="str">
            <v>kg</v>
          </cell>
        </row>
        <row r="72">
          <cell r="A72" t="str">
            <v>XT-NAOH</v>
          </cell>
          <cell r="B72" t="str">
            <v>XT-000C</v>
          </cell>
          <cell r="C72" t="str">
            <v>NaOH (26-37)
氫氧化鈉</v>
          </cell>
          <cell r="D72" t="str">
            <v>g/L</v>
          </cell>
          <cell r="E72" t="str">
            <v>135~ 145</v>
          </cell>
          <cell r="F72" t="str">
            <v>(140±5)</v>
          </cell>
          <cell r="G72">
            <v>140</v>
          </cell>
          <cell r="H72">
            <v>0</v>
          </cell>
          <cell r="I72">
            <v>0</v>
          </cell>
          <cell r="J72">
            <v>7429.24</v>
          </cell>
          <cell r="K72" t="str">
            <v>+</v>
          </cell>
          <cell r="L72">
            <v>0</v>
          </cell>
          <cell r="M72" t="str">
            <v>kg</v>
          </cell>
          <cell r="N72">
            <v>0</v>
          </cell>
          <cell r="O72">
            <v>0</v>
          </cell>
          <cell r="P72">
            <v>7429.24</v>
          </cell>
          <cell r="Q72" t="str">
            <v>+</v>
          </cell>
          <cell r="R72">
            <v>0</v>
          </cell>
          <cell r="S72" t="str">
            <v>kg</v>
          </cell>
          <cell r="T72">
            <v>0</v>
          </cell>
          <cell r="U72">
            <v>0</v>
          </cell>
          <cell r="V72">
            <v>7429.24</v>
          </cell>
          <cell r="W72" t="str">
            <v>+</v>
          </cell>
          <cell r="X72">
            <v>0</v>
          </cell>
          <cell r="Y72" t="str">
            <v>kg</v>
          </cell>
          <cell r="Z72">
            <v>0</v>
          </cell>
          <cell r="AA72">
            <v>0</v>
          </cell>
          <cell r="AB72">
            <v>7429.24</v>
          </cell>
          <cell r="AC72" t="str">
            <v>+</v>
          </cell>
          <cell r="AD72">
            <v>0</v>
          </cell>
          <cell r="AE72" t="str">
            <v>kg</v>
          </cell>
          <cell r="AF72">
            <v>0</v>
          </cell>
          <cell r="AG72">
            <v>0</v>
          </cell>
          <cell r="AH72">
            <v>7429.24</v>
          </cell>
          <cell r="AI72" t="str">
            <v>+</v>
          </cell>
          <cell r="AJ72">
            <v>0</v>
          </cell>
          <cell r="AK72" t="str">
            <v>kg</v>
          </cell>
          <cell r="AL72">
            <v>0</v>
          </cell>
          <cell r="AM72">
            <v>0</v>
          </cell>
          <cell r="AN72">
            <v>7429.24</v>
          </cell>
          <cell r="AO72" t="str">
            <v>+</v>
          </cell>
          <cell r="AP72">
            <v>0</v>
          </cell>
          <cell r="AQ72" t="str">
            <v>kg</v>
          </cell>
        </row>
        <row r="73">
          <cell r="A73" t="str">
            <v>XT-ZN</v>
          </cell>
          <cell r="B73" t="str">
            <v>XT-000C</v>
          </cell>
          <cell r="C73" t="str">
            <v>Zn  鋅 (26-37)
(1 pcs Zn=25kg)</v>
          </cell>
          <cell r="D73" t="str">
            <v>g/L</v>
          </cell>
          <cell r="E73" t="str">
            <v>6~8</v>
          </cell>
          <cell r="F73" t="str">
            <v>(7±0.5)</v>
          </cell>
          <cell r="G73">
            <v>7</v>
          </cell>
          <cell r="H73">
            <v>0</v>
          </cell>
          <cell r="I73">
            <v>0</v>
          </cell>
          <cell r="J73">
            <v>371.46199999999999</v>
          </cell>
          <cell r="K73" t="str">
            <v>+</v>
          </cell>
          <cell r="L73">
            <v>0</v>
          </cell>
          <cell r="M73" t="str">
            <v>kg</v>
          </cell>
          <cell r="N73">
            <v>0</v>
          </cell>
          <cell r="O73">
            <v>0</v>
          </cell>
          <cell r="P73">
            <v>371.46199999999999</v>
          </cell>
          <cell r="Q73" t="str">
            <v>+</v>
          </cell>
          <cell r="R73">
            <v>0</v>
          </cell>
          <cell r="S73" t="str">
            <v>kg</v>
          </cell>
          <cell r="T73">
            <v>0</v>
          </cell>
          <cell r="U73">
            <v>0</v>
          </cell>
          <cell r="V73">
            <v>371.46199999999999</v>
          </cell>
          <cell r="W73" t="str">
            <v>+</v>
          </cell>
          <cell r="X73">
            <v>0</v>
          </cell>
          <cell r="Y73" t="str">
            <v>kg</v>
          </cell>
          <cell r="Z73">
            <v>0</v>
          </cell>
          <cell r="AA73">
            <v>0</v>
          </cell>
          <cell r="AB73">
            <v>371.46199999999999</v>
          </cell>
          <cell r="AC73" t="str">
            <v>+</v>
          </cell>
          <cell r="AD73">
            <v>0</v>
          </cell>
          <cell r="AE73" t="str">
            <v>kg</v>
          </cell>
          <cell r="AF73">
            <v>0</v>
          </cell>
          <cell r="AG73">
            <v>0</v>
          </cell>
          <cell r="AH73">
            <v>371.46199999999999</v>
          </cell>
          <cell r="AI73" t="str">
            <v>+</v>
          </cell>
          <cell r="AJ73">
            <v>0</v>
          </cell>
          <cell r="AK73" t="str">
            <v>kg</v>
          </cell>
          <cell r="AL73">
            <v>0</v>
          </cell>
          <cell r="AM73">
            <v>0</v>
          </cell>
          <cell r="AN73">
            <v>371.46199999999999</v>
          </cell>
          <cell r="AO73" t="str">
            <v>+</v>
          </cell>
          <cell r="AP73">
            <v>0</v>
          </cell>
          <cell r="AQ73" t="str">
            <v>kg</v>
          </cell>
        </row>
        <row r="74">
          <cell r="A74" t="str">
            <v>XT-CR3I</v>
          </cell>
          <cell r="B74" t="str">
            <v>XT-000C</v>
          </cell>
          <cell r="C74" t="str">
            <v>Nồng độ Cr2O3 三價鉻(46)
LANTHANE 318 (HALO)</v>
          </cell>
          <cell r="D74" t="str">
            <v>%</v>
          </cell>
          <cell r="E74" t="str">
            <v>5~8</v>
          </cell>
          <cell r="F74" t="str">
            <v>(6±0.5)</v>
          </cell>
          <cell r="G74">
            <v>6</v>
          </cell>
          <cell r="H74">
            <v>0</v>
          </cell>
          <cell r="I74">
            <v>-1.0461</v>
          </cell>
          <cell r="J74">
            <v>236.74896000000001</v>
          </cell>
          <cell r="K74" t="str">
            <v>+</v>
          </cell>
          <cell r="L74">
            <v>0</v>
          </cell>
          <cell r="M74" t="str">
            <v>L</v>
          </cell>
          <cell r="N74">
            <v>0</v>
          </cell>
          <cell r="O74">
            <v>-1.0461</v>
          </cell>
          <cell r="P74">
            <v>236.74896000000001</v>
          </cell>
          <cell r="Q74" t="str">
            <v>+</v>
          </cell>
          <cell r="R74">
            <v>0</v>
          </cell>
          <cell r="S74" t="str">
            <v>L</v>
          </cell>
          <cell r="T74">
            <v>0</v>
          </cell>
          <cell r="U74">
            <v>-1.0461</v>
          </cell>
          <cell r="V74">
            <v>236.74896000000001</v>
          </cell>
          <cell r="W74" t="str">
            <v>+</v>
          </cell>
          <cell r="X74">
            <v>0</v>
          </cell>
          <cell r="Y74" t="str">
            <v>L</v>
          </cell>
          <cell r="Z74">
            <v>0</v>
          </cell>
          <cell r="AA74">
            <v>-1.0461</v>
          </cell>
          <cell r="AB74">
            <v>236.74896000000001</v>
          </cell>
          <cell r="AC74" t="str">
            <v>+</v>
          </cell>
          <cell r="AD74">
            <v>0</v>
          </cell>
          <cell r="AE74" t="str">
            <v>L</v>
          </cell>
          <cell r="AF74">
            <v>0</v>
          </cell>
          <cell r="AG74">
            <v>-1.0461</v>
          </cell>
          <cell r="AH74">
            <v>236.74896000000001</v>
          </cell>
          <cell r="AI74" t="str">
            <v>+</v>
          </cell>
          <cell r="AJ74">
            <v>0</v>
          </cell>
          <cell r="AK74" t="str">
            <v>L</v>
          </cell>
          <cell r="AL74">
            <v>0</v>
          </cell>
          <cell r="AM74">
            <v>-1.0461</v>
          </cell>
          <cell r="AN74">
            <v>236.74896000000001</v>
          </cell>
          <cell r="AO74" t="str">
            <v>+</v>
          </cell>
          <cell r="AP74">
            <v>0</v>
          </cell>
          <cell r="AQ74" t="str">
            <v>L</v>
          </cell>
        </row>
        <row r="75">
          <cell r="A75" t="str">
            <v>XT-CR3IPH</v>
          </cell>
          <cell r="B75" t="str">
            <v>XT-000C</v>
          </cell>
          <cell r="C75" t="str">
            <v>PH</v>
          </cell>
          <cell r="D75" t="str">
            <v>pH</v>
          </cell>
          <cell r="E75" t="str">
            <v>2.0~2.4</v>
          </cell>
          <cell r="F75" t="str">
            <v>(2.2±0.2 )</v>
          </cell>
          <cell r="I75">
            <v>0</v>
          </cell>
          <cell r="L75">
            <v>0</v>
          </cell>
          <cell r="O75">
            <v>0</v>
          </cell>
          <cell r="R75">
            <v>0</v>
          </cell>
          <cell r="U75">
            <v>0</v>
          </cell>
          <cell r="X75">
            <v>0</v>
          </cell>
          <cell r="AA75">
            <v>0</v>
          </cell>
          <cell r="AD75">
            <v>0</v>
          </cell>
          <cell r="AG75">
            <v>0</v>
          </cell>
          <cell r="AJ75">
            <v>0</v>
          </cell>
          <cell r="AM75">
            <v>0</v>
          </cell>
          <cell r="AP75">
            <v>0</v>
          </cell>
        </row>
        <row r="76">
          <cell r="A76" t="str">
            <v>XT-HCL1</v>
          </cell>
          <cell r="B76" t="str">
            <v>XT-000C</v>
          </cell>
          <cell r="C76" t="str">
            <v>Nồng độ acid đặc (13,14)
鹽酸 濃度</v>
          </cell>
          <cell r="D76" t="str">
            <v>%V/V</v>
          </cell>
          <cell r="E76" t="str">
            <v>40~50</v>
          </cell>
          <cell r="F76" t="str">
            <v>(45±5)</v>
          </cell>
          <cell r="G76">
            <v>0.45</v>
          </cell>
          <cell r="H76">
            <v>0</v>
          </cell>
          <cell r="I76">
            <v>0</v>
          </cell>
          <cell r="J76">
            <v>3025.35</v>
          </cell>
          <cell r="K76" t="str">
            <v>+</v>
          </cell>
          <cell r="L76">
            <v>0</v>
          </cell>
          <cell r="M76" t="str">
            <v>L</v>
          </cell>
          <cell r="N76">
            <v>0</v>
          </cell>
          <cell r="O76">
            <v>0</v>
          </cell>
          <cell r="P76">
            <v>3025.35</v>
          </cell>
          <cell r="Q76" t="str">
            <v>+</v>
          </cell>
          <cell r="R76">
            <v>0</v>
          </cell>
          <cell r="S76" t="str">
            <v>L</v>
          </cell>
          <cell r="T76">
            <v>0</v>
          </cell>
          <cell r="U76">
            <v>0</v>
          </cell>
          <cell r="V76">
            <v>3025.35</v>
          </cell>
          <cell r="W76" t="str">
            <v>+</v>
          </cell>
          <cell r="X76">
            <v>0</v>
          </cell>
          <cell r="Y76" t="str">
            <v>L</v>
          </cell>
          <cell r="Z76">
            <v>0</v>
          </cell>
          <cell r="AA76">
            <v>0</v>
          </cell>
          <cell r="AB76">
            <v>3025.35</v>
          </cell>
          <cell r="AC76" t="str">
            <v>+</v>
          </cell>
          <cell r="AD76">
            <v>0</v>
          </cell>
          <cell r="AE76" t="str">
            <v>L</v>
          </cell>
          <cell r="AF76">
            <v>0</v>
          </cell>
          <cell r="AG76">
            <v>0</v>
          </cell>
          <cell r="AH76">
            <v>3025.35</v>
          </cell>
          <cell r="AI76" t="str">
            <v>+</v>
          </cell>
          <cell r="AJ76">
            <v>0</v>
          </cell>
          <cell r="AK76" t="str">
            <v>L</v>
          </cell>
          <cell r="AL76">
            <v>0</v>
          </cell>
          <cell r="AM76">
            <v>0</v>
          </cell>
          <cell r="AN76">
            <v>3025.35</v>
          </cell>
          <cell r="AO76" t="str">
            <v>+</v>
          </cell>
          <cell r="AP76">
            <v>0</v>
          </cell>
          <cell r="AQ76" t="str">
            <v>L</v>
          </cell>
        </row>
        <row r="77">
          <cell r="A77" t="str">
            <v>XT-HCL2</v>
          </cell>
          <cell r="B77" t="str">
            <v>XT-000C</v>
          </cell>
          <cell r="C77" t="str">
            <v>Nồng độ acid đặc (15,16,17)
鹽酸 濃度</v>
          </cell>
          <cell r="D77" t="str">
            <v>%V/V</v>
          </cell>
          <cell r="E77" t="str">
            <v>40~50</v>
          </cell>
          <cell r="F77" t="str">
            <v>(45±5)</v>
          </cell>
          <cell r="G77">
            <v>0.45</v>
          </cell>
          <cell r="H77">
            <v>0</v>
          </cell>
          <cell r="I77">
            <v>0</v>
          </cell>
          <cell r="J77">
            <v>4729.05</v>
          </cell>
          <cell r="K77" t="str">
            <v>+</v>
          </cell>
          <cell r="L77">
            <v>0</v>
          </cell>
          <cell r="M77" t="str">
            <v>L</v>
          </cell>
          <cell r="N77">
            <v>0</v>
          </cell>
          <cell r="O77">
            <v>0</v>
          </cell>
          <cell r="P77">
            <v>4729.05</v>
          </cell>
          <cell r="Q77" t="str">
            <v>+</v>
          </cell>
          <cell r="R77">
            <v>0</v>
          </cell>
          <cell r="S77" t="str">
            <v>L</v>
          </cell>
          <cell r="T77">
            <v>0</v>
          </cell>
          <cell r="U77">
            <v>0</v>
          </cell>
          <cell r="V77">
            <v>4729.05</v>
          </cell>
          <cell r="W77" t="str">
            <v>+</v>
          </cell>
          <cell r="X77">
            <v>0</v>
          </cell>
          <cell r="Y77" t="str">
            <v>L</v>
          </cell>
          <cell r="Z77">
            <v>0</v>
          </cell>
          <cell r="AA77">
            <v>0</v>
          </cell>
          <cell r="AB77">
            <v>4729.05</v>
          </cell>
          <cell r="AC77" t="str">
            <v>+</v>
          </cell>
          <cell r="AD77">
            <v>0</v>
          </cell>
          <cell r="AE77" t="str">
            <v>L</v>
          </cell>
          <cell r="AF77">
            <v>0</v>
          </cell>
          <cell r="AG77">
            <v>0</v>
          </cell>
          <cell r="AH77">
            <v>4729.05</v>
          </cell>
          <cell r="AI77" t="str">
            <v>+</v>
          </cell>
          <cell r="AJ77">
            <v>0</v>
          </cell>
          <cell r="AK77" t="str">
            <v>L</v>
          </cell>
          <cell r="AL77">
            <v>0</v>
          </cell>
          <cell r="AM77">
            <v>0</v>
          </cell>
          <cell r="AN77">
            <v>4729.05</v>
          </cell>
          <cell r="AO77" t="str">
            <v>+</v>
          </cell>
          <cell r="AP77">
            <v>0</v>
          </cell>
          <cell r="AQ77" t="str">
            <v>L</v>
          </cell>
        </row>
        <row r="78">
          <cell r="A78" t="str">
            <v>XT-HCL3</v>
          </cell>
          <cell r="B78" t="str">
            <v>XT-000C</v>
          </cell>
          <cell r="C78" t="str">
            <v>Nồng độ acid loãng (12)
稀酸 濃度</v>
          </cell>
          <cell r="D78" t="str">
            <v>%V/V</v>
          </cell>
          <cell r="E78" t="str">
            <v>20~40</v>
          </cell>
          <cell r="F78" t="str">
            <v>(30±5)</v>
          </cell>
          <cell r="G78">
            <v>0.3</v>
          </cell>
          <cell r="H78">
            <v>0</v>
          </cell>
          <cell r="I78">
            <v>0</v>
          </cell>
          <cell r="J78">
            <v>970.19999999999993</v>
          </cell>
          <cell r="K78" t="str">
            <v>+</v>
          </cell>
          <cell r="L78">
            <v>0</v>
          </cell>
          <cell r="M78" t="str">
            <v>L</v>
          </cell>
          <cell r="N78">
            <v>0</v>
          </cell>
          <cell r="O78">
            <v>0</v>
          </cell>
          <cell r="P78">
            <v>970.19999999999993</v>
          </cell>
          <cell r="Q78" t="str">
            <v>+</v>
          </cell>
          <cell r="R78">
            <v>0</v>
          </cell>
          <cell r="S78" t="str">
            <v>L</v>
          </cell>
          <cell r="T78">
            <v>0</v>
          </cell>
          <cell r="U78">
            <v>0</v>
          </cell>
          <cell r="V78">
            <v>970.19999999999993</v>
          </cell>
          <cell r="W78" t="str">
            <v>+</v>
          </cell>
          <cell r="X78">
            <v>0</v>
          </cell>
          <cell r="Y78" t="str">
            <v>L</v>
          </cell>
          <cell r="Z78">
            <v>0</v>
          </cell>
          <cell r="AA78">
            <v>0</v>
          </cell>
          <cell r="AB78">
            <v>970.19999999999993</v>
          </cell>
          <cell r="AC78" t="str">
            <v>+</v>
          </cell>
          <cell r="AD78">
            <v>0</v>
          </cell>
          <cell r="AE78" t="str">
            <v>L</v>
          </cell>
          <cell r="AF78">
            <v>0</v>
          </cell>
          <cell r="AG78">
            <v>0</v>
          </cell>
          <cell r="AH78">
            <v>970.19999999999993</v>
          </cell>
          <cell r="AI78" t="str">
            <v>+</v>
          </cell>
          <cell r="AJ78">
            <v>0</v>
          </cell>
          <cell r="AK78" t="str">
            <v>L</v>
          </cell>
          <cell r="AL78">
            <v>0</v>
          </cell>
          <cell r="AM78">
            <v>0</v>
          </cell>
          <cell r="AN78">
            <v>970.19999999999993</v>
          </cell>
          <cell r="AO78" t="str">
            <v>+</v>
          </cell>
          <cell r="AP78">
            <v>0</v>
          </cell>
          <cell r="AQ78" t="str">
            <v>L</v>
          </cell>
        </row>
        <row r="79">
          <cell r="A79" t="str">
            <v>XT-HNO3</v>
          </cell>
          <cell r="B79" t="str">
            <v>XT-000C</v>
          </cell>
          <cell r="C79" t="str">
            <v>Nồng độ HNO3  (42)
硝酸濃度</v>
          </cell>
          <cell r="D79" t="str">
            <v>%V/V</v>
          </cell>
          <cell r="E79" t="str">
            <v>0.5~1.5</v>
          </cell>
          <cell r="F79" t="str">
            <v>(1±0.4)</v>
          </cell>
          <cell r="G79">
            <v>0.01</v>
          </cell>
          <cell r="H79">
            <v>0</v>
          </cell>
          <cell r="I79">
            <v>0</v>
          </cell>
          <cell r="J79">
            <v>28.080000000000002</v>
          </cell>
          <cell r="K79" t="str">
            <v>+</v>
          </cell>
          <cell r="L79">
            <v>0</v>
          </cell>
          <cell r="M79" t="str">
            <v>L</v>
          </cell>
          <cell r="N79">
            <v>0</v>
          </cell>
          <cell r="O79">
            <v>0</v>
          </cell>
          <cell r="P79">
            <v>28.080000000000002</v>
          </cell>
          <cell r="Q79" t="str">
            <v>+</v>
          </cell>
          <cell r="R79">
            <v>0</v>
          </cell>
          <cell r="S79" t="str">
            <v>L</v>
          </cell>
          <cell r="T79">
            <v>0</v>
          </cell>
          <cell r="U79">
            <v>0</v>
          </cell>
          <cell r="V79">
            <v>28.080000000000002</v>
          </cell>
          <cell r="W79" t="str">
            <v>+</v>
          </cell>
          <cell r="X79">
            <v>0</v>
          </cell>
          <cell r="Y79" t="str">
            <v>L</v>
          </cell>
          <cell r="Z79">
            <v>0</v>
          </cell>
          <cell r="AA79">
            <v>0</v>
          </cell>
          <cell r="AB79">
            <v>28.080000000000002</v>
          </cell>
          <cell r="AC79" t="str">
            <v>+</v>
          </cell>
          <cell r="AD79">
            <v>0</v>
          </cell>
          <cell r="AE79" t="str">
            <v>L</v>
          </cell>
          <cell r="AF79">
            <v>0</v>
          </cell>
          <cell r="AG79">
            <v>0</v>
          </cell>
          <cell r="AH79">
            <v>28.080000000000002</v>
          </cell>
          <cell r="AI79" t="str">
            <v>+</v>
          </cell>
          <cell r="AJ79">
            <v>0</v>
          </cell>
          <cell r="AK79" t="str">
            <v>L</v>
          </cell>
          <cell r="AL79">
            <v>0</v>
          </cell>
          <cell r="AM79">
            <v>0</v>
          </cell>
          <cell r="AN79">
            <v>28.080000000000002</v>
          </cell>
          <cell r="AO79" t="str">
            <v>+</v>
          </cell>
          <cell r="AP79">
            <v>0</v>
          </cell>
          <cell r="AQ79" t="str">
            <v>L</v>
          </cell>
        </row>
        <row r="80">
          <cell r="A80" t="str">
            <v>XT-CR3K</v>
          </cell>
          <cell r="B80" t="str">
            <v>XT-000C</v>
          </cell>
          <cell r="C80" t="str">
            <v xml:space="preserve">  Cr2O3 （K) (49)
三價鉻</v>
          </cell>
          <cell r="D80" t="str">
            <v>%</v>
          </cell>
          <cell r="E80" t="str">
            <v>3~9</v>
          </cell>
          <cell r="F80" t="str">
            <v>(6±1)</v>
          </cell>
          <cell r="G80">
            <v>6</v>
          </cell>
          <cell r="H80">
            <v>0</v>
          </cell>
          <cell r="I80" t="str">
            <v/>
          </cell>
          <cell r="J80" t="e">
            <v>#VALUE!</v>
          </cell>
          <cell r="K80" t="str">
            <v>+</v>
          </cell>
          <cell r="L80" t="str">
            <v/>
          </cell>
          <cell r="M80" t="str">
            <v>L</v>
          </cell>
          <cell r="N80">
            <v>0</v>
          </cell>
          <cell r="O80" t="str">
            <v/>
          </cell>
          <cell r="P80" t="e">
            <v>#VALUE!</v>
          </cell>
          <cell r="Q80" t="str">
            <v>+</v>
          </cell>
          <cell r="R80" t="str">
            <v/>
          </cell>
          <cell r="S80" t="str">
            <v>L</v>
          </cell>
          <cell r="T80">
            <v>0</v>
          </cell>
          <cell r="U80" t="str">
            <v/>
          </cell>
          <cell r="V80" t="e">
            <v>#VALUE!</v>
          </cell>
          <cell r="W80" t="str">
            <v>+</v>
          </cell>
          <cell r="X80" t="str">
            <v/>
          </cell>
          <cell r="Y80" t="str">
            <v>L</v>
          </cell>
          <cell r="Z80">
            <v>0</v>
          </cell>
          <cell r="AA80" t="str">
            <v/>
          </cell>
          <cell r="AB80" t="e">
            <v>#VALUE!</v>
          </cell>
          <cell r="AC80" t="str">
            <v>+</v>
          </cell>
          <cell r="AD80" t="str">
            <v/>
          </cell>
          <cell r="AE80" t="str">
            <v>L</v>
          </cell>
          <cell r="AF80">
            <v>0</v>
          </cell>
          <cell r="AG80" t="str">
            <v/>
          </cell>
          <cell r="AH80" t="e">
            <v>#VALUE!</v>
          </cell>
          <cell r="AI80" t="str">
            <v>+</v>
          </cell>
          <cell r="AJ80" t="str">
            <v/>
          </cell>
          <cell r="AK80" t="str">
            <v>L</v>
          </cell>
          <cell r="AL80">
            <v>0</v>
          </cell>
          <cell r="AM80" t="str">
            <v/>
          </cell>
          <cell r="AN80" t="e">
            <v>#VALUE!</v>
          </cell>
          <cell r="AO80" t="str">
            <v>+</v>
          </cell>
          <cell r="AP80" t="str">
            <v/>
          </cell>
          <cell r="AQ80" t="str">
            <v>L</v>
          </cell>
        </row>
        <row r="81">
          <cell r="A81" t="str">
            <v>XT-CR3KPH</v>
          </cell>
          <cell r="B81" t="str">
            <v>XT-000C</v>
          </cell>
          <cell r="C81" t="str">
            <v>PH</v>
          </cell>
          <cell r="D81" t="str">
            <v>pH</v>
          </cell>
          <cell r="E81" t="str">
            <v>1.8~2.4</v>
          </cell>
          <cell r="F81" t="str">
            <v>(2.0±0.1)</v>
          </cell>
          <cell r="I81">
            <v>0</v>
          </cell>
          <cell r="O81">
            <v>0</v>
          </cell>
          <cell r="U81">
            <v>0</v>
          </cell>
          <cell r="AA81">
            <v>0</v>
          </cell>
          <cell r="AG81">
            <v>0</v>
          </cell>
          <cell r="AM81">
            <v>0</v>
          </cell>
        </row>
        <row r="82">
          <cell r="C82" t="str">
            <v>Nồng độ Cr2O3 
三價鉻( JASCO 45)</v>
          </cell>
          <cell r="D82" t="str">
            <v>%</v>
          </cell>
          <cell r="E82" t="str">
            <v>8~16 %</v>
          </cell>
          <cell r="F82" t="str">
            <v>(12±2%)</v>
          </cell>
          <cell r="G82">
            <v>12</v>
          </cell>
          <cell r="H82">
            <v>0</v>
          </cell>
          <cell r="I82" t="str">
            <v/>
          </cell>
          <cell r="J82" t="e">
            <v>#VALUE!</v>
          </cell>
          <cell r="K82" t="str">
            <v>+</v>
          </cell>
          <cell r="L82" t="str">
            <v/>
          </cell>
          <cell r="M82" t="str">
            <v>L</v>
          </cell>
          <cell r="N82">
            <v>0</v>
          </cell>
          <cell r="O82" t="str">
            <v/>
          </cell>
          <cell r="P82" t="e">
            <v>#VALUE!</v>
          </cell>
          <cell r="Q82" t="str">
            <v>+</v>
          </cell>
          <cell r="R82" t="str">
            <v/>
          </cell>
          <cell r="S82" t="str">
            <v>L</v>
          </cell>
          <cell r="T82">
            <v>0</v>
          </cell>
          <cell r="U82" t="str">
            <v/>
          </cell>
          <cell r="V82" t="e">
            <v>#VALUE!</v>
          </cell>
          <cell r="W82" t="str">
            <v>+</v>
          </cell>
          <cell r="X82" t="str">
            <v/>
          </cell>
          <cell r="Y82" t="str">
            <v>L</v>
          </cell>
          <cell r="Z82">
            <v>0</v>
          </cell>
          <cell r="AA82" t="str">
            <v/>
          </cell>
          <cell r="AB82" t="e">
            <v>#VALUE!</v>
          </cell>
          <cell r="AC82" t="str">
            <v>+</v>
          </cell>
          <cell r="AD82" t="str">
            <v/>
          </cell>
          <cell r="AE82" t="str">
            <v>L</v>
          </cell>
          <cell r="AF82">
            <v>0</v>
          </cell>
          <cell r="AG82" t="str">
            <v/>
          </cell>
          <cell r="AH82" t="e">
            <v>#VALUE!</v>
          </cell>
          <cell r="AI82" t="str">
            <v>+</v>
          </cell>
          <cell r="AJ82" t="str">
            <v/>
          </cell>
          <cell r="AK82" t="str">
            <v>L</v>
          </cell>
          <cell r="AL82">
            <v>0</v>
          </cell>
          <cell r="AM82" t="str">
            <v/>
          </cell>
          <cell r="AN82" t="e">
            <v>#VALUE!</v>
          </cell>
          <cell r="AO82" t="str">
            <v>+</v>
          </cell>
          <cell r="AP82" t="str">
            <v/>
          </cell>
          <cell r="AQ82" t="str">
            <v>L</v>
          </cell>
        </row>
        <row r="83">
          <cell r="C83" t="str">
            <v>PH</v>
          </cell>
          <cell r="D83" t="str">
            <v>pH</v>
          </cell>
          <cell r="E83" t="str">
            <v>1.8~2.4</v>
          </cell>
          <cell r="F83" t="str">
            <v>(2.0 ±0.2 )</v>
          </cell>
          <cell r="I83">
            <v>0</v>
          </cell>
          <cell r="O83">
            <v>0</v>
          </cell>
          <cell r="U83">
            <v>0</v>
          </cell>
          <cell r="AA83">
            <v>0</v>
          </cell>
          <cell r="AG83">
            <v>0</v>
          </cell>
          <cell r="AM83">
            <v>0</v>
          </cell>
        </row>
        <row r="84">
          <cell r="A84" t="str">
            <v>XTNI-ZN</v>
          </cell>
          <cell r="B84" t="str">
            <v>XT-000C</v>
          </cell>
          <cell r="C84" t="str">
            <v>Zn-Niken Plating-          Zn</v>
          </cell>
          <cell r="D84" t="str">
            <v>g/L</v>
          </cell>
          <cell r="E84" t="str">
            <v>5~6</v>
          </cell>
          <cell r="F84" t="str">
            <v>(5.5± 0.5L)</v>
          </cell>
          <cell r="G84">
            <v>5.5</v>
          </cell>
          <cell r="H84">
            <v>0</v>
          </cell>
          <cell r="I84" t="str">
            <v/>
          </cell>
          <cell r="J84" t="e">
            <v>#VALUE!</v>
          </cell>
          <cell r="K84" t="str">
            <v>+</v>
          </cell>
          <cell r="L84" t="str">
            <v/>
          </cell>
          <cell r="M84" t="str">
            <v>kg</v>
          </cell>
          <cell r="N84">
            <v>0</v>
          </cell>
          <cell r="T84">
            <v>0</v>
          </cell>
          <cell r="U84" t="str">
            <v/>
          </cell>
          <cell r="V84" t="e">
            <v>#VALUE!</v>
          </cell>
          <cell r="W84" t="str">
            <v>+</v>
          </cell>
          <cell r="X84" t="str">
            <v/>
          </cell>
          <cell r="Y84" t="str">
            <v>kg</v>
          </cell>
          <cell r="Z84">
            <v>0</v>
          </cell>
          <cell r="AA84" t="str">
            <v/>
          </cell>
          <cell r="AB84" t="e">
            <v>#VALUE!</v>
          </cell>
          <cell r="AC84" t="str">
            <v>+</v>
          </cell>
          <cell r="AD84" t="str">
            <v/>
          </cell>
          <cell r="AE84" t="str">
            <v>kg</v>
          </cell>
          <cell r="AL84">
            <v>0</v>
          </cell>
          <cell r="AM84" t="str">
            <v/>
          </cell>
          <cell r="AN84" t="e">
            <v>#VALUE!</v>
          </cell>
          <cell r="AO84" t="str">
            <v>+</v>
          </cell>
          <cell r="AP84" t="str">
            <v/>
          </cell>
          <cell r="AQ84" t="str">
            <v>kg</v>
          </cell>
        </row>
        <row r="85">
          <cell r="A85" t="str">
            <v>XTNI-NI</v>
          </cell>
          <cell r="B85" t="str">
            <v>XT-000C</v>
          </cell>
          <cell r="C85" t="str">
            <v>Zn-Niken Plating-         Ni</v>
          </cell>
          <cell r="D85" t="str">
            <v>g/L</v>
          </cell>
          <cell r="E85" t="str">
            <v>1.7~1.9g/L
(1.8 ± 0.1g/L)</v>
          </cell>
          <cell r="F85" t="str">
            <v>1.7~1.9g/L
(1.8 ± 0.1g/L)</v>
          </cell>
          <cell r="G85">
            <v>1.8</v>
          </cell>
          <cell r="H85">
            <v>0</v>
          </cell>
          <cell r="I85">
            <v>0</v>
          </cell>
          <cell r="J85">
            <v>14.4</v>
          </cell>
          <cell r="K85" t="str">
            <v>+</v>
          </cell>
          <cell r="L85" t="str">
            <v/>
          </cell>
          <cell r="M85" t="str">
            <v>L</v>
          </cell>
          <cell r="N85">
            <v>0</v>
          </cell>
          <cell r="T85">
            <v>0</v>
          </cell>
          <cell r="U85">
            <v>0</v>
          </cell>
          <cell r="V85">
            <v>14.4</v>
          </cell>
          <cell r="W85" t="str">
            <v>+</v>
          </cell>
          <cell r="X85" t="str">
            <v/>
          </cell>
          <cell r="Y85" t="str">
            <v>L</v>
          </cell>
          <cell r="Z85">
            <v>0</v>
          </cell>
          <cell r="AA85">
            <v>0</v>
          </cell>
          <cell r="AB85">
            <v>14.4</v>
          </cell>
          <cell r="AC85" t="str">
            <v>+</v>
          </cell>
          <cell r="AD85" t="str">
            <v/>
          </cell>
          <cell r="AE85" t="str">
            <v>L</v>
          </cell>
          <cell r="AL85">
            <v>0</v>
          </cell>
          <cell r="AM85">
            <v>0</v>
          </cell>
          <cell r="AN85">
            <v>14.4</v>
          </cell>
          <cell r="AO85" t="str">
            <v>+</v>
          </cell>
          <cell r="AP85" t="str">
            <v/>
          </cell>
          <cell r="AQ85" t="str">
            <v>L</v>
          </cell>
        </row>
        <row r="86">
          <cell r="A86" t="str">
            <v>XTNI-NAOH</v>
          </cell>
          <cell r="B86" t="str">
            <v>XT-000C</v>
          </cell>
          <cell r="C86" t="str">
            <v xml:space="preserve">Zn-Niken Plating-        NaOH </v>
          </cell>
          <cell r="D86" t="str">
            <v>g/L</v>
          </cell>
          <cell r="E86" t="str">
            <v>120~130</v>
          </cell>
          <cell r="F86" t="str">
            <v>(125 ± 5)</v>
          </cell>
          <cell r="G86">
            <v>125</v>
          </cell>
          <cell r="H86">
            <v>0</v>
          </cell>
          <cell r="I86">
            <v>0</v>
          </cell>
          <cell r="J86">
            <v>1000</v>
          </cell>
          <cell r="K86" t="str">
            <v>+</v>
          </cell>
          <cell r="L86" t="str">
            <v/>
          </cell>
          <cell r="M86" t="str">
            <v>kg</v>
          </cell>
          <cell r="N86">
            <v>0</v>
          </cell>
          <cell r="T86">
            <v>0</v>
          </cell>
          <cell r="U86">
            <v>0</v>
          </cell>
          <cell r="V86">
            <v>1000</v>
          </cell>
          <cell r="W86" t="str">
            <v>+</v>
          </cell>
          <cell r="X86" t="str">
            <v/>
          </cell>
          <cell r="Y86" t="str">
            <v>kg</v>
          </cell>
          <cell r="Z86">
            <v>0</v>
          </cell>
          <cell r="AA86">
            <v>0</v>
          </cell>
          <cell r="AB86">
            <v>1000</v>
          </cell>
          <cell r="AC86" t="str">
            <v>+</v>
          </cell>
          <cell r="AD86" t="str">
            <v/>
          </cell>
          <cell r="AE86" t="str">
            <v>kg</v>
          </cell>
          <cell r="AL86">
            <v>0</v>
          </cell>
          <cell r="AM86">
            <v>0</v>
          </cell>
          <cell r="AN86">
            <v>1000</v>
          </cell>
          <cell r="AO86" t="str">
            <v>+</v>
          </cell>
          <cell r="AP86" t="str">
            <v/>
          </cell>
          <cell r="AQ86" t="str">
            <v>kg</v>
          </cell>
        </row>
        <row r="87">
          <cell r="A87" t="str">
            <v>XTNI-HT</v>
          </cell>
          <cell r="B87" t="str">
            <v>XT-000C</v>
          </cell>
          <cell r="C87" t="str">
            <v>Zn-Niken Plating-       208HT</v>
          </cell>
          <cell r="D87" t="str">
            <v>g/L</v>
          </cell>
          <cell r="E87" t="str">
            <v>125~135g/L
(130g/L)</v>
          </cell>
          <cell r="F87" t="str">
            <v>125~135g/L
(130g/L)</v>
          </cell>
          <cell r="G87">
            <v>130</v>
          </cell>
          <cell r="H87">
            <v>0</v>
          </cell>
          <cell r="I87" t="str">
            <v/>
          </cell>
          <cell r="J87" t="e">
            <v>#VALUE!</v>
          </cell>
          <cell r="K87" t="str">
            <v>+</v>
          </cell>
          <cell r="L87" t="str">
            <v/>
          </cell>
          <cell r="M87" t="str">
            <v>L</v>
          </cell>
          <cell r="N87">
            <v>0</v>
          </cell>
          <cell r="T87">
            <v>0</v>
          </cell>
          <cell r="U87" t="str">
            <v/>
          </cell>
          <cell r="V87" t="e">
            <v>#VALUE!</v>
          </cell>
          <cell r="W87" t="str">
            <v>+</v>
          </cell>
          <cell r="X87" t="str">
            <v/>
          </cell>
          <cell r="Y87" t="str">
            <v>L</v>
          </cell>
          <cell r="Z87">
            <v>0</v>
          </cell>
          <cell r="AA87" t="str">
            <v/>
          </cell>
          <cell r="AB87" t="e">
            <v>#VALUE!</v>
          </cell>
          <cell r="AC87" t="str">
            <v>+</v>
          </cell>
          <cell r="AD87" t="str">
            <v/>
          </cell>
          <cell r="AE87" t="str">
            <v>L</v>
          </cell>
          <cell r="AL87">
            <v>0</v>
          </cell>
          <cell r="AM87" t="str">
            <v/>
          </cell>
          <cell r="AN87" t="e">
            <v>#VALUE!</v>
          </cell>
          <cell r="AO87" t="str">
            <v>+</v>
          </cell>
          <cell r="AP87" t="str">
            <v/>
          </cell>
          <cell r="AQ87" t="str">
            <v>L</v>
          </cell>
        </row>
        <row r="88">
          <cell r="A88" t="str">
            <v>XTNI-CR3PH</v>
          </cell>
          <cell r="B88" t="str">
            <v>XT-000C</v>
          </cell>
          <cell r="C88" t="str">
            <v>Cr2O3   三價鉻Ni-       PH</v>
          </cell>
          <cell r="D88" t="str">
            <v>PH</v>
          </cell>
          <cell r="E88" t="str">
            <v>3.0-4.5</v>
          </cell>
          <cell r="F88" t="str">
            <v>(4.3±0.2)</v>
          </cell>
          <cell r="I88">
            <v>0</v>
          </cell>
          <cell r="U88">
            <v>0</v>
          </cell>
          <cell r="AA88">
            <v>0</v>
          </cell>
          <cell r="AM88">
            <v>0</v>
          </cell>
        </row>
        <row r="89">
          <cell r="A89" t="str">
            <v>Hạng mục kiểm tra nhiệt độ 檢查溫度</v>
          </cell>
        </row>
        <row r="90">
          <cell r="A90" t="str">
            <v>MÃ</v>
          </cell>
          <cell r="B90" t="str">
            <v>MÃ MÁY</v>
          </cell>
          <cell r="C90" t="str">
            <v>Hạng mục kiểm tra nhiệt độ
溫度檢查項目</v>
          </cell>
          <cell r="D90" t="str">
            <v>nhiệt độ
溫度</v>
          </cell>
          <cell r="E90" t="str">
            <v>Phạm vi kiểm soát
範圍值</v>
          </cell>
          <cell r="F90" t="str">
            <v>Giới hạn kiểm soát
管控值</v>
          </cell>
          <cell r="I90" t="str">
            <v>Nhiệt kế 
温度計</v>
          </cell>
          <cell r="L90" t="str">
            <v>Nhiệt tự động
自動温控</v>
          </cell>
          <cell r="O90" t="str">
            <v>Nhiệt kế 
温度計</v>
          </cell>
          <cell r="R90" t="str">
            <v>Nhiệt tự động
自動温控</v>
          </cell>
          <cell r="U90" t="str">
            <v>Nhiệt kế 
温度計</v>
          </cell>
          <cell r="X90" t="str">
            <v>Nhiệt tự động
自動温控</v>
          </cell>
          <cell r="AA90" t="str">
            <v>Nhiệt kế 
温度計</v>
          </cell>
          <cell r="AD90" t="str">
            <v>Nhiệt tự động
自動温控</v>
          </cell>
          <cell r="AG90" t="str">
            <v>Nhiệt kế 
温度計</v>
          </cell>
          <cell r="AJ90" t="str">
            <v>Nhiệt tự động
自動温控</v>
          </cell>
          <cell r="AM90" t="str">
            <v>Nhiệt kế 
温度計</v>
          </cell>
          <cell r="AP90" t="str">
            <v>Nhiệt tự động
自動温控</v>
          </cell>
        </row>
        <row r="91">
          <cell r="A91" t="str">
            <v>XT-TEMXB1</v>
          </cell>
          <cell r="B91" t="str">
            <v>XT-000C</v>
          </cell>
          <cell r="C91" t="str">
            <v>Nhiệt  độ xà bông nóng (1)
 熱脫脂溫度(1)</v>
          </cell>
          <cell r="D91" t="str">
            <v>0C</v>
          </cell>
          <cell r="E91" t="str">
            <v>65~75</v>
          </cell>
          <cell r="F91" t="str">
            <v>(70±3)</v>
          </cell>
          <cell r="I91">
            <v>0</v>
          </cell>
          <cell r="L91">
            <v>0</v>
          </cell>
          <cell r="O91">
            <v>0</v>
          </cell>
          <cell r="R91">
            <v>0</v>
          </cell>
          <cell r="U91">
            <v>0</v>
          </cell>
          <cell r="X91">
            <v>0</v>
          </cell>
          <cell r="AA91">
            <v>0</v>
          </cell>
          <cell r="AD91">
            <v>0</v>
          </cell>
          <cell r="AG91">
            <v>0</v>
          </cell>
          <cell r="AJ91">
            <v>0</v>
          </cell>
          <cell r="AM91">
            <v>0</v>
          </cell>
          <cell r="AP91">
            <v>0</v>
          </cell>
        </row>
        <row r="92">
          <cell r="A92" t="str">
            <v>XT-TEMXB2</v>
          </cell>
          <cell r="B92" t="str">
            <v>XT-000C</v>
          </cell>
          <cell r="C92" t="str">
            <v>Nhiệt  độ xà bông nóng (2)
 熱脫脂溫度(2)</v>
          </cell>
          <cell r="D92" t="str">
            <v>0C</v>
          </cell>
          <cell r="E92" t="str">
            <v>65~75</v>
          </cell>
          <cell r="F92" t="str">
            <v>(70±3)</v>
          </cell>
          <cell r="I92">
            <v>0</v>
          </cell>
          <cell r="L92">
            <v>0</v>
          </cell>
          <cell r="O92">
            <v>0</v>
          </cell>
          <cell r="R92">
            <v>0</v>
          </cell>
          <cell r="U92">
            <v>0</v>
          </cell>
          <cell r="X92">
            <v>0</v>
          </cell>
          <cell r="AA92">
            <v>0</v>
          </cell>
          <cell r="AD92">
            <v>0</v>
          </cell>
          <cell r="AG92">
            <v>0</v>
          </cell>
          <cell r="AJ92">
            <v>0</v>
          </cell>
          <cell r="AM92">
            <v>0</v>
          </cell>
          <cell r="AP92">
            <v>0</v>
          </cell>
        </row>
        <row r="93">
          <cell r="A93" t="str">
            <v>XT-TEMDG1</v>
          </cell>
          <cell r="B93" t="str">
            <v>XT-000C</v>
          </cell>
          <cell r="C93" t="str">
            <v>Nhiệt độ điện giải (1) 
電解1 溫度</v>
          </cell>
          <cell r="D93" t="str">
            <v>0C</v>
          </cell>
          <cell r="E93" t="str">
            <v>60~70</v>
          </cell>
          <cell r="F93" t="str">
            <v>(65±3)</v>
          </cell>
          <cell r="I93">
            <v>0</v>
          </cell>
          <cell r="L93">
            <v>0</v>
          </cell>
          <cell r="O93">
            <v>0</v>
          </cell>
          <cell r="R93">
            <v>0</v>
          </cell>
          <cell r="U93">
            <v>0</v>
          </cell>
          <cell r="X93">
            <v>0</v>
          </cell>
          <cell r="AA93">
            <v>0</v>
          </cell>
          <cell r="AD93">
            <v>0</v>
          </cell>
          <cell r="AG93">
            <v>0</v>
          </cell>
          <cell r="AJ93">
            <v>0</v>
          </cell>
          <cell r="AM93">
            <v>0</v>
          </cell>
          <cell r="AP93">
            <v>0</v>
          </cell>
        </row>
        <row r="94">
          <cell r="A94" t="str">
            <v>XT-TEMDG2</v>
          </cell>
          <cell r="B94" t="str">
            <v>XT-000C</v>
          </cell>
          <cell r="C94" t="str">
            <v>Nhiệt độ điện giải (2)
電解 2 溫度</v>
          </cell>
          <cell r="D94" t="str">
            <v>0C</v>
          </cell>
          <cell r="E94" t="str">
            <v>60~70</v>
          </cell>
          <cell r="F94" t="str">
            <v>(65±3)</v>
          </cell>
          <cell r="I94">
            <v>0</v>
          </cell>
          <cell r="L94">
            <v>0</v>
          </cell>
          <cell r="O94">
            <v>0</v>
          </cell>
          <cell r="R94">
            <v>0</v>
          </cell>
          <cell r="U94">
            <v>0</v>
          </cell>
          <cell r="X94">
            <v>0</v>
          </cell>
          <cell r="AA94">
            <v>0</v>
          </cell>
          <cell r="AD94">
            <v>0</v>
          </cell>
          <cell r="AG94">
            <v>0</v>
          </cell>
          <cell r="AJ94">
            <v>0</v>
          </cell>
          <cell r="AM94">
            <v>0</v>
          </cell>
          <cell r="AP94">
            <v>0</v>
          </cell>
        </row>
        <row r="95">
          <cell r="A95" t="str">
            <v>XT-TEMBX</v>
          </cell>
          <cell r="B95" t="str">
            <v>XT-000C</v>
          </cell>
          <cell r="C95" t="str">
            <v>Nhiệt độ bồn xi
鍍鋅槽溫度</v>
          </cell>
          <cell r="D95" t="str">
            <v>0C</v>
          </cell>
          <cell r="E95" t="str">
            <v>24~26</v>
          </cell>
          <cell r="F95" t="str">
            <v>(25)</v>
          </cell>
          <cell r="I95">
            <v>0</v>
          </cell>
          <cell r="L95">
            <v>0</v>
          </cell>
          <cell r="O95">
            <v>0</v>
          </cell>
          <cell r="R95">
            <v>0</v>
          </cell>
          <cell r="U95">
            <v>0</v>
          </cell>
          <cell r="X95">
            <v>0</v>
          </cell>
          <cell r="AA95">
            <v>0</v>
          </cell>
          <cell r="AD95">
            <v>0</v>
          </cell>
          <cell r="AG95">
            <v>0</v>
          </cell>
          <cell r="AJ95">
            <v>0</v>
          </cell>
          <cell r="AM95">
            <v>0</v>
          </cell>
          <cell r="AP95">
            <v>0</v>
          </cell>
        </row>
        <row r="96">
          <cell r="A96" t="str">
            <v>XT-TEMCR3I</v>
          </cell>
          <cell r="B96" t="str">
            <v>XT-000C</v>
          </cell>
          <cell r="C96" t="str">
            <v>Nhiệt độ bồn màu Cr2O3 (I)
三價鉻 溫度  HALO</v>
          </cell>
          <cell r="D96" t="str">
            <v>0C</v>
          </cell>
          <cell r="E96" t="str">
            <v>34~36</v>
          </cell>
          <cell r="F96" t="str">
            <v>(35±1)</v>
          </cell>
          <cell r="I96">
            <v>0</v>
          </cell>
          <cell r="L96">
            <v>0</v>
          </cell>
          <cell r="O96">
            <v>0</v>
          </cell>
          <cell r="R96">
            <v>0</v>
          </cell>
          <cell r="U96">
            <v>0</v>
          </cell>
          <cell r="X96">
            <v>0</v>
          </cell>
          <cell r="AA96">
            <v>0</v>
          </cell>
          <cell r="AD96">
            <v>0</v>
          </cell>
          <cell r="AG96">
            <v>0</v>
          </cell>
          <cell r="AJ96">
            <v>0</v>
          </cell>
          <cell r="AM96">
            <v>0</v>
          </cell>
          <cell r="AP96">
            <v>0</v>
          </cell>
        </row>
        <row r="97">
          <cell r="A97" t="str">
            <v>XT-TEMH2O</v>
          </cell>
          <cell r="B97" t="str">
            <v>XT-000C</v>
          </cell>
          <cell r="C97" t="str">
            <v xml:space="preserve">Nhiệt độ bồn nước nóng
熱水溫度 </v>
          </cell>
          <cell r="D97" t="str">
            <v>0C</v>
          </cell>
          <cell r="E97" t="str">
            <v>55~65</v>
          </cell>
          <cell r="F97" t="str">
            <v>(60±3)</v>
          </cell>
          <cell r="I97">
            <v>0</v>
          </cell>
          <cell r="L97">
            <v>0</v>
          </cell>
          <cell r="O97">
            <v>0</v>
          </cell>
          <cell r="R97">
            <v>0</v>
          </cell>
          <cell r="U97">
            <v>0</v>
          </cell>
          <cell r="X97">
            <v>0</v>
          </cell>
          <cell r="AA97">
            <v>0</v>
          </cell>
          <cell r="AD97">
            <v>0</v>
          </cell>
          <cell r="AG97">
            <v>0</v>
          </cell>
          <cell r="AJ97">
            <v>0</v>
          </cell>
          <cell r="AM97">
            <v>0</v>
          </cell>
          <cell r="AP97">
            <v>0</v>
          </cell>
        </row>
        <row r="98">
          <cell r="A98" t="str">
            <v>XT-TEMSAY</v>
          </cell>
          <cell r="B98" t="str">
            <v>XT-000C</v>
          </cell>
          <cell r="C98" t="str">
            <v>Sấy khô
烘乾</v>
          </cell>
          <cell r="D98" t="str">
            <v>0C</v>
          </cell>
          <cell r="E98" t="str">
            <v>65~75</v>
          </cell>
          <cell r="F98" t="str">
            <v>(70±3)</v>
          </cell>
          <cell r="I98" t="str">
            <v>\</v>
          </cell>
          <cell r="L98">
            <v>0</v>
          </cell>
          <cell r="O98" t="str">
            <v>\</v>
          </cell>
          <cell r="R98">
            <v>0</v>
          </cell>
          <cell r="U98" t="str">
            <v>\</v>
          </cell>
          <cell r="X98">
            <v>0</v>
          </cell>
          <cell r="AA98" t="str">
            <v>\</v>
          </cell>
          <cell r="AD98">
            <v>0</v>
          </cell>
          <cell r="AG98" t="str">
            <v>\</v>
          </cell>
          <cell r="AJ98">
            <v>0</v>
          </cell>
          <cell r="AM98" t="str">
            <v>\</v>
          </cell>
        </row>
        <row r="99">
          <cell r="C99" t="str">
            <v>Nhiệt độ sóng siêu âm
超音波水洗槽 (23)</v>
          </cell>
          <cell r="D99" t="str">
            <v>0C</v>
          </cell>
          <cell r="E99" t="str">
            <v>40~60</v>
          </cell>
          <cell r="F99" t="str">
            <v>(50±10)</v>
          </cell>
          <cell r="I99">
            <v>0</v>
          </cell>
          <cell r="L99">
            <v>0</v>
          </cell>
          <cell r="O99">
            <v>0</v>
          </cell>
          <cell r="R99">
            <v>0</v>
          </cell>
          <cell r="U99">
            <v>0</v>
          </cell>
          <cell r="X99">
            <v>0</v>
          </cell>
          <cell r="AA99">
            <v>0</v>
          </cell>
          <cell r="AD99">
            <v>0</v>
          </cell>
          <cell r="AG99">
            <v>0</v>
          </cell>
          <cell r="AJ99">
            <v>0</v>
          </cell>
          <cell r="AM99">
            <v>0</v>
          </cell>
          <cell r="AP99">
            <v>0</v>
          </cell>
        </row>
        <row r="100">
          <cell r="C100" t="str">
            <v>Nhiệt độ nước nóng siêm âm
超音波熱水洗槽(39)</v>
          </cell>
          <cell r="D100" t="str">
            <v>0C</v>
          </cell>
          <cell r="E100" t="str">
            <v>50~70</v>
          </cell>
          <cell r="F100" t="str">
            <v>(60±5)</v>
          </cell>
          <cell r="I100">
            <v>0</v>
          </cell>
          <cell r="L100">
            <v>0</v>
          </cell>
          <cell r="O100">
            <v>0</v>
          </cell>
          <cell r="R100">
            <v>0</v>
          </cell>
          <cell r="U100">
            <v>0</v>
          </cell>
          <cell r="X100">
            <v>0</v>
          </cell>
          <cell r="AA100">
            <v>0</v>
          </cell>
          <cell r="AD100">
            <v>0</v>
          </cell>
          <cell r="AG100">
            <v>0</v>
          </cell>
          <cell r="AJ100">
            <v>0</v>
          </cell>
          <cell r="AM100">
            <v>0</v>
          </cell>
          <cell r="AP100">
            <v>0</v>
          </cell>
        </row>
        <row r="101">
          <cell r="C101" t="str">
            <v>Nhiệt độ bồn màu Cr2O3 (K)
三價鉻 溫度</v>
          </cell>
          <cell r="D101" t="str">
            <v>0C</v>
          </cell>
          <cell r="E101" t="str">
            <v>20~30</v>
          </cell>
          <cell r="F101" t="str">
            <v>20~30</v>
          </cell>
          <cell r="I101">
            <v>0</v>
          </cell>
          <cell r="L101">
            <v>0</v>
          </cell>
          <cell r="U101">
            <v>0</v>
          </cell>
          <cell r="X101">
            <v>0</v>
          </cell>
          <cell r="AA101">
            <v>0</v>
          </cell>
          <cell r="AD101">
            <v>0</v>
          </cell>
          <cell r="AM101">
            <v>0</v>
          </cell>
          <cell r="AP101">
            <v>0</v>
          </cell>
        </row>
        <row r="102">
          <cell r="C102" t="str">
            <v>Nhiệt độ bồn màu Cr2O3 (I)
三價鉻 溫度 JASCO</v>
          </cell>
          <cell r="D102" t="str">
            <v>0C</v>
          </cell>
          <cell r="E102" t="str">
            <v>35~45</v>
          </cell>
          <cell r="F102" t="str">
            <v>(40±3)</v>
          </cell>
          <cell r="I102">
            <v>0</v>
          </cell>
          <cell r="L102">
            <v>0</v>
          </cell>
          <cell r="O102">
            <v>0</v>
          </cell>
          <cell r="R102">
            <v>0</v>
          </cell>
          <cell r="U102">
            <v>0</v>
          </cell>
          <cell r="X102">
            <v>0</v>
          </cell>
          <cell r="AA102">
            <v>0</v>
          </cell>
          <cell r="AD102">
            <v>0</v>
          </cell>
          <cell r="AG102">
            <v>0</v>
          </cell>
          <cell r="AJ102">
            <v>0</v>
          </cell>
          <cell r="AM102">
            <v>0</v>
          </cell>
          <cell r="AP102">
            <v>0</v>
          </cell>
        </row>
        <row r="103">
          <cell r="A103" t="str">
            <v>XTNI-TEMBX</v>
          </cell>
          <cell r="B103" t="str">
            <v>XT-000C</v>
          </cell>
          <cell r="C103" t="str">
            <v>Nhiệt độ bồn xi Zn-Niken
 Zn-Niken 鍍鋅槽溫度</v>
          </cell>
          <cell r="D103" t="str">
            <v>0C</v>
          </cell>
          <cell r="E103" t="str">
            <v>24~28</v>
          </cell>
          <cell r="F103" t="str">
            <v>(26±2)</v>
          </cell>
          <cell r="I103">
            <v>0</v>
          </cell>
          <cell r="L103">
            <v>0</v>
          </cell>
          <cell r="O103">
            <v>0</v>
          </cell>
          <cell r="R103">
            <v>0</v>
          </cell>
          <cell r="U103">
            <v>0</v>
          </cell>
          <cell r="X103">
            <v>0</v>
          </cell>
          <cell r="AA103">
            <v>0</v>
          </cell>
          <cell r="AD103">
            <v>0</v>
          </cell>
          <cell r="AG103">
            <v>0</v>
          </cell>
          <cell r="AJ103">
            <v>0</v>
          </cell>
          <cell r="AM103">
            <v>0</v>
          </cell>
          <cell r="AP103">
            <v>0</v>
          </cell>
        </row>
        <row r="104">
          <cell r="A104" t="str">
            <v>XTNI-TEMSIEUAM</v>
          </cell>
          <cell r="B104" t="str">
            <v>XT-000C</v>
          </cell>
          <cell r="C104" t="str">
            <v>Nhiệt độ nước nóng siêm âm
超音波熱水洗槽(39)</v>
          </cell>
          <cell r="D104" t="str">
            <v>0C</v>
          </cell>
          <cell r="E104" t="str">
            <v>40~60</v>
          </cell>
          <cell r="F104" t="str">
            <v>(50±10)</v>
          </cell>
          <cell r="I104">
            <v>0</v>
          </cell>
          <cell r="L104">
            <v>0</v>
          </cell>
          <cell r="O104">
            <v>0</v>
          </cell>
          <cell r="R104">
            <v>0</v>
          </cell>
          <cell r="U104">
            <v>0</v>
          </cell>
          <cell r="X104">
            <v>0</v>
          </cell>
          <cell r="AA104">
            <v>0</v>
          </cell>
          <cell r="AD104">
            <v>0</v>
          </cell>
          <cell r="AG104">
            <v>0</v>
          </cell>
          <cell r="AJ104">
            <v>0</v>
          </cell>
          <cell r="AM104">
            <v>0</v>
          </cell>
          <cell r="AP104">
            <v>0</v>
          </cell>
        </row>
        <row r="105">
          <cell r="A105" t="str">
            <v>XT-TEMCR3NI</v>
          </cell>
          <cell r="B105" t="str">
            <v>XT-000C</v>
          </cell>
          <cell r="C105" t="str">
            <v>Nhiệt độ bồn màu Cr2O3 (Niken)
三價鉻 溫度</v>
          </cell>
          <cell r="D105" t="str">
            <v>0C</v>
          </cell>
          <cell r="E105" t="str">
            <v>20~30</v>
          </cell>
          <cell r="F105" t="str">
            <v>(25±5)</v>
          </cell>
          <cell r="I105">
            <v>0</v>
          </cell>
          <cell r="L105">
            <v>0</v>
          </cell>
          <cell r="O105">
            <v>0</v>
          </cell>
          <cell r="R105">
            <v>0</v>
          </cell>
          <cell r="U105">
            <v>0</v>
          </cell>
          <cell r="X105">
            <v>0</v>
          </cell>
          <cell r="AA105">
            <v>0</v>
          </cell>
          <cell r="AD105">
            <v>0</v>
          </cell>
          <cell r="AG105">
            <v>0</v>
          </cell>
          <cell r="AJ105">
            <v>0</v>
          </cell>
          <cell r="AM105">
            <v>0</v>
          </cell>
          <cell r="AP105">
            <v>0</v>
          </cell>
        </row>
        <row r="106">
          <cell r="A106" t="str">
            <v>Hạng mục kiểm tra bơm thuốc tự động
藥液自動添加</v>
          </cell>
        </row>
        <row r="107">
          <cell r="A107" t="str">
            <v>XT-BONG</v>
          </cell>
          <cell r="B107" t="str">
            <v>XT-000C</v>
          </cell>
          <cell r="C107" t="str">
            <v>chất bóng (250 brightener)
光亮劑</v>
          </cell>
          <cell r="D107" t="str">
            <v>ml/KAH</v>
          </cell>
          <cell r="E107" t="str">
            <v>30~50 
(40)</v>
          </cell>
          <cell r="F107" t="str">
            <v>30~50 
(40)</v>
          </cell>
          <cell r="I107">
            <v>0</v>
          </cell>
          <cell r="O107">
            <v>0</v>
          </cell>
          <cell r="U107">
            <v>0</v>
          </cell>
          <cell r="AA107">
            <v>0</v>
          </cell>
          <cell r="AG107">
            <v>0</v>
          </cell>
          <cell r="AM107">
            <v>0</v>
          </cell>
        </row>
        <row r="108">
          <cell r="A108" t="str">
            <v>XT-MEM</v>
          </cell>
          <cell r="B108" t="str">
            <v>XT-000C</v>
          </cell>
          <cell r="C108" t="str">
            <v>chất mềm (250 base)
開缸劑</v>
          </cell>
          <cell r="D108" t="str">
            <v>ml/KAH</v>
          </cell>
          <cell r="E108" t="str">
            <v>160~220
(180)</v>
          </cell>
          <cell r="F108" t="str">
            <v>160~220
(180)</v>
          </cell>
          <cell r="I108">
            <v>0</v>
          </cell>
          <cell r="O108">
            <v>0</v>
          </cell>
          <cell r="U108">
            <v>0</v>
          </cell>
          <cell r="AA108">
            <v>0</v>
          </cell>
          <cell r="AG108">
            <v>0</v>
          </cell>
          <cell r="AM108">
            <v>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cell r="B6" t="str">
            <v>Rua acid (1) 鹽酸洗槽</v>
          </cell>
          <cell r="D6" t="str">
            <v>%</v>
          </cell>
          <cell r="E6" t="str">
            <v>10~15%  (12.5%)</v>
          </cell>
          <cell r="F6">
            <v>12.5</v>
          </cell>
          <cell r="G6">
            <v>0</v>
          </cell>
          <cell r="H6">
            <v>0</v>
          </cell>
          <cell r="I6">
            <v>292.1875</v>
          </cell>
          <cell r="J6" t="str">
            <v>+</v>
          </cell>
          <cell r="K6">
            <v>0</v>
          </cell>
          <cell r="L6" t="str">
            <v>L</v>
          </cell>
          <cell r="M6">
            <v>0</v>
          </cell>
          <cell r="N6">
            <v>0</v>
          </cell>
          <cell r="O6">
            <v>292.1875</v>
          </cell>
          <cell r="P6" t="str">
            <v>+</v>
          </cell>
          <cell r="Q6">
            <v>0</v>
          </cell>
          <cell r="R6" t="str">
            <v>L</v>
          </cell>
          <cell r="S6">
            <v>0</v>
          </cell>
          <cell r="T6">
            <v>0</v>
          </cell>
          <cell r="U6">
            <v>292.1875</v>
          </cell>
          <cell r="V6" t="str">
            <v>+</v>
          </cell>
          <cell r="W6">
            <v>0</v>
          </cell>
          <cell r="X6" t="str">
            <v>L</v>
          </cell>
          <cell r="Y6">
            <v>0</v>
          </cell>
          <cell r="Z6">
            <v>0</v>
          </cell>
          <cell r="AA6">
            <v>292.1875</v>
          </cell>
          <cell r="AB6" t="str">
            <v>+</v>
          </cell>
          <cell r="AC6">
            <v>0</v>
          </cell>
          <cell r="AD6" t="str">
            <v>L</v>
          </cell>
          <cell r="AE6">
            <v>0</v>
          </cell>
          <cell r="AF6">
            <v>0</v>
          </cell>
          <cell r="AG6">
            <v>292.1875</v>
          </cell>
          <cell r="AH6" t="str">
            <v>+</v>
          </cell>
          <cell r="AI6">
            <v>0</v>
          </cell>
          <cell r="AJ6" t="str">
            <v>L</v>
          </cell>
          <cell r="AK6">
            <v>0</v>
          </cell>
          <cell r="AL6">
            <v>0</v>
          </cell>
          <cell r="AM6">
            <v>292.1875</v>
          </cell>
          <cell r="AN6" t="str">
            <v>+</v>
          </cell>
          <cell r="AO6">
            <v>0</v>
          </cell>
          <cell r="AP6" t="str">
            <v>L</v>
          </cell>
          <cell r="AQ6" t="str">
            <v>CR-000E</v>
          </cell>
        </row>
        <row r="7">
          <cell r="A7" t="str">
            <v>RLE-HCL2</v>
          </cell>
          <cell r="B7" t="str">
            <v>Rua acid (2) 鹽酸洗槽</v>
          </cell>
          <cell r="D7" t="str">
            <v>%</v>
          </cell>
          <cell r="E7" t="str">
            <v>10~15%  (12.5%)</v>
          </cell>
          <cell r="F7">
            <v>12.5</v>
          </cell>
          <cell r="G7">
            <v>0</v>
          </cell>
          <cell r="H7">
            <v>0</v>
          </cell>
          <cell r="I7">
            <v>292.1875</v>
          </cell>
          <cell r="J7" t="str">
            <v>+</v>
          </cell>
          <cell r="K7">
            <v>292.1875</v>
          </cell>
          <cell r="L7" t="str">
            <v>L</v>
          </cell>
          <cell r="M7">
            <v>0</v>
          </cell>
          <cell r="N7">
            <v>0</v>
          </cell>
          <cell r="O7">
            <v>292.1875</v>
          </cell>
          <cell r="P7" t="str">
            <v>+</v>
          </cell>
          <cell r="Q7">
            <v>292.1875</v>
          </cell>
          <cell r="R7" t="str">
            <v>L</v>
          </cell>
          <cell r="S7">
            <v>0</v>
          </cell>
          <cell r="T7">
            <v>0</v>
          </cell>
          <cell r="U7">
            <v>292.1875</v>
          </cell>
          <cell r="V7" t="str">
            <v>+</v>
          </cell>
          <cell r="W7">
            <v>292.1875</v>
          </cell>
          <cell r="X7" t="str">
            <v>L</v>
          </cell>
          <cell r="Y7">
            <v>0</v>
          </cell>
          <cell r="Z7">
            <v>0</v>
          </cell>
          <cell r="AA7">
            <v>292.1875</v>
          </cell>
          <cell r="AB7" t="str">
            <v>+</v>
          </cell>
          <cell r="AC7">
            <v>292.1875</v>
          </cell>
          <cell r="AD7" t="str">
            <v>L</v>
          </cell>
          <cell r="AE7">
            <v>0</v>
          </cell>
          <cell r="AF7">
            <v>0</v>
          </cell>
          <cell r="AG7">
            <v>292.1875</v>
          </cell>
          <cell r="AH7" t="str">
            <v>+</v>
          </cell>
          <cell r="AI7">
            <v>292.1875</v>
          </cell>
          <cell r="AJ7" t="str">
            <v>L</v>
          </cell>
          <cell r="AK7">
            <v>0</v>
          </cell>
          <cell r="AL7">
            <v>0</v>
          </cell>
          <cell r="AM7">
            <v>292.1875</v>
          </cell>
          <cell r="AN7" t="str">
            <v>+</v>
          </cell>
          <cell r="AO7">
            <v>292.1875</v>
          </cell>
          <cell r="AP7" t="str">
            <v>L</v>
          </cell>
          <cell r="AQ7" t="str">
            <v>CR-000E</v>
          </cell>
        </row>
        <row r="8">
          <cell r="A8" t="str">
            <v>RLE-PP1TA</v>
          </cell>
          <cell r="B8" t="str">
            <v>Muối axit Phosphoric  (TA)
磷酸鹽</v>
          </cell>
          <cell r="C8">
            <v>3</v>
          </cell>
          <cell r="D8" t="str">
            <v>Point</v>
          </cell>
          <cell r="E8" t="str">
            <v>Tổng chua TA  全酸
40~60 (50)</v>
          </cell>
          <cell r="F8">
            <v>50</v>
          </cell>
          <cell r="G8">
            <v>0</v>
          </cell>
          <cell r="H8">
            <v>0</v>
          </cell>
          <cell r="I8">
            <v>69.400000000000006</v>
          </cell>
          <cell r="J8" t="str">
            <v>+</v>
          </cell>
          <cell r="K8">
            <v>0</v>
          </cell>
          <cell r="L8" t="str">
            <v>kg</v>
          </cell>
          <cell r="M8">
            <v>0</v>
          </cell>
          <cell r="N8">
            <v>0</v>
          </cell>
          <cell r="O8">
            <v>69.400000000000006</v>
          </cell>
          <cell r="P8" t="str">
            <v>+</v>
          </cell>
          <cell r="Q8">
            <v>0</v>
          </cell>
          <cell r="R8" t="str">
            <v>kg</v>
          </cell>
          <cell r="S8">
            <v>0</v>
          </cell>
          <cell r="T8">
            <v>0</v>
          </cell>
          <cell r="U8">
            <v>69.400000000000006</v>
          </cell>
          <cell r="V8" t="str">
            <v>+</v>
          </cell>
          <cell r="W8">
            <v>0</v>
          </cell>
          <cell r="X8" t="str">
            <v>kg</v>
          </cell>
          <cell r="Y8">
            <v>0</v>
          </cell>
          <cell r="Z8">
            <v>0</v>
          </cell>
          <cell r="AA8">
            <v>69.400000000000006</v>
          </cell>
          <cell r="AB8" t="str">
            <v>+</v>
          </cell>
          <cell r="AC8">
            <v>0</v>
          </cell>
          <cell r="AD8" t="str">
            <v>kg</v>
          </cell>
          <cell r="AE8">
            <v>0</v>
          </cell>
          <cell r="AF8">
            <v>0</v>
          </cell>
          <cell r="AG8">
            <v>69.400000000000006</v>
          </cell>
          <cell r="AH8" t="str">
            <v>+</v>
          </cell>
          <cell r="AI8">
            <v>0</v>
          </cell>
          <cell r="AJ8" t="str">
            <v>kg</v>
          </cell>
          <cell r="AK8">
            <v>0</v>
          </cell>
          <cell r="AL8">
            <v>0</v>
          </cell>
          <cell r="AM8">
            <v>69.400000000000006</v>
          </cell>
          <cell r="AN8" t="str">
            <v>+</v>
          </cell>
          <cell r="AO8">
            <v>0</v>
          </cell>
          <cell r="AP8" t="str">
            <v>kg</v>
          </cell>
          <cell r="AQ8" t="str">
            <v>CR-000E</v>
          </cell>
        </row>
        <row r="9">
          <cell r="A9" t="str">
            <v>RLE-PP1AX</v>
          </cell>
          <cell r="B9" t="str">
            <v>Muối axit Phosphoric  (tỷ lệ axit)
磷酸鹽</v>
          </cell>
          <cell r="D9" t="str">
            <v>Point</v>
          </cell>
          <cell r="E9" t="str">
            <v>tỷ lệ axit  酸比 
5.2~7.8 (6.5)</v>
          </cell>
          <cell r="F9">
            <v>6.5</v>
          </cell>
          <cell r="G9">
            <v>0</v>
          </cell>
          <cell r="H9">
            <v>0</v>
          </cell>
          <cell r="I9">
            <v>4.5110000000000001</v>
          </cell>
          <cell r="K9">
            <v>0</v>
          </cell>
          <cell r="L9" t="str">
            <v>kg</v>
          </cell>
          <cell r="M9">
            <v>0</v>
          </cell>
          <cell r="N9">
            <v>0</v>
          </cell>
          <cell r="O9">
            <v>4.5110000000000001</v>
          </cell>
          <cell r="Q9">
            <v>0</v>
          </cell>
          <cell r="R9" t="str">
            <v>kg</v>
          </cell>
          <cell r="S9">
            <v>0</v>
          </cell>
          <cell r="T9">
            <v>0</v>
          </cell>
          <cell r="U9">
            <v>4.5110000000000001</v>
          </cell>
          <cell r="W9">
            <v>0</v>
          </cell>
          <cell r="X9" t="str">
            <v>kg</v>
          </cell>
          <cell r="Y9">
            <v>0</v>
          </cell>
          <cell r="Z9">
            <v>0</v>
          </cell>
          <cell r="AA9">
            <v>4.5110000000000001</v>
          </cell>
          <cell r="AC9">
            <v>0</v>
          </cell>
          <cell r="AD9" t="str">
            <v>kg</v>
          </cell>
          <cell r="AE9">
            <v>0</v>
          </cell>
          <cell r="AF9">
            <v>0</v>
          </cell>
          <cell r="AG9">
            <v>4.5110000000000001</v>
          </cell>
          <cell r="AI9">
            <v>0</v>
          </cell>
          <cell r="AJ9" t="str">
            <v>kg</v>
          </cell>
          <cell r="AK9">
            <v>0</v>
          </cell>
          <cell r="AL9">
            <v>0</v>
          </cell>
          <cell r="AM9">
            <v>4.5110000000000001</v>
          </cell>
          <cell r="AO9">
            <v>0</v>
          </cell>
          <cell r="AP9" t="str">
            <v>kg</v>
          </cell>
          <cell r="AQ9" t="str">
            <v>CR-000E</v>
          </cell>
        </row>
        <row r="10">
          <cell r="A10" t="str">
            <v>RLE-PP1PL</v>
          </cell>
          <cell r="B10" t="str">
            <v>Muối axit Phosphoric (Fe phân ly) 
磷酸鹽</v>
          </cell>
          <cell r="D10" t="str">
            <v>Point</v>
          </cell>
          <cell r="E10" t="str">
            <v xml:space="preserve">Fe phân ly &lt;0.4
 鐵離子&lt;0.4
</v>
          </cell>
          <cell r="F10">
            <v>0.4</v>
          </cell>
          <cell r="G10">
            <v>0</v>
          </cell>
          <cell r="H10">
            <v>0</v>
          </cell>
          <cell r="I10">
            <v>2</v>
          </cell>
          <cell r="M10">
            <v>0</v>
          </cell>
          <cell r="N10">
            <v>0</v>
          </cell>
          <cell r="O10">
            <v>2</v>
          </cell>
          <cell r="S10">
            <v>0</v>
          </cell>
          <cell r="T10">
            <v>0</v>
          </cell>
          <cell r="U10">
            <v>2</v>
          </cell>
          <cell r="Y10">
            <v>0</v>
          </cell>
          <cell r="Z10">
            <v>0</v>
          </cell>
          <cell r="AA10">
            <v>2</v>
          </cell>
          <cell r="AE10">
            <v>0</v>
          </cell>
          <cell r="AF10">
            <v>0</v>
          </cell>
          <cell r="AG10">
            <v>2</v>
          </cell>
          <cell r="AK10">
            <v>0</v>
          </cell>
          <cell r="AL10">
            <v>0</v>
          </cell>
          <cell r="AM10">
            <v>2</v>
          </cell>
          <cell r="AQ10" t="str">
            <v>CR-000E</v>
          </cell>
        </row>
        <row r="11">
          <cell r="A11" t="str">
            <v>RLE-PP2TA</v>
          </cell>
          <cell r="B11" t="str">
            <v>Muối axit Phosphoric  (TA)
磷酸鹽</v>
          </cell>
          <cell r="C11">
            <v>4</v>
          </cell>
          <cell r="D11" t="str">
            <v>Point</v>
          </cell>
          <cell r="E11" t="str">
            <v>Tổng chua TA  全酸
40~60 (50)</v>
          </cell>
          <cell r="F11">
            <v>50</v>
          </cell>
          <cell r="G11">
            <v>0</v>
          </cell>
          <cell r="H11">
            <v>0</v>
          </cell>
          <cell r="I11">
            <v>69.400000000000006</v>
          </cell>
          <cell r="J11" t="str">
            <v>+</v>
          </cell>
          <cell r="K11">
            <v>0</v>
          </cell>
          <cell r="L11" t="str">
            <v>kg</v>
          </cell>
          <cell r="M11">
            <v>0</v>
          </cell>
          <cell r="N11">
            <v>0</v>
          </cell>
          <cell r="O11">
            <v>69.400000000000006</v>
          </cell>
          <cell r="P11" t="str">
            <v>+</v>
          </cell>
          <cell r="Q11">
            <v>0</v>
          </cell>
          <cell r="R11" t="str">
            <v>kg</v>
          </cell>
          <cell r="S11">
            <v>0</v>
          </cell>
          <cell r="T11">
            <v>0</v>
          </cell>
          <cell r="U11">
            <v>69.400000000000006</v>
          </cell>
          <cell r="V11" t="str">
            <v>+</v>
          </cell>
          <cell r="W11">
            <v>0</v>
          </cell>
          <cell r="X11" t="str">
            <v>kg</v>
          </cell>
          <cell r="Y11">
            <v>0</v>
          </cell>
          <cell r="Z11">
            <v>0</v>
          </cell>
          <cell r="AA11">
            <v>69.400000000000006</v>
          </cell>
          <cell r="AB11" t="str">
            <v>+</v>
          </cell>
          <cell r="AC11">
            <v>0</v>
          </cell>
          <cell r="AD11" t="str">
            <v>kg</v>
          </cell>
          <cell r="AE11">
            <v>0</v>
          </cell>
          <cell r="AF11">
            <v>0</v>
          </cell>
          <cell r="AG11">
            <v>69.400000000000006</v>
          </cell>
          <cell r="AH11" t="str">
            <v>+</v>
          </cell>
          <cell r="AI11">
            <v>0</v>
          </cell>
          <cell r="AJ11" t="str">
            <v>kg</v>
          </cell>
          <cell r="AK11">
            <v>0</v>
          </cell>
          <cell r="AL11">
            <v>0</v>
          </cell>
          <cell r="AM11">
            <v>69.400000000000006</v>
          </cell>
          <cell r="AN11" t="str">
            <v>+</v>
          </cell>
          <cell r="AO11">
            <v>0</v>
          </cell>
          <cell r="AP11" t="str">
            <v>kg</v>
          </cell>
          <cell r="AQ11" t="str">
            <v>CR-000E</v>
          </cell>
        </row>
        <row r="12">
          <cell r="A12" t="str">
            <v>RLE-PP2AX</v>
          </cell>
          <cell r="B12" t="str">
            <v>Muối axit Phosphoric  (tỷ lệ axit)
磷酸鹽</v>
          </cell>
          <cell r="D12" t="str">
            <v>Point</v>
          </cell>
          <cell r="E12" t="str">
            <v>tỷ lệ axit  酸比 
5.2~7.8 (6.5)</v>
          </cell>
          <cell r="F12">
            <v>6.5</v>
          </cell>
          <cell r="G12">
            <v>0</v>
          </cell>
          <cell r="H12">
            <v>0</v>
          </cell>
          <cell r="I12">
            <v>4.5110000000000001</v>
          </cell>
          <cell r="K12">
            <v>0</v>
          </cell>
          <cell r="L12" t="str">
            <v>kg</v>
          </cell>
          <cell r="M12">
            <v>0</v>
          </cell>
          <cell r="N12">
            <v>0</v>
          </cell>
          <cell r="O12">
            <v>4.5110000000000001</v>
          </cell>
          <cell r="Q12">
            <v>0</v>
          </cell>
          <cell r="R12" t="str">
            <v>kg</v>
          </cell>
          <cell r="S12">
            <v>0</v>
          </cell>
          <cell r="T12">
            <v>0</v>
          </cell>
          <cell r="U12">
            <v>4.5110000000000001</v>
          </cell>
          <cell r="W12">
            <v>0</v>
          </cell>
          <cell r="X12" t="str">
            <v>kg</v>
          </cell>
          <cell r="Y12">
            <v>0</v>
          </cell>
          <cell r="Z12">
            <v>0</v>
          </cell>
          <cell r="AA12">
            <v>4.5110000000000001</v>
          </cell>
          <cell r="AC12">
            <v>0</v>
          </cell>
          <cell r="AD12" t="str">
            <v>kg</v>
          </cell>
          <cell r="AE12">
            <v>0</v>
          </cell>
          <cell r="AF12">
            <v>0</v>
          </cell>
          <cell r="AG12">
            <v>4.5110000000000001</v>
          </cell>
          <cell r="AI12">
            <v>0</v>
          </cell>
          <cell r="AJ12" t="str">
            <v>kg</v>
          </cell>
          <cell r="AK12">
            <v>0</v>
          </cell>
          <cell r="AL12">
            <v>0</v>
          </cell>
          <cell r="AM12">
            <v>4.5110000000000001</v>
          </cell>
          <cell r="AO12">
            <v>0</v>
          </cell>
          <cell r="AP12" t="str">
            <v>kg</v>
          </cell>
          <cell r="AQ12" t="str">
            <v>CR-000E</v>
          </cell>
        </row>
        <row r="13">
          <cell r="A13" t="str">
            <v>RLE-PP2PL</v>
          </cell>
          <cell r="B13" t="str">
            <v>Muối axit Phosphoric (Fe phân ly) 
磷酸鹽</v>
          </cell>
          <cell r="D13" t="str">
            <v>Point</v>
          </cell>
          <cell r="E13" t="str">
            <v xml:space="preserve">Fe phân ly &lt;0.4
 鐵離子&lt;0.4
</v>
          </cell>
          <cell r="F13">
            <v>0.4</v>
          </cell>
          <cell r="G13">
            <v>0</v>
          </cell>
          <cell r="H13">
            <v>0</v>
          </cell>
          <cell r="I13">
            <v>2</v>
          </cell>
          <cell r="M13">
            <v>0</v>
          </cell>
          <cell r="N13">
            <v>0</v>
          </cell>
          <cell r="O13">
            <v>2</v>
          </cell>
          <cell r="S13">
            <v>0</v>
          </cell>
          <cell r="T13">
            <v>0</v>
          </cell>
          <cell r="U13">
            <v>2</v>
          </cell>
          <cell r="Y13">
            <v>0</v>
          </cell>
          <cell r="Z13">
            <v>0</v>
          </cell>
          <cell r="AA13">
            <v>2</v>
          </cell>
          <cell r="AE13">
            <v>0</v>
          </cell>
          <cell r="AF13">
            <v>0</v>
          </cell>
          <cell r="AG13">
            <v>2</v>
          </cell>
          <cell r="AK13">
            <v>0</v>
          </cell>
          <cell r="AL13">
            <v>0</v>
          </cell>
          <cell r="AM13">
            <v>2</v>
          </cell>
          <cell r="AQ13" t="str">
            <v>CR-000E</v>
          </cell>
        </row>
        <row r="14">
          <cell r="A14" t="str">
            <v>RLE-XB</v>
          </cell>
          <cell r="B14" t="str">
            <v>Xà bông bôi trơn
潤滑皂</v>
          </cell>
          <cell r="D14" t="str">
            <v>Point</v>
          </cell>
          <cell r="E14" t="str">
            <v>0.8~1.2</v>
          </cell>
          <cell r="F14">
            <v>1</v>
          </cell>
          <cell r="G14">
            <v>0</v>
          </cell>
          <cell r="H14">
            <v>0</v>
          </cell>
          <cell r="I14">
            <v>4.3680000000000003</v>
          </cell>
          <cell r="J14" t="str">
            <v>+</v>
          </cell>
          <cell r="K14">
            <v>0</v>
          </cell>
          <cell r="L14" t="str">
            <v>kg</v>
          </cell>
          <cell r="M14">
            <v>0</v>
          </cell>
          <cell r="N14">
            <v>0</v>
          </cell>
          <cell r="O14">
            <v>4.3680000000000003</v>
          </cell>
          <cell r="P14" t="str">
            <v>+</v>
          </cell>
          <cell r="Q14">
            <v>0</v>
          </cell>
          <cell r="R14" t="str">
            <v>kg</v>
          </cell>
          <cell r="S14">
            <v>0</v>
          </cell>
          <cell r="T14">
            <v>0</v>
          </cell>
          <cell r="U14">
            <v>4.3680000000000003</v>
          </cell>
          <cell r="V14" t="str">
            <v>+</v>
          </cell>
          <cell r="W14">
            <v>0</v>
          </cell>
          <cell r="X14" t="str">
            <v>kg</v>
          </cell>
          <cell r="Y14">
            <v>0</v>
          </cell>
          <cell r="Z14">
            <v>0</v>
          </cell>
          <cell r="AA14">
            <v>4.3680000000000003</v>
          </cell>
          <cell r="AB14" t="str">
            <v>+</v>
          </cell>
          <cell r="AC14">
            <v>0</v>
          </cell>
          <cell r="AD14" t="str">
            <v>kg</v>
          </cell>
          <cell r="AE14">
            <v>0</v>
          </cell>
          <cell r="AF14">
            <v>0</v>
          </cell>
          <cell r="AG14">
            <v>4.3680000000000003</v>
          </cell>
          <cell r="AH14" t="str">
            <v>+</v>
          </cell>
          <cell r="AI14">
            <v>0</v>
          </cell>
          <cell r="AJ14" t="str">
            <v>kg</v>
          </cell>
          <cell r="AK14">
            <v>0</v>
          </cell>
          <cell r="AL14">
            <v>0</v>
          </cell>
          <cell r="AM14">
            <v>4.3680000000000003</v>
          </cell>
          <cell r="AN14" t="str">
            <v>+</v>
          </cell>
          <cell r="AO14">
            <v>0</v>
          </cell>
          <cell r="AP14" t="str">
            <v>kg</v>
          </cell>
          <cell r="AQ14" t="str">
            <v>CR-000E</v>
          </cell>
        </row>
        <row r="15">
          <cell r="A15" t="str">
            <v>RLE-XBPH</v>
          </cell>
          <cell r="B15" t="str">
            <v>pH</v>
          </cell>
          <cell r="D15" t="str">
            <v>pH</v>
          </cell>
          <cell r="E15" t="str">
            <v>8~10</v>
          </cell>
          <cell r="F15">
            <v>9.5</v>
          </cell>
          <cell r="G15">
            <v>0</v>
          </cell>
          <cell r="H15">
            <v>0</v>
          </cell>
          <cell r="M15">
            <v>0</v>
          </cell>
          <cell r="N15">
            <v>0</v>
          </cell>
          <cell r="S15">
            <v>0</v>
          </cell>
          <cell r="T15">
            <v>0</v>
          </cell>
          <cell r="Y15">
            <v>0</v>
          </cell>
          <cell r="Z15">
            <v>0</v>
          </cell>
          <cell r="AE15">
            <v>0</v>
          </cell>
          <cell r="AF15">
            <v>0</v>
          </cell>
          <cell r="AK15">
            <v>0</v>
          </cell>
          <cell r="AL15">
            <v>0</v>
          </cell>
          <cell r="AQ15" t="str">
            <v>CR-000E</v>
          </cell>
        </row>
        <row r="16">
          <cell r="A16" t="str">
            <v>Hạng mục kiểm tra nhiệt độ 檢查溫度</v>
          </cell>
        </row>
        <row r="17">
          <cell r="A17" t="str">
            <v>MÃ</v>
          </cell>
          <cell r="B17" t="str">
            <v>Hạng mục kiểm tra nhiệt độ
溫度檢查項目</v>
          </cell>
          <cell r="D17" t="str">
            <v>nhiệt độ
溫度</v>
          </cell>
          <cell r="E17" t="str">
            <v>Tiêu chuẩn
控制範圍</v>
          </cell>
          <cell r="H17" t="str">
            <v>Nhiệt kế 
温度計</v>
          </cell>
          <cell r="K17" t="str">
            <v>Nhiệt tự động
自動温控</v>
          </cell>
          <cell r="N17" t="str">
            <v>Nhiệt kế 
温度計</v>
          </cell>
          <cell r="Q17" t="str">
            <v>Nhiệt tự động
自動温控</v>
          </cell>
          <cell r="T17" t="str">
            <v>Nhiệt kế 
温度計</v>
          </cell>
          <cell r="W17" t="str">
            <v>Nhiệt tự động
自動温控</v>
          </cell>
          <cell r="Z17" t="str">
            <v>Nhiệt kế 
温度計</v>
          </cell>
          <cell r="AC17" t="str">
            <v>Nhiệt tự động
自動温控</v>
          </cell>
          <cell r="AF17" t="str">
            <v>Nhiệt kế 
温度計</v>
          </cell>
          <cell r="AI17" t="str">
            <v>Nhiệt tự động
自動温控</v>
          </cell>
          <cell r="AL17" t="str">
            <v>Nhiệt kế 
温度計</v>
          </cell>
          <cell r="AO17" t="str">
            <v>Nhiệt tự động
自動温控</v>
          </cell>
        </row>
        <row r="18">
          <cell r="A18" t="str">
            <v>RLE-TEMPP1</v>
          </cell>
          <cell r="B18" t="str">
            <v>Muối axit Phosphoric (1)
磷酸鹽</v>
          </cell>
          <cell r="D18" t="str">
            <v>0C</v>
          </cell>
          <cell r="E18" t="str">
            <v>65~85OC</v>
          </cell>
          <cell r="H18">
            <v>0</v>
          </cell>
          <cell r="K18">
            <v>0</v>
          </cell>
          <cell r="N18">
            <v>0</v>
          </cell>
          <cell r="Q18">
            <v>0</v>
          </cell>
          <cell r="T18">
            <v>0</v>
          </cell>
          <cell r="W18">
            <v>0</v>
          </cell>
          <cell r="Z18">
            <v>0</v>
          </cell>
          <cell r="AC18">
            <v>0</v>
          </cell>
          <cell r="AF18">
            <v>0</v>
          </cell>
          <cell r="AI18">
            <v>0</v>
          </cell>
          <cell r="AL18">
            <v>0</v>
          </cell>
          <cell r="AO18">
            <v>0</v>
          </cell>
          <cell r="AQ18" t="str">
            <v>CR-000E</v>
          </cell>
        </row>
        <row r="19">
          <cell r="A19" t="str">
            <v>RLE-TEMPP2</v>
          </cell>
          <cell r="B19" t="str">
            <v>Muối axit Phosphoric (2)
磷酸鹽</v>
          </cell>
          <cell r="D19" t="str">
            <v>0C</v>
          </cell>
          <cell r="E19" t="str">
            <v>65~85OC</v>
          </cell>
          <cell r="H19">
            <v>0</v>
          </cell>
          <cell r="K19">
            <v>0</v>
          </cell>
          <cell r="N19">
            <v>0</v>
          </cell>
          <cell r="Q19">
            <v>0</v>
          </cell>
          <cell r="T19">
            <v>0</v>
          </cell>
          <cell r="W19">
            <v>0</v>
          </cell>
          <cell r="Z19">
            <v>0</v>
          </cell>
          <cell r="AC19">
            <v>0</v>
          </cell>
          <cell r="AF19">
            <v>0</v>
          </cell>
          <cell r="AI19">
            <v>0</v>
          </cell>
          <cell r="AL19">
            <v>0</v>
          </cell>
          <cell r="AO19">
            <v>0</v>
          </cell>
          <cell r="AQ19" t="str">
            <v>CR-000E</v>
          </cell>
        </row>
        <row r="20">
          <cell r="A20" t="str">
            <v>RLE-TEMXB</v>
          </cell>
          <cell r="B20" t="str">
            <v>Xà bông bôi trơn
潤滑皂</v>
          </cell>
          <cell r="D20" t="str">
            <v>0C</v>
          </cell>
          <cell r="E20" t="str">
            <v>80~90OC</v>
          </cell>
          <cell r="H20">
            <v>0</v>
          </cell>
          <cell r="K20">
            <v>0</v>
          </cell>
          <cell r="N20">
            <v>0</v>
          </cell>
          <cell r="Q20">
            <v>0</v>
          </cell>
          <cell r="T20">
            <v>0</v>
          </cell>
          <cell r="W20">
            <v>0</v>
          </cell>
          <cell r="Z20">
            <v>0</v>
          </cell>
          <cell r="AC20">
            <v>0</v>
          </cell>
          <cell r="AF20">
            <v>0</v>
          </cell>
          <cell r="AI20">
            <v>0</v>
          </cell>
          <cell r="AL20">
            <v>0</v>
          </cell>
          <cell r="AO20">
            <v>0</v>
          </cell>
          <cell r="AQ20" t="str">
            <v>CR-000E</v>
          </cell>
        </row>
        <row r="22">
          <cell r="A22" t="str">
            <v>生產線別：洗料G 線 (rửa liệu máy G)</v>
          </cell>
          <cell r="F22" t="str">
            <v>Kết quả kiểm tra 檢查結果</v>
          </cell>
          <cell r="H22" t="str">
            <v>Kết quả kiểm tra 檢查結果</v>
          </cell>
        </row>
        <row r="23">
          <cell r="B23" t="str">
            <v>Hạng mục kiểm tra nồng dộ
化驗檢查項目</v>
          </cell>
          <cell r="D23" t="str">
            <v>Đơn vị
單位</v>
          </cell>
          <cell r="E23" t="str">
            <v>Tiêu chuẩn
控制範圍</v>
          </cell>
          <cell r="H23" t="str">
            <v>8:00</v>
          </cell>
          <cell r="N23" t="str">
            <v>12:30</v>
          </cell>
          <cell r="T23" t="str">
            <v>16:00</v>
          </cell>
          <cell r="Z23" t="str">
            <v>20:00</v>
          </cell>
          <cell r="AF23" t="str">
            <v>01:00</v>
          </cell>
          <cell r="AL23" t="str">
            <v>04:00</v>
          </cell>
        </row>
        <row r="24">
          <cell r="A24" t="str">
            <v>MÃ</v>
          </cell>
          <cell r="F24" t="str">
            <v>t/chuan</v>
          </cell>
          <cell r="H24" t="str">
            <v>濃度 g/L</v>
          </cell>
          <cell r="I24" t="str">
            <v>補充 BS</v>
          </cell>
          <cell r="J24" t="str">
            <v>補充 BS</v>
          </cell>
          <cell r="N24" t="str">
            <v>濃度 g/L</v>
          </cell>
          <cell r="O24" t="str">
            <v>補充 BS</v>
          </cell>
          <cell r="P24" t="str">
            <v>補充 BS</v>
          </cell>
          <cell r="T24" t="str">
            <v>濃度 g/L</v>
          </cell>
          <cell r="U24" t="str">
            <v>補充 BS</v>
          </cell>
          <cell r="V24" t="str">
            <v>補充 BS</v>
          </cell>
          <cell r="Z24" t="str">
            <v>濃度 g/L</v>
          </cell>
          <cell r="AA24" t="str">
            <v>補充 BS</v>
          </cell>
          <cell r="AB24" t="str">
            <v>補充 BS</v>
          </cell>
          <cell r="AF24" t="str">
            <v>濃度 g/L</v>
          </cell>
          <cell r="AG24" t="str">
            <v>補充 BS</v>
          </cell>
          <cell r="AH24" t="str">
            <v>補充 BS</v>
          </cell>
          <cell r="AL24" t="str">
            <v>濃度 g/L</v>
          </cell>
          <cell r="AM24" t="str">
            <v>補充 BS</v>
          </cell>
          <cell r="AN24" t="str">
            <v>補充 BS</v>
          </cell>
        </row>
        <row r="25">
          <cell r="A25" t="str">
            <v>RLG-KD</v>
          </cell>
          <cell r="B25" t="str">
            <v>Khử dầu
脫脂</v>
          </cell>
          <cell r="D25" t="str">
            <v>Point</v>
          </cell>
          <cell r="E25" t="str">
            <v>30 – 50 (40)</v>
          </cell>
          <cell r="F25">
            <v>40</v>
          </cell>
          <cell r="G25">
            <v>3.9</v>
          </cell>
          <cell r="H25">
            <v>39</v>
          </cell>
          <cell r="I25">
            <v>2.33</v>
          </cell>
          <cell r="J25" t="str">
            <v>+</v>
          </cell>
          <cell r="K25">
            <v>2.33</v>
          </cell>
          <cell r="L25" t="str">
            <v>kg</v>
          </cell>
          <cell r="M25">
            <v>3.7</v>
          </cell>
          <cell r="N25">
            <v>37</v>
          </cell>
          <cell r="O25">
            <v>6.99</v>
          </cell>
          <cell r="P25" t="str">
            <v>+</v>
          </cell>
          <cell r="Q25">
            <v>6.99</v>
          </cell>
          <cell r="R25" t="str">
            <v>kg</v>
          </cell>
          <cell r="S25">
            <v>3.8</v>
          </cell>
          <cell r="T25">
            <v>38</v>
          </cell>
          <cell r="U25">
            <v>4.66</v>
          </cell>
          <cell r="V25" t="str">
            <v>+</v>
          </cell>
          <cell r="W25">
            <v>4.66</v>
          </cell>
          <cell r="X25" t="str">
            <v>kg</v>
          </cell>
          <cell r="Y25">
            <v>4.2</v>
          </cell>
          <cell r="Z25">
            <v>42</v>
          </cell>
          <cell r="AA25">
            <v>-4.66</v>
          </cell>
          <cell r="AB25" t="str">
            <v>+</v>
          </cell>
          <cell r="AC25">
            <v>0</v>
          </cell>
          <cell r="AD25" t="str">
            <v>kg</v>
          </cell>
          <cell r="AE25">
            <v>3.9</v>
          </cell>
          <cell r="AF25">
            <v>39</v>
          </cell>
          <cell r="AG25">
            <v>2.33</v>
          </cell>
          <cell r="AH25" t="str">
            <v>+</v>
          </cell>
          <cell r="AI25">
            <v>2.33</v>
          </cell>
          <cell r="AJ25" t="str">
            <v>kg</v>
          </cell>
          <cell r="AK25">
            <v>3.8</v>
          </cell>
          <cell r="AL25">
            <v>38</v>
          </cell>
          <cell r="AM25">
            <v>4.66</v>
          </cell>
          <cell r="AN25" t="str">
            <v>+</v>
          </cell>
          <cell r="AO25">
            <v>4.66</v>
          </cell>
          <cell r="AP25" t="str">
            <v>kg</v>
          </cell>
          <cell r="AQ25" t="str">
            <v>CR-000C</v>
          </cell>
        </row>
        <row r="26">
          <cell r="A26" t="str">
            <v>RLG-HCL1</v>
          </cell>
          <cell r="B26" t="str">
            <v>Rua acid  鹽酸洗槽</v>
          </cell>
          <cell r="D26" t="str">
            <v>%</v>
          </cell>
          <cell r="E26" t="str">
            <v>10~15%  (12.5%)</v>
          </cell>
          <cell r="F26">
            <v>12.5</v>
          </cell>
          <cell r="G26">
            <v>3.5</v>
          </cell>
          <cell r="H26">
            <v>12.775</v>
          </cell>
          <cell r="I26">
            <v>-22.386718750000028</v>
          </cell>
          <cell r="J26" t="str">
            <v>+</v>
          </cell>
          <cell r="K26">
            <v>0</v>
          </cell>
          <cell r="L26" t="str">
            <v>L</v>
          </cell>
          <cell r="M26">
            <v>2.9</v>
          </cell>
          <cell r="N26">
            <v>10.584999999999999</v>
          </cell>
          <cell r="O26">
            <v>155.89296875000008</v>
          </cell>
          <cell r="P26" t="str">
            <v>+</v>
          </cell>
          <cell r="Q26">
            <v>155.89296875000008</v>
          </cell>
          <cell r="R26" t="str">
            <v>L</v>
          </cell>
          <cell r="S26">
            <v>2.8</v>
          </cell>
          <cell r="T26">
            <v>10.219999999999999</v>
          </cell>
          <cell r="U26">
            <v>185.6062500000001</v>
          </cell>
          <cell r="V26" t="str">
            <v>+</v>
          </cell>
          <cell r="W26">
            <v>185.6062500000001</v>
          </cell>
          <cell r="X26" t="str">
            <v>L</v>
          </cell>
          <cell r="Y26">
            <v>3.7</v>
          </cell>
          <cell r="Z26">
            <v>13.505000000000001</v>
          </cell>
          <cell r="AA26">
            <v>-81.81328125000006</v>
          </cell>
          <cell r="AB26" t="str">
            <v>+</v>
          </cell>
          <cell r="AC26">
            <v>0</v>
          </cell>
          <cell r="AD26" t="str">
            <v>L</v>
          </cell>
          <cell r="AE26">
            <v>3.2</v>
          </cell>
          <cell r="AF26">
            <v>11.680000000000001</v>
          </cell>
          <cell r="AG26">
            <v>66.753124999999883</v>
          </cell>
          <cell r="AH26" t="str">
            <v>+</v>
          </cell>
          <cell r="AI26">
            <v>66.753124999999883</v>
          </cell>
          <cell r="AJ26" t="str">
            <v>L</v>
          </cell>
          <cell r="AK26">
            <v>3.1</v>
          </cell>
          <cell r="AL26">
            <v>11.315000000000001</v>
          </cell>
          <cell r="AM26">
            <v>96.466406249999892</v>
          </cell>
          <cell r="AN26" t="str">
            <v>+</v>
          </cell>
          <cell r="AO26">
            <v>96.466406249999892</v>
          </cell>
          <cell r="AP26" t="str">
            <v>L</v>
          </cell>
          <cell r="AQ26" t="str">
            <v>CR-000C</v>
          </cell>
        </row>
        <row r="27">
          <cell r="A27" t="str">
            <v>RLG-PPTA</v>
          </cell>
          <cell r="B27" t="str">
            <v>Muối axit Phosphoric  (TA)
磷酸鹽</v>
          </cell>
          <cell r="D27" t="str">
            <v>Point</v>
          </cell>
          <cell r="E27" t="str">
            <v>Tổng chua TA  全酸
40~60 (50)</v>
          </cell>
          <cell r="F27">
            <v>50</v>
          </cell>
          <cell r="G27">
            <v>5.6</v>
          </cell>
          <cell r="H27">
            <v>56</v>
          </cell>
          <cell r="I27">
            <v>-29.61</v>
          </cell>
          <cell r="J27" t="str">
            <v>+</v>
          </cell>
          <cell r="K27">
            <v>0</v>
          </cell>
          <cell r="L27" t="str">
            <v>kg</v>
          </cell>
          <cell r="M27">
            <v>5.7</v>
          </cell>
          <cell r="N27">
            <v>57</v>
          </cell>
          <cell r="O27">
            <v>-34.545000000000002</v>
          </cell>
          <cell r="P27" t="str">
            <v>+</v>
          </cell>
          <cell r="Q27">
            <v>0</v>
          </cell>
          <cell r="R27" t="str">
            <v>kg</v>
          </cell>
          <cell r="S27">
            <v>5.0999999999999996</v>
          </cell>
          <cell r="T27">
            <v>51</v>
          </cell>
          <cell r="U27">
            <v>-4.9349999999999996</v>
          </cell>
          <cell r="V27" t="str">
            <v>+</v>
          </cell>
          <cell r="W27">
            <v>0</v>
          </cell>
          <cell r="X27" t="str">
            <v>kg</v>
          </cell>
          <cell r="Y27">
            <v>5</v>
          </cell>
          <cell r="Z27">
            <v>50</v>
          </cell>
          <cell r="AA27">
            <v>0</v>
          </cell>
          <cell r="AB27" t="str">
            <v>+</v>
          </cell>
          <cell r="AC27">
            <v>0</v>
          </cell>
          <cell r="AD27" t="str">
            <v>kg</v>
          </cell>
          <cell r="AE27">
            <v>5</v>
          </cell>
          <cell r="AF27">
            <v>50</v>
          </cell>
          <cell r="AG27">
            <v>0</v>
          </cell>
          <cell r="AH27" t="str">
            <v>+</v>
          </cell>
          <cell r="AI27">
            <v>0</v>
          </cell>
          <cell r="AJ27" t="str">
            <v>kg</v>
          </cell>
          <cell r="AK27">
            <v>5</v>
          </cell>
          <cell r="AL27">
            <v>50</v>
          </cell>
          <cell r="AM27">
            <v>0</v>
          </cell>
          <cell r="AN27" t="str">
            <v>+</v>
          </cell>
          <cell r="AO27">
            <v>0</v>
          </cell>
          <cell r="AP27" t="str">
            <v>kg</v>
          </cell>
          <cell r="AQ27" t="str">
            <v>CR-000C</v>
          </cell>
        </row>
        <row r="28">
          <cell r="A28" t="str">
            <v>RLG-PPAX</v>
          </cell>
          <cell r="B28" t="str">
            <v>Muối axit Phosphoric  (tỷ lệ axit)
磷酸鹽</v>
          </cell>
          <cell r="D28" t="str">
            <v>Point</v>
          </cell>
          <cell r="E28" t="str">
            <v>tỷ lệ axit  酸比 
5.2~7.8 (6.5)</v>
          </cell>
          <cell r="F28">
            <v>6.5</v>
          </cell>
          <cell r="G28">
            <v>7.6</v>
          </cell>
          <cell r="H28">
            <v>7.3684210526315796</v>
          </cell>
          <cell r="I28">
            <v>-4.2856578947368451</v>
          </cell>
          <cell r="K28">
            <v>0</v>
          </cell>
          <cell r="L28" t="str">
            <v>kg</v>
          </cell>
          <cell r="M28">
            <v>6.3</v>
          </cell>
          <cell r="N28">
            <v>9.0476190476190474</v>
          </cell>
          <cell r="O28">
            <v>-12.5725</v>
          </cell>
          <cell r="Q28">
            <v>0</v>
          </cell>
          <cell r="R28" t="str">
            <v>kg</v>
          </cell>
          <cell r="S28">
            <v>4.7</v>
          </cell>
          <cell r="T28">
            <v>10.851063829787234</v>
          </cell>
          <cell r="U28">
            <v>-21.4725</v>
          </cell>
          <cell r="W28">
            <v>0</v>
          </cell>
          <cell r="X28" t="str">
            <v>kg</v>
          </cell>
          <cell r="Y28">
            <v>7</v>
          </cell>
          <cell r="Z28">
            <v>7.1428571428571432</v>
          </cell>
          <cell r="AA28">
            <v>-3.1725000000000017</v>
          </cell>
          <cell r="AC28">
            <v>0</v>
          </cell>
          <cell r="AD28" t="str">
            <v>kg</v>
          </cell>
          <cell r="AE28">
            <v>5.4</v>
          </cell>
          <cell r="AF28">
            <v>9.2592592592592595</v>
          </cell>
          <cell r="AG28">
            <v>-13.616944444444446</v>
          </cell>
          <cell r="AI28">
            <v>0</v>
          </cell>
          <cell r="AJ28" t="str">
            <v>kg</v>
          </cell>
          <cell r="AK28">
            <v>6</v>
          </cell>
          <cell r="AL28">
            <v>8.3333333333333339</v>
          </cell>
          <cell r="AM28">
            <v>-9.047500000000003</v>
          </cell>
          <cell r="AO28">
            <v>0</v>
          </cell>
          <cell r="AP28" t="str">
            <v>kg</v>
          </cell>
          <cell r="AQ28" t="str">
            <v>CR-000C</v>
          </cell>
        </row>
        <row r="29">
          <cell r="A29" t="str">
            <v>RLG-PPPL</v>
          </cell>
          <cell r="B29" t="str">
            <v>Muối axit Phosphoric (Fe phân ly) 
磷酸鹽</v>
          </cell>
          <cell r="D29" t="str">
            <v>Point</v>
          </cell>
          <cell r="E29" t="str">
            <v xml:space="preserve">Fe phân ly &lt;0.4
 鐵離子&lt;0.4
</v>
          </cell>
          <cell r="F29">
            <v>0.4</v>
          </cell>
          <cell r="G29">
            <v>0.26</v>
          </cell>
          <cell r="H29">
            <v>0.26</v>
          </cell>
          <cell r="M29">
            <v>0.72</v>
          </cell>
          <cell r="N29">
            <v>0.72</v>
          </cell>
          <cell r="S29">
            <v>1.32</v>
          </cell>
          <cell r="T29">
            <v>1.32</v>
          </cell>
          <cell r="Y29">
            <v>0.34</v>
          </cell>
          <cell r="Z29">
            <v>0.34</v>
          </cell>
          <cell r="AE29">
            <v>0.9</v>
          </cell>
          <cell r="AF29">
            <v>0.9</v>
          </cell>
          <cell r="AK29">
            <v>0.9</v>
          </cell>
          <cell r="AL29">
            <v>0.9</v>
          </cell>
          <cell r="AQ29" t="str">
            <v>CR-000C</v>
          </cell>
        </row>
        <row r="30">
          <cell r="A30" t="str">
            <v>RLG-XB</v>
          </cell>
          <cell r="B30" t="str">
            <v>Xà bông bôi trơn
潤滑皂</v>
          </cell>
          <cell r="D30" t="str">
            <v>Point</v>
          </cell>
          <cell r="E30" t="str">
            <v>0.8~1.2</v>
          </cell>
          <cell r="F30">
            <v>1</v>
          </cell>
          <cell r="G30">
            <v>0.95</v>
          </cell>
          <cell r="H30">
            <v>0.95</v>
          </cell>
          <cell r="I30">
            <v>6.1700000000000053E-2</v>
          </cell>
          <cell r="J30" t="str">
            <v>+</v>
          </cell>
          <cell r="K30">
            <v>6.1700000000000053E-2</v>
          </cell>
          <cell r="L30" t="str">
            <v>kg</v>
          </cell>
          <cell r="M30">
            <v>0.9</v>
          </cell>
          <cell r="N30">
            <v>0.9</v>
          </cell>
          <cell r="O30">
            <v>0.12339999999999998</v>
          </cell>
          <cell r="P30" t="str">
            <v>+</v>
          </cell>
          <cell r="Q30">
            <v>0.12339999999999998</v>
          </cell>
          <cell r="R30" t="str">
            <v>kg</v>
          </cell>
          <cell r="S30">
            <v>0.95</v>
          </cell>
          <cell r="T30">
            <v>0.95</v>
          </cell>
          <cell r="U30">
            <v>6.1700000000000053E-2</v>
          </cell>
          <cell r="V30" t="str">
            <v>+</v>
          </cell>
          <cell r="W30">
            <v>6.1700000000000053E-2</v>
          </cell>
          <cell r="X30" t="str">
            <v>kg</v>
          </cell>
          <cell r="Y30">
            <v>0.9</v>
          </cell>
          <cell r="Z30">
            <v>0.9</v>
          </cell>
          <cell r="AA30">
            <v>0.12339999999999998</v>
          </cell>
          <cell r="AB30" t="str">
            <v>+</v>
          </cell>
          <cell r="AC30">
            <v>0.12339999999999998</v>
          </cell>
          <cell r="AD30" t="str">
            <v>kg</v>
          </cell>
          <cell r="AE30">
            <v>0.9</v>
          </cell>
          <cell r="AF30">
            <v>0.9</v>
          </cell>
          <cell r="AG30">
            <v>0.12339999999999998</v>
          </cell>
          <cell r="AH30" t="str">
            <v>+</v>
          </cell>
          <cell r="AI30">
            <v>0.12339999999999998</v>
          </cell>
          <cell r="AJ30" t="str">
            <v>kg</v>
          </cell>
          <cell r="AK30">
            <v>8</v>
          </cell>
          <cell r="AL30">
            <v>8</v>
          </cell>
          <cell r="AM30">
            <v>-8.6379999999999999</v>
          </cell>
          <cell r="AN30" t="str">
            <v>+</v>
          </cell>
          <cell r="AO30">
            <v>0</v>
          </cell>
          <cell r="AP30" t="str">
            <v>kg</v>
          </cell>
          <cell r="AQ30" t="str">
            <v>CR-000C</v>
          </cell>
        </row>
        <row r="31">
          <cell r="A31" t="str">
            <v>RLG-XBPH</v>
          </cell>
          <cell r="B31" t="str">
            <v>pH</v>
          </cell>
          <cell r="D31" t="str">
            <v>pH</v>
          </cell>
          <cell r="E31" t="str">
            <v>8~10</v>
          </cell>
          <cell r="F31">
            <v>9.5</v>
          </cell>
          <cell r="G31">
            <v>10</v>
          </cell>
          <cell r="H31">
            <v>10</v>
          </cell>
          <cell r="M31">
            <v>9.5</v>
          </cell>
          <cell r="N31">
            <v>9.5</v>
          </cell>
          <cell r="S31">
            <v>9.5</v>
          </cell>
          <cell r="T31">
            <v>9.5</v>
          </cell>
          <cell r="Y31">
            <v>9.5</v>
          </cell>
          <cell r="Z31">
            <v>9.5</v>
          </cell>
          <cell r="AE31">
            <v>9</v>
          </cell>
          <cell r="AF31">
            <v>9</v>
          </cell>
          <cell r="AK31">
            <v>0</v>
          </cell>
          <cell r="AL31">
            <v>0</v>
          </cell>
          <cell r="AQ31" t="str">
            <v>CR-000C</v>
          </cell>
        </row>
        <row r="32">
          <cell r="A32" t="str">
            <v>Hạng mục kiểm tra nhiệt độ 檢查溫度</v>
          </cell>
        </row>
        <row r="33">
          <cell r="A33" t="str">
            <v>MÃ</v>
          </cell>
          <cell r="B33" t="str">
            <v>Hạng mục kiểm tra nhiệt độ
溫度檢查項目</v>
          </cell>
          <cell r="D33" t="str">
            <v>nhiệt độ
溫度</v>
          </cell>
          <cell r="E33" t="str">
            <v>Tiêu chuẩn
控制範圍</v>
          </cell>
          <cell r="H33" t="str">
            <v>Nhiệt kế 
温度計</v>
          </cell>
          <cell r="K33" t="str">
            <v>Nhiệt tự động
自動温控</v>
          </cell>
          <cell r="N33" t="str">
            <v>Nhiệt kế 
温度計</v>
          </cell>
          <cell r="Q33" t="str">
            <v>Nhiệt tự động
自動温控</v>
          </cell>
          <cell r="T33" t="str">
            <v>Nhiệt kế 
温度計</v>
          </cell>
          <cell r="W33" t="str">
            <v>Nhiệt tự động
自動温控</v>
          </cell>
          <cell r="Z33" t="str">
            <v>Nhiệt kế 
温度計</v>
          </cell>
          <cell r="AC33" t="str">
            <v>Nhiệt tự động
自動温控</v>
          </cell>
          <cell r="AF33" t="str">
            <v>Nhiệt kế 
温度計</v>
          </cell>
          <cell r="AI33" t="str">
            <v>Nhiệt tự động
自動温控</v>
          </cell>
          <cell r="AL33" t="str">
            <v>Nhiệt kế 
温度計</v>
          </cell>
          <cell r="AO33" t="str">
            <v>Nhiệt tự động
自動温控</v>
          </cell>
        </row>
        <row r="34">
          <cell r="A34" t="str">
            <v>RLG-TEMKD</v>
          </cell>
          <cell r="B34" t="str">
            <v>Khử dầu 
脫脂</v>
          </cell>
          <cell r="D34" t="str">
            <v>0C</v>
          </cell>
          <cell r="E34" t="str">
            <v>55~65OC</v>
          </cell>
          <cell r="H34">
            <v>0</v>
          </cell>
          <cell r="K34">
            <v>64</v>
          </cell>
          <cell r="N34">
            <v>0</v>
          </cell>
          <cell r="Q34">
            <v>65</v>
          </cell>
          <cell r="T34">
            <v>0</v>
          </cell>
          <cell r="W34">
            <v>64</v>
          </cell>
          <cell r="Z34">
            <v>0</v>
          </cell>
          <cell r="AC34">
            <v>66</v>
          </cell>
          <cell r="AF34">
            <v>0</v>
          </cell>
          <cell r="AI34">
            <v>64</v>
          </cell>
          <cell r="AL34">
            <v>0</v>
          </cell>
          <cell r="AO34">
            <v>63</v>
          </cell>
          <cell r="AQ34" t="str">
            <v>CR-000C</v>
          </cell>
        </row>
        <row r="35">
          <cell r="A35" t="str">
            <v>RLG-TEMPP</v>
          </cell>
          <cell r="B35" t="str">
            <v>Muối axit Phosphoric 
磷酸鹽</v>
          </cell>
          <cell r="D35" t="str">
            <v>0C</v>
          </cell>
          <cell r="E35" t="str">
            <v>65~85OC</v>
          </cell>
          <cell r="H35">
            <v>0</v>
          </cell>
          <cell r="K35">
            <v>67</v>
          </cell>
          <cell r="N35">
            <v>0</v>
          </cell>
          <cell r="Q35">
            <v>70</v>
          </cell>
          <cell r="T35">
            <v>0</v>
          </cell>
          <cell r="W35">
            <v>69</v>
          </cell>
          <cell r="Z35">
            <v>0</v>
          </cell>
          <cell r="AC35">
            <v>69</v>
          </cell>
          <cell r="AF35">
            <v>0</v>
          </cell>
          <cell r="AI35">
            <v>69</v>
          </cell>
          <cell r="AL35">
            <v>0</v>
          </cell>
          <cell r="AO35">
            <v>68</v>
          </cell>
          <cell r="AQ35" t="str">
            <v>CR-000C</v>
          </cell>
        </row>
        <row r="36">
          <cell r="A36" t="str">
            <v>RLG-XB</v>
          </cell>
          <cell r="B36" t="str">
            <v>xaø boâng boâi trôn 
潤滑皂</v>
          </cell>
          <cell r="D36" t="str">
            <v>0C</v>
          </cell>
          <cell r="E36" t="str">
            <v>80~90OC</v>
          </cell>
          <cell r="H36">
            <v>0</v>
          </cell>
          <cell r="K36">
            <v>86</v>
          </cell>
          <cell r="N36">
            <v>0</v>
          </cell>
          <cell r="Q36">
            <v>83</v>
          </cell>
          <cell r="T36">
            <v>0</v>
          </cell>
          <cell r="W36">
            <v>83</v>
          </cell>
          <cell r="Z36">
            <v>0</v>
          </cell>
          <cell r="AC36">
            <v>86</v>
          </cell>
          <cell r="AF36">
            <v>0</v>
          </cell>
          <cell r="AI36">
            <v>84</v>
          </cell>
          <cell r="AL36">
            <v>0</v>
          </cell>
          <cell r="AO36">
            <v>83</v>
          </cell>
          <cell r="AQ36" t="str">
            <v>CR-000C</v>
          </cell>
        </row>
        <row r="38">
          <cell r="A38" t="str">
            <v>生產線別：洗料F線 (rửa liệu máy F)</v>
          </cell>
          <cell r="F38" t="str">
            <v>Kết quả kiểm tra 檢查結果</v>
          </cell>
          <cell r="H38" t="str">
            <v>Kết quả kiểm tra 檢查結果</v>
          </cell>
        </row>
        <row r="39">
          <cell r="B39" t="str">
            <v>Hạng mục kiểm tra nồng dộ
化驗檢查項目</v>
          </cell>
          <cell r="D39" t="str">
            <v>Đơn vị
單位</v>
          </cell>
          <cell r="E39" t="str">
            <v>Tiêu chuẩn
控制範圍</v>
          </cell>
          <cell r="H39" t="str">
            <v>8:00</v>
          </cell>
          <cell r="N39" t="str">
            <v>12:30</v>
          </cell>
          <cell r="T39" t="str">
            <v>16:00</v>
          </cell>
          <cell r="Z39" t="str">
            <v>20:00</v>
          </cell>
          <cell r="AF39" t="str">
            <v>01:00</v>
          </cell>
          <cell r="AL39" t="str">
            <v>04:00</v>
          </cell>
        </row>
        <row r="40">
          <cell r="A40" t="str">
            <v>MÃ</v>
          </cell>
          <cell r="F40" t="str">
            <v>t/chuan</v>
          </cell>
          <cell r="H40" t="str">
            <v>濃度 g/L</v>
          </cell>
          <cell r="I40" t="str">
            <v>補充 BS</v>
          </cell>
          <cell r="J40" t="str">
            <v>補充 BS</v>
          </cell>
          <cell r="N40" t="str">
            <v>濃度 g/L</v>
          </cell>
          <cell r="O40" t="str">
            <v>補充 BS</v>
          </cell>
          <cell r="P40" t="str">
            <v>補充 BS</v>
          </cell>
          <cell r="T40" t="str">
            <v>濃度 g/L</v>
          </cell>
          <cell r="U40" t="str">
            <v>補充 BS</v>
          </cell>
          <cell r="V40" t="str">
            <v>補充 BS</v>
          </cell>
          <cell r="Z40" t="str">
            <v>濃度 g/L</v>
          </cell>
          <cell r="AA40" t="str">
            <v>補充 BS</v>
          </cell>
          <cell r="AB40" t="str">
            <v>補充 BS</v>
          </cell>
          <cell r="AF40" t="str">
            <v>濃度 g/L</v>
          </cell>
          <cell r="AG40" t="str">
            <v>補充 BS</v>
          </cell>
          <cell r="AH40" t="str">
            <v>補充 BS</v>
          </cell>
          <cell r="AL40" t="str">
            <v>濃度 g/L</v>
          </cell>
          <cell r="AM40" t="str">
            <v>補充 BS</v>
          </cell>
          <cell r="AN40" t="str">
            <v>補充 BS</v>
          </cell>
        </row>
        <row r="41">
          <cell r="A41" t="str">
            <v>RLF-KD</v>
          </cell>
          <cell r="B41" t="str">
            <v>Khử dầu
脫脂</v>
          </cell>
          <cell r="D41" t="str">
            <v>Point</v>
          </cell>
          <cell r="E41" t="str">
            <v>30 – 50 (40)</v>
          </cell>
          <cell r="F41">
            <v>40</v>
          </cell>
          <cell r="G41">
            <v>0</v>
          </cell>
          <cell r="H41">
            <v>0</v>
          </cell>
          <cell r="I41">
            <v>93.2</v>
          </cell>
          <cell r="J41" t="str">
            <v>+</v>
          </cell>
          <cell r="K41">
            <v>0</v>
          </cell>
          <cell r="L41" t="str">
            <v>kg</v>
          </cell>
          <cell r="M41">
            <v>0</v>
          </cell>
          <cell r="N41">
            <v>0</v>
          </cell>
          <cell r="O41">
            <v>93.2</v>
          </cell>
          <cell r="P41" t="str">
            <v>+</v>
          </cell>
          <cell r="Q41">
            <v>0</v>
          </cell>
          <cell r="R41" t="str">
            <v>kg</v>
          </cell>
          <cell r="S41">
            <v>0</v>
          </cell>
          <cell r="T41">
            <v>0</v>
          </cell>
          <cell r="U41">
            <v>93.2</v>
          </cell>
          <cell r="V41" t="str">
            <v>+</v>
          </cell>
          <cell r="W41">
            <v>0</v>
          </cell>
          <cell r="X41" t="str">
            <v>kg</v>
          </cell>
          <cell r="Y41">
            <v>0</v>
          </cell>
          <cell r="Z41">
            <v>0</v>
          </cell>
          <cell r="AA41">
            <v>93.2</v>
          </cell>
          <cell r="AB41" t="str">
            <v>+</v>
          </cell>
          <cell r="AC41">
            <v>0</v>
          </cell>
          <cell r="AD41" t="str">
            <v>kg</v>
          </cell>
          <cell r="AE41">
            <v>0</v>
          </cell>
          <cell r="AF41">
            <v>0</v>
          </cell>
          <cell r="AG41">
            <v>93.2</v>
          </cell>
          <cell r="AH41" t="str">
            <v>+</v>
          </cell>
          <cell r="AI41">
            <v>0</v>
          </cell>
          <cell r="AJ41" t="str">
            <v>kg</v>
          </cell>
          <cell r="AK41">
            <v>0</v>
          </cell>
          <cell r="AL41">
            <v>0</v>
          </cell>
          <cell r="AM41">
            <v>93.2</v>
          </cell>
          <cell r="AN41" t="str">
            <v>+</v>
          </cell>
          <cell r="AO41">
            <v>0</v>
          </cell>
          <cell r="AP41" t="str">
            <v>kg</v>
          </cell>
          <cell r="AQ41" t="str">
            <v>CR-000D</v>
          </cell>
        </row>
        <row r="42">
          <cell r="A42" t="str">
            <v>RLF-HCL1</v>
          </cell>
          <cell r="B42" t="str">
            <v>Rua acid 鹽酸洗槽</v>
          </cell>
          <cell r="D42" t="str">
            <v>%</v>
          </cell>
          <cell r="E42" t="str">
            <v>10~15%  (12.5%)</v>
          </cell>
          <cell r="F42">
            <v>12.5</v>
          </cell>
          <cell r="G42">
            <v>0</v>
          </cell>
          <cell r="H42">
            <v>0</v>
          </cell>
          <cell r="I42">
            <v>1017.578125</v>
          </cell>
          <cell r="J42" t="str">
            <v>+</v>
          </cell>
          <cell r="K42">
            <v>0</v>
          </cell>
          <cell r="L42" t="str">
            <v>L</v>
          </cell>
          <cell r="M42">
            <v>0</v>
          </cell>
          <cell r="N42">
            <v>0</v>
          </cell>
          <cell r="O42">
            <v>1017.578125</v>
          </cell>
          <cell r="P42" t="str">
            <v>+</v>
          </cell>
          <cell r="Q42">
            <v>0</v>
          </cell>
          <cell r="R42" t="str">
            <v>L</v>
          </cell>
          <cell r="S42">
            <v>0</v>
          </cell>
          <cell r="T42">
            <v>0</v>
          </cell>
          <cell r="U42">
            <v>1017.578125</v>
          </cell>
          <cell r="V42" t="str">
            <v>+</v>
          </cell>
          <cell r="W42">
            <v>0</v>
          </cell>
          <cell r="X42" t="str">
            <v>L</v>
          </cell>
          <cell r="Y42">
            <v>0</v>
          </cell>
          <cell r="Z42">
            <v>0</v>
          </cell>
          <cell r="AA42">
            <v>1017.578125</v>
          </cell>
          <cell r="AB42" t="str">
            <v>+</v>
          </cell>
          <cell r="AC42">
            <v>0</v>
          </cell>
          <cell r="AD42" t="str">
            <v>L</v>
          </cell>
          <cell r="AE42">
            <v>0</v>
          </cell>
          <cell r="AF42">
            <v>0</v>
          </cell>
          <cell r="AG42">
            <v>1017.578125</v>
          </cell>
          <cell r="AH42" t="str">
            <v>+</v>
          </cell>
          <cell r="AI42">
            <v>0</v>
          </cell>
          <cell r="AJ42" t="str">
            <v>L</v>
          </cell>
          <cell r="AK42">
            <v>0</v>
          </cell>
          <cell r="AL42">
            <v>0</v>
          </cell>
          <cell r="AM42">
            <v>1017.578125</v>
          </cell>
          <cell r="AN42" t="str">
            <v>+</v>
          </cell>
          <cell r="AO42">
            <v>0</v>
          </cell>
          <cell r="AP42" t="str">
            <v>L</v>
          </cell>
          <cell r="AQ42" t="str">
            <v>CR-000D</v>
          </cell>
        </row>
        <row r="43">
          <cell r="A43" t="str">
            <v>RLF-PP1TA</v>
          </cell>
          <cell r="B43" t="str">
            <v>Muối axit Phosphoric  (TA)
磷酸鹽</v>
          </cell>
          <cell r="D43" t="str">
            <v>Point</v>
          </cell>
          <cell r="E43" t="str">
            <v>Tổng chua TA  全酸
40~60 (50)</v>
          </cell>
          <cell r="F43">
            <v>50</v>
          </cell>
          <cell r="G43">
            <v>0</v>
          </cell>
          <cell r="H43">
            <v>0</v>
          </cell>
          <cell r="I43">
            <v>246.75</v>
          </cell>
          <cell r="J43" t="str">
            <v>+</v>
          </cell>
          <cell r="K43">
            <v>0</v>
          </cell>
          <cell r="L43" t="str">
            <v>kg</v>
          </cell>
          <cell r="M43">
            <v>0</v>
          </cell>
          <cell r="N43">
            <v>0</v>
          </cell>
          <cell r="O43">
            <v>246.75</v>
          </cell>
          <cell r="P43" t="str">
            <v>+</v>
          </cell>
          <cell r="Q43">
            <v>0</v>
          </cell>
          <cell r="R43" t="str">
            <v>kg</v>
          </cell>
          <cell r="S43">
            <v>0</v>
          </cell>
          <cell r="T43">
            <v>0</v>
          </cell>
          <cell r="U43">
            <v>246.75</v>
          </cell>
          <cell r="V43" t="str">
            <v>+</v>
          </cell>
          <cell r="W43">
            <v>0</v>
          </cell>
          <cell r="X43" t="str">
            <v>kg</v>
          </cell>
          <cell r="Y43">
            <v>0</v>
          </cell>
          <cell r="Z43">
            <v>0</v>
          </cell>
          <cell r="AA43">
            <v>246.75</v>
          </cell>
          <cell r="AB43" t="str">
            <v>+</v>
          </cell>
          <cell r="AC43">
            <v>0</v>
          </cell>
          <cell r="AD43" t="str">
            <v>kg</v>
          </cell>
          <cell r="AE43">
            <v>0</v>
          </cell>
          <cell r="AF43">
            <v>0</v>
          </cell>
          <cell r="AG43">
            <v>246.75</v>
          </cell>
          <cell r="AH43" t="str">
            <v>+</v>
          </cell>
          <cell r="AI43">
            <v>0</v>
          </cell>
          <cell r="AJ43" t="str">
            <v>kg</v>
          </cell>
          <cell r="AK43">
            <v>0</v>
          </cell>
          <cell r="AL43">
            <v>0</v>
          </cell>
          <cell r="AM43">
            <v>246.75</v>
          </cell>
          <cell r="AN43" t="str">
            <v>+</v>
          </cell>
          <cell r="AO43">
            <v>0</v>
          </cell>
          <cell r="AP43" t="str">
            <v>kg</v>
          </cell>
          <cell r="AQ43" t="str">
            <v>CR-000D</v>
          </cell>
        </row>
        <row r="44">
          <cell r="A44" t="str">
            <v>RLF-PP1AX</v>
          </cell>
          <cell r="B44" t="str">
            <v>Muối axit Phosphoric  (tỷ lệ axit)
磷酸鹽</v>
          </cell>
          <cell r="D44" t="str">
            <v>Point</v>
          </cell>
          <cell r="E44" t="str">
            <v>tỷ lệ axit  酸比 
5.2~7.8 (6.5)</v>
          </cell>
          <cell r="F44">
            <v>6.5</v>
          </cell>
          <cell r="G44">
            <v>0</v>
          </cell>
          <cell r="H44">
            <v>0</v>
          </cell>
          <cell r="I44">
            <v>32.077500000000001</v>
          </cell>
          <cell r="K44">
            <v>0</v>
          </cell>
          <cell r="L44" t="str">
            <v>kg</v>
          </cell>
          <cell r="M44">
            <v>0</v>
          </cell>
          <cell r="N44">
            <v>0</v>
          </cell>
          <cell r="O44">
            <v>32.077500000000001</v>
          </cell>
          <cell r="Q44">
            <v>0</v>
          </cell>
          <cell r="R44" t="str">
            <v>kg</v>
          </cell>
          <cell r="S44">
            <v>0</v>
          </cell>
          <cell r="T44">
            <v>0</v>
          </cell>
          <cell r="U44">
            <v>32.077500000000001</v>
          </cell>
          <cell r="W44">
            <v>0</v>
          </cell>
          <cell r="X44" t="str">
            <v>kg</v>
          </cell>
          <cell r="Y44">
            <v>0</v>
          </cell>
          <cell r="Z44">
            <v>0</v>
          </cell>
          <cell r="AA44">
            <v>32.077500000000001</v>
          </cell>
          <cell r="AC44">
            <v>0</v>
          </cell>
          <cell r="AD44" t="str">
            <v>kg</v>
          </cell>
          <cell r="AE44">
            <v>0</v>
          </cell>
          <cell r="AF44">
            <v>0</v>
          </cell>
          <cell r="AG44">
            <v>32.077500000000001</v>
          </cell>
          <cell r="AI44">
            <v>0</v>
          </cell>
          <cell r="AJ44" t="str">
            <v>kg</v>
          </cell>
          <cell r="AK44">
            <v>0</v>
          </cell>
          <cell r="AL44">
            <v>0</v>
          </cell>
          <cell r="AM44">
            <v>32.077500000000001</v>
          </cell>
          <cell r="AO44">
            <v>0</v>
          </cell>
          <cell r="AP44" t="str">
            <v>kg</v>
          </cell>
          <cell r="AQ44" t="str">
            <v>CR-000D</v>
          </cell>
        </row>
        <row r="45">
          <cell r="A45" t="str">
            <v>RLF-PP1PL</v>
          </cell>
          <cell r="B45" t="str">
            <v>Muối axit Phosphoric (Fe phân ly) 
磷酸鹽</v>
          </cell>
          <cell r="D45" t="str">
            <v>Point</v>
          </cell>
          <cell r="E45" t="str">
            <v xml:space="preserve">Fe phân ly &lt;0.4
 鐵離子&lt;0.4
</v>
          </cell>
          <cell r="F45">
            <v>0.4</v>
          </cell>
          <cell r="G45">
            <v>0</v>
          </cell>
          <cell r="H45">
            <v>0</v>
          </cell>
          <cell r="M45">
            <v>0</v>
          </cell>
          <cell r="N45">
            <v>0</v>
          </cell>
          <cell r="S45">
            <v>0</v>
          </cell>
          <cell r="T45">
            <v>0</v>
          </cell>
          <cell r="Y45">
            <v>0</v>
          </cell>
          <cell r="Z45">
            <v>0</v>
          </cell>
          <cell r="AE45">
            <v>0</v>
          </cell>
          <cell r="AF45">
            <v>0</v>
          </cell>
          <cell r="AK45">
            <v>0</v>
          </cell>
          <cell r="AL45">
            <v>0</v>
          </cell>
          <cell r="AQ45" t="str">
            <v>CR-000D</v>
          </cell>
        </row>
        <row r="46">
          <cell r="A46" t="str">
            <v>RLF-XB</v>
          </cell>
          <cell r="B46" t="str">
            <v>Xà bông bôi trơn
潤滑皂</v>
          </cell>
          <cell r="D46" t="str">
            <v>Point</v>
          </cell>
          <cell r="E46" t="str">
            <v>0.8~1.2</v>
          </cell>
          <cell r="F46">
            <v>1</v>
          </cell>
          <cell r="G46">
            <v>0</v>
          </cell>
          <cell r="H46">
            <v>0</v>
          </cell>
          <cell r="I46">
            <v>1.234</v>
          </cell>
          <cell r="J46" t="str">
            <v>+</v>
          </cell>
          <cell r="K46">
            <v>0</v>
          </cell>
          <cell r="L46" t="str">
            <v>kg</v>
          </cell>
          <cell r="M46">
            <v>0</v>
          </cell>
          <cell r="N46">
            <v>0</v>
          </cell>
          <cell r="O46">
            <v>1.234</v>
          </cell>
          <cell r="P46" t="str">
            <v>+</v>
          </cell>
          <cell r="Q46">
            <v>0</v>
          </cell>
          <cell r="R46" t="str">
            <v>kg</v>
          </cell>
          <cell r="S46">
            <v>0</v>
          </cell>
          <cell r="T46">
            <v>0</v>
          </cell>
          <cell r="U46">
            <v>1.234</v>
          </cell>
          <cell r="V46" t="str">
            <v>+</v>
          </cell>
          <cell r="W46">
            <v>0</v>
          </cell>
          <cell r="X46" t="str">
            <v>kg</v>
          </cell>
          <cell r="Y46">
            <v>0</v>
          </cell>
          <cell r="Z46">
            <v>0</v>
          </cell>
          <cell r="AA46">
            <v>1.234</v>
          </cell>
          <cell r="AB46" t="str">
            <v>+</v>
          </cell>
          <cell r="AC46">
            <v>0</v>
          </cell>
          <cell r="AD46" t="str">
            <v>kg</v>
          </cell>
          <cell r="AE46">
            <v>0</v>
          </cell>
          <cell r="AF46">
            <v>0</v>
          </cell>
          <cell r="AG46">
            <v>1.234</v>
          </cell>
          <cell r="AH46" t="str">
            <v>+</v>
          </cell>
          <cell r="AI46">
            <v>0</v>
          </cell>
          <cell r="AJ46" t="str">
            <v>kg</v>
          </cell>
          <cell r="AK46">
            <v>0</v>
          </cell>
          <cell r="AL46">
            <v>0</v>
          </cell>
          <cell r="AM46">
            <v>1.234</v>
          </cell>
          <cell r="AN46" t="str">
            <v>+</v>
          </cell>
          <cell r="AO46">
            <v>0</v>
          </cell>
          <cell r="AP46" t="str">
            <v>kg</v>
          </cell>
          <cell r="AQ46" t="str">
            <v>CR-000D</v>
          </cell>
        </row>
        <row r="47">
          <cell r="A47" t="str">
            <v>RLF-XBPH</v>
          </cell>
          <cell r="B47" t="str">
            <v>pH</v>
          </cell>
          <cell r="D47" t="str">
            <v>pH</v>
          </cell>
          <cell r="E47" t="str">
            <v>8~10</v>
          </cell>
          <cell r="F47">
            <v>9.5</v>
          </cell>
          <cell r="G47">
            <v>0</v>
          </cell>
          <cell r="H47">
            <v>0</v>
          </cell>
          <cell r="M47">
            <v>0</v>
          </cell>
          <cell r="N47">
            <v>0</v>
          </cell>
          <cell r="S47">
            <v>0</v>
          </cell>
          <cell r="T47">
            <v>0</v>
          </cell>
          <cell r="Y47">
            <v>0</v>
          </cell>
          <cell r="Z47">
            <v>0</v>
          </cell>
          <cell r="AE47">
            <v>0</v>
          </cell>
          <cell r="AF47">
            <v>0</v>
          </cell>
          <cell r="AK47">
            <v>0</v>
          </cell>
          <cell r="AL47">
            <v>0</v>
          </cell>
          <cell r="AQ47" t="str">
            <v>CR-000D</v>
          </cell>
        </row>
        <row r="48">
          <cell r="A48" t="str">
            <v>Hạng mục kiểm tra nhiệt độ 檢查溫度</v>
          </cell>
        </row>
        <row r="49">
          <cell r="A49" t="str">
            <v>MÃ</v>
          </cell>
          <cell r="B49" t="str">
            <v>Hạng mục kiểm tra nhiệt độ
溫度檢查項目</v>
          </cell>
          <cell r="D49" t="str">
            <v>nhiệt độ
溫度</v>
          </cell>
          <cell r="E49" t="str">
            <v>Tiêu chuẩn
控制範圍</v>
          </cell>
          <cell r="H49" t="str">
            <v>Nhiệt kế 
温度計</v>
          </cell>
          <cell r="K49" t="str">
            <v>Nhiệt tự động
自動温控</v>
          </cell>
          <cell r="N49" t="str">
            <v>Nhiệt kế 
温度計</v>
          </cell>
          <cell r="Q49" t="str">
            <v>Nhiệt tự động
自動温控</v>
          </cell>
          <cell r="T49" t="str">
            <v>Nhiệt kế 
温度計</v>
          </cell>
          <cell r="W49" t="str">
            <v>Nhiệt tự động
自動温控</v>
          </cell>
          <cell r="Z49" t="str">
            <v>Nhiệt kế 
温度計</v>
          </cell>
          <cell r="AC49" t="str">
            <v>Nhiệt tự động
自動温控</v>
          </cell>
          <cell r="AF49" t="str">
            <v>Nhiệt kế 
温度計</v>
          </cell>
          <cell r="AI49" t="str">
            <v>Nhiệt tự động
自動温控</v>
          </cell>
          <cell r="AL49" t="str">
            <v>Nhiệt kế 
温度計</v>
          </cell>
          <cell r="AO49" t="str">
            <v>Nhiệt tự động
自動温控</v>
          </cell>
        </row>
        <row r="50">
          <cell r="A50" t="str">
            <v>RLF-TEMKD</v>
          </cell>
          <cell r="B50" t="str">
            <v>Khử dầu 
脫脂</v>
          </cell>
          <cell r="D50" t="str">
            <v>0C</v>
          </cell>
          <cell r="E50" t="str">
            <v>55~65OC</v>
          </cell>
          <cell r="H50">
            <v>0</v>
          </cell>
          <cell r="K50">
            <v>0</v>
          </cell>
          <cell r="N50">
            <v>0</v>
          </cell>
          <cell r="Q50">
            <v>0</v>
          </cell>
          <cell r="T50">
            <v>0</v>
          </cell>
          <cell r="W50">
            <v>0</v>
          </cell>
          <cell r="Z50">
            <v>0</v>
          </cell>
          <cell r="AC50">
            <v>0</v>
          </cell>
          <cell r="AF50">
            <v>0</v>
          </cell>
          <cell r="AI50">
            <v>0</v>
          </cell>
          <cell r="AL50">
            <v>0</v>
          </cell>
          <cell r="AO50">
            <v>0</v>
          </cell>
          <cell r="AQ50" t="str">
            <v>CR-000D</v>
          </cell>
        </row>
        <row r="51">
          <cell r="A51" t="str">
            <v>RLF-TEMPP2</v>
          </cell>
          <cell r="B51" t="str">
            <v>Muối axit Phosphoric (2)
磷酸鹽</v>
          </cell>
          <cell r="D51" t="str">
            <v>0C</v>
          </cell>
          <cell r="E51" t="str">
            <v>65~85OC</v>
          </cell>
          <cell r="H51">
            <v>0</v>
          </cell>
          <cell r="K51">
            <v>0</v>
          </cell>
          <cell r="N51">
            <v>0</v>
          </cell>
          <cell r="Q51">
            <v>0</v>
          </cell>
          <cell r="T51">
            <v>0</v>
          </cell>
          <cell r="W51">
            <v>0</v>
          </cell>
          <cell r="Z51">
            <v>0</v>
          </cell>
          <cell r="AC51">
            <v>0</v>
          </cell>
          <cell r="AF51">
            <v>0</v>
          </cell>
          <cell r="AI51">
            <v>0</v>
          </cell>
          <cell r="AL51">
            <v>0</v>
          </cell>
          <cell r="AO51">
            <v>0</v>
          </cell>
          <cell r="AQ51" t="str">
            <v>CR-000D</v>
          </cell>
        </row>
        <row r="52">
          <cell r="A52" t="str">
            <v>RLF-TEMXB</v>
          </cell>
          <cell r="B52" t="str">
            <v>xaø boâng boâi trôn 
潤滑皂</v>
          </cell>
          <cell r="D52" t="str">
            <v>0C</v>
          </cell>
          <cell r="E52" t="str">
            <v>80~90OC</v>
          </cell>
          <cell r="H52">
            <v>0</v>
          </cell>
          <cell r="K52">
            <v>0</v>
          </cell>
          <cell r="N52">
            <v>0</v>
          </cell>
          <cell r="Q52">
            <v>0</v>
          </cell>
          <cell r="T52">
            <v>0</v>
          </cell>
          <cell r="W52">
            <v>0</v>
          </cell>
          <cell r="Z52">
            <v>0</v>
          </cell>
          <cell r="AC52">
            <v>0</v>
          </cell>
          <cell r="AF52">
            <v>0</v>
          </cell>
          <cell r="AI52">
            <v>0</v>
          </cell>
          <cell r="AL52">
            <v>0</v>
          </cell>
          <cell r="AO52">
            <v>0</v>
          </cell>
          <cell r="AQ52" t="str">
            <v>CR-000D</v>
          </cell>
        </row>
        <row r="54">
          <cell r="A54" t="str">
            <v>生產線別：XI ĐEN - epoxy</v>
          </cell>
          <cell r="F54" t="str">
            <v>Kết quả kiểm tra 檢查結果</v>
          </cell>
          <cell r="H54" t="str">
            <v>Kết quả kiểm tra 檢查結果</v>
          </cell>
        </row>
        <row r="55">
          <cell r="B55" t="str">
            <v>Hạng mục kiểm tra nồng dộ
化驗檢查項目</v>
          </cell>
          <cell r="D55" t="str">
            <v>Đơn vị
單位</v>
          </cell>
          <cell r="E55" t="str">
            <v>Tiêu chuẩn
控制範圍</v>
          </cell>
          <cell r="H55" t="str">
            <v>9:00</v>
          </cell>
          <cell r="N55" t="str">
            <v>13:00</v>
          </cell>
        </row>
        <row r="56">
          <cell r="A56" t="str">
            <v>MÃ</v>
          </cell>
          <cell r="F56" t="str">
            <v>t/chuan</v>
          </cell>
          <cell r="H56" t="str">
            <v>濃度 g/L</v>
          </cell>
          <cell r="I56" t="str">
            <v>補充 BS</v>
          </cell>
          <cell r="J56" t="str">
            <v>補充 BS</v>
          </cell>
          <cell r="N56" t="str">
            <v>濃度 g/L</v>
          </cell>
          <cell r="O56" t="str">
            <v>補充 BS</v>
          </cell>
          <cell r="P56" t="str">
            <v>補充 BS</v>
          </cell>
          <cell r="W56" t="str">
            <v xml:space="preserve">PP HÓA NGHIỆM </v>
          </cell>
        </row>
        <row r="57">
          <cell r="A57" t="str">
            <v>XD-XB1</v>
          </cell>
          <cell r="B57" t="str">
            <v>Xà bông 1
預脫脂</v>
          </cell>
          <cell r="D57" t="str">
            <v>g/L</v>
          </cell>
          <cell r="E57" t="str">
            <v>10~20
 (15)</v>
          </cell>
          <cell r="F57">
            <v>15</v>
          </cell>
          <cell r="G57">
            <v>0</v>
          </cell>
          <cell r="H57">
            <v>0</v>
          </cell>
          <cell r="I57">
            <v>108.21599999999999</v>
          </cell>
          <cell r="J57" t="str">
            <v>+</v>
          </cell>
          <cell r="K57">
            <v>0</v>
          </cell>
          <cell r="L57" t="str">
            <v>kg</v>
          </cell>
          <cell r="M57">
            <v>0</v>
          </cell>
          <cell r="N57">
            <v>0</v>
          </cell>
          <cell r="O57">
            <v>108.21599999999999</v>
          </cell>
          <cell r="P57" t="str">
            <v>+</v>
          </cell>
          <cell r="Q57">
            <v>0</v>
          </cell>
          <cell r="R57" t="str">
            <v>kg</v>
          </cell>
          <cell r="S57">
            <v>0</v>
          </cell>
          <cell r="AQ57" t="str">
            <v>XD-000A</v>
          </cell>
        </row>
        <row r="58">
          <cell r="A58" t="str">
            <v>XD-XB2</v>
          </cell>
          <cell r="B58" t="str">
            <v>Xà bông 2
主脫脂</v>
          </cell>
          <cell r="D58" t="str">
            <v>g/L</v>
          </cell>
          <cell r="E58" t="str">
            <v>40~60g/L
(50±5g/L)</v>
          </cell>
          <cell r="F58">
            <v>50</v>
          </cell>
          <cell r="G58">
            <v>0</v>
          </cell>
          <cell r="H58">
            <v>0</v>
          </cell>
          <cell r="I58">
            <v>360.72</v>
          </cell>
          <cell r="J58" t="str">
            <v>+</v>
          </cell>
          <cell r="K58">
            <v>0</v>
          </cell>
          <cell r="L58" t="str">
            <v>kg</v>
          </cell>
          <cell r="M58">
            <v>0</v>
          </cell>
          <cell r="N58">
            <v>0</v>
          </cell>
          <cell r="O58">
            <v>360.72</v>
          </cell>
          <cell r="P58" t="str">
            <v>+</v>
          </cell>
          <cell r="Q58">
            <v>0</v>
          </cell>
          <cell r="R58" t="str">
            <v>kg</v>
          </cell>
          <cell r="S58">
            <v>0</v>
          </cell>
          <cell r="T58" t="str">
            <v>HALO</v>
          </cell>
          <cell r="W58" t="str">
            <v>D:\2. Data hoa nghiem\1. PP HÓA NGHIỆM CÁC BỒN-XLBM\HALO-PPPT_CT-21A-XB-XT,XM-1F.pdf</v>
          </cell>
          <cell r="AQ58" t="str">
            <v>XD-000A</v>
          </cell>
        </row>
        <row r="59">
          <cell r="A59" t="str">
            <v>XD-XB3</v>
          </cell>
          <cell r="B59" t="str">
            <v xml:space="preserve">Xà bông 3 (siêu âm)
超音波脫脂
</v>
          </cell>
          <cell r="D59" t="str">
            <v>g/L</v>
          </cell>
          <cell r="E59" t="str">
            <v>40~60g/L
(50±5g/L)</v>
          </cell>
          <cell r="F59">
            <v>50</v>
          </cell>
          <cell r="G59">
            <v>0</v>
          </cell>
          <cell r="H59">
            <v>0</v>
          </cell>
          <cell r="I59">
            <v>449.55</v>
          </cell>
          <cell r="J59" t="str">
            <v>+</v>
          </cell>
          <cell r="K59">
            <v>0</v>
          </cell>
          <cell r="L59" t="str">
            <v>kg</v>
          </cell>
          <cell r="M59">
            <v>0</v>
          </cell>
          <cell r="N59">
            <v>0</v>
          </cell>
          <cell r="O59">
            <v>449.55</v>
          </cell>
          <cell r="P59" t="str">
            <v>+</v>
          </cell>
          <cell r="Q59">
            <v>0</v>
          </cell>
          <cell r="R59" t="str">
            <v>kg</v>
          </cell>
          <cell r="S59">
            <v>0</v>
          </cell>
          <cell r="T59" t="str">
            <v>HALO</v>
          </cell>
          <cell r="AQ59" t="str">
            <v>XD-000A</v>
          </cell>
        </row>
        <row r="60">
          <cell r="A60" t="str">
            <v>XD-ACID</v>
          </cell>
          <cell r="B60" t="str">
            <v>Rửa acid
酸洗</v>
          </cell>
          <cell r="D60" t="str">
            <v>Point</v>
          </cell>
          <cell r="E60" t="str">
            <v>5~15
(10)</v>
          </cell>
          <cell r="F60">
            <v>10</v>
          </cell>
          <cell r="G60">
            <v>0</v>
          </cell>
          <cell r="H60">
            <v>0</v>
          </cell>
          <cell r="I60">
            <v>124.63199999999999</v>
          </cell>
          <cell r="J60" t="str">
            <v>+</v>
          </cell>
          <cell r="K60">
            <v>124.63199999999999</v>
          </cell>
          <cell r="L60" t="str">
            <v>L</v>
          </cell>
          <cell r="M60">
            <v>0</v>
          </cell>
          <cell r="N60">
            <v>0</v>
          </cell>
          <cell r="O60">
            <v>124.63199999999999</v>
          </cell>
          <cell r="P60" t="str">
            <v>+</v>
          </cell>
          <cell r="Q60">
            <v>124.63199999999999</v>
          </cell>
          <cell r="R60" t="str">
            <v>L</v>
          </cell>
          <cell r="S60">
            <v>0</v>
          </cell>
          <cell r="AQ60" t="str">
            <v>XD-000A</v>
          </cell>
        </row>
        <row r="61">
          <cell r="A61" t="str">
            <v>XD-PPPL</v>
          </cell>
          <cell r="B61" t="str">
            <v>phosphat                      acid phân ly
磷化處理                     游離酸度</v>
          </cell>
          <cell r="D61" t="str">
            <v>Point</v>
          </cell>
          <cell r="E61" t="str">
            <v>&lt;1.5</v>
          </cell>
          <cell r="F61">
            <v>1.5</v>
          </cell>
          <cell r="G61">
            <v>0</v>
          </cell>
          <cell r="H61">
            <v>0</v>
          </cell>
          <cell r="I61">
            <v>-12.028499999999999</v>
          </cell>
          <cell r="J61" t="str">
            <v>+</v>
          </cell>
          <cell r="K61">
            <v>0</v>
          </cell>
          <cell r="L61" t="str">
            <v>kg</v>
          </cell>
          <cell r="M61">
            <v>0</v>
          </cell>
          <cell r="N61">
            <v>0</v>
          </cell>
          <cell r="O61">
            <v>-12.028499999999999</v>
          </cell>
          <cell r="P61" t="str">
            <v>+</v>
          </cell>
          <cell r="Q61">
            <v>0</v>
          </cell>
          <cell r="R61" t="str">
            <v>kg</v>
          </cell>
          <cell r="S61">
            <v>0</v>
          </cell>
          <cell r="AQ61" t="str">
            <v>XD-000A</v>
          </cell>
        </row>
        <row r="62">
          <cell r="A62" t="str">
            <v>XD-PPTC</v>
          </cell>
          <cell r="B62" t="str">
            <v>phosphat                      tổng độ chua
磷化處理                      總酸度</v>
          </cell>
          <cell r="D62" t="str">
            <v>Point</v>
          </cell>
          <cell r="E62" t="str">
            <v>20~25
(22.5)</v>
          </cell>
          <cell r="F62">
            <v>22.5</v>
          </cell>
          <cell r="G62">
            <v>0</v>
          </cell>
          <cell r="H62">
            <v>0</v>
          </cell>
          <cell r="I62">
            <v>218.7</v>
          </cell>
          <cell r="J62" t="str">
            <v>+</v>
          </cell>
          <cell r="K62">
            <v>0</v>
          </cell>
          <cell r="L62" t="str">
            <v>kg</v>
          </cell>
          <cell r="M62">
            <v>0</v>
          </cell>
          <cell r="N62">
            <v>0</v>
          </cell>
          <cell r="O62">
            <v>218.7</v>
          </cell>
          <cell r="P62" t="str">
            <v>+</v>
          </cell>
          <cell r="Q62">
            <v>0</v>
          </cell>
          <cell r="R62" t="str">
            <v>kg</v>
          </cell>
          <cell r="S62">
            <v>0</v>
          </cell>
          <cell r="AQ62" t="str">
            <v>XD-000A</v>
          </cell>
        </row>
        <row r="63">
          <cell r="A63" t="str">
            <v>XD-PPAC</v>
          </cell>
          <cell r="B63" t="str">
            <v>phosphat                     Xúc tiến  AC
磷化處理                      促進劑</v>
          </cell>
          <cell r="D63" t="str">
            <v>Point</v>
          </cell>
          <cell r="E63" t="str">
            <v>6~9
(7.5)</v>
          </cell>
          <cell r="F63">
            <v>7.5</v>
          </cell>
          <cell r="G63">
            <v>0</v>
          </cell>
          <cell r="H63">
            <v>0</v>
          </cell>
          <cell r="I63">
            <v>7.8367500000000003</v>
          </cell>
          <cell r="J63" t="str">
            <v>+</v>
          </cell>
          <cell r="K63">
            <v>0</v>
          </cell>
          <cell r="L63" t="str">
            <v>kg</v>
          </cell>
          <cell r="M63">
            <v>0</v>
          </cell>
          <cell r="N63">
            <v>0</v>
          </cell>
          <cell r="O63">
            <v>7.8367500000000003</v>
          </cell>
          <cell r="P63" t="str">
            <v>+</v>
          </cell>
          <cell r="Q63">
            <v>0</v>
          </cell>
          <cell r="R63" t="str">
            <v>kg</v>
          </cell>
          <cell r="S63">
            <v>0</v>
          </cell>
          <cell r="AQ63" t="str">
            <v>XD-000A</v>
          </cell>
        </row>
        <row r="64">
          <cell r="A64" t="str">
            <v>XD-PH</v>
          </cell>
          <cell r="B64" t="str">
            <v>chất điều chỉnh (pH&gt;7)
表調</v>
          </cell>
          <cell r="D64" t="str">
            <v>pH</v>
          </cell>
          <cell r="E64" t="str">
            <v>7~10 
(&gt;7)</v>
          </cell>
          <cell r="G64" t="e">
            <v>#REF!</v>
          </cell>
          <cell r="H64">
            <v>0</v>
          </cell>
          <cell r="M64" t="e">
            <v>#REF!</v>
          </cell>
          <cell r="N64">
            <v>0</v>
          </cell>
          <cell r="AQ64" t="str">
            <v>XD-000A</v>
          </cell>
        </row>
        <row r="65">
          <cell r="A65" t="str">
            <v>XD-1</v>
          </cell>
          <cell r="B65" t="str">
            <v>ED電泳 pH 
ED Bồn sơn tĩnh điện pH   1</v>
          </cell>
          <cell r="D65" t="str">
            <v>pH</v>
          </cell>
          <cell r="E65" t="str">
            <v>5.3~6.0
(5.5)</v>
          </cell>
          <cell r="G65">
            <v>0</v>
          </cell>
          <cell r="H65">
            <v>0</v>
          </cell>
          <cell r="I65">
            <v>7.8367500000000003</v>
          </cell>
          <cell r="M65">
            <v>0</v>
          </cell>
          <cell r="N65">
            <v>0</v>
          </cell>
          <cell r="O65">
            <v>7.8367500000000003</v>
          </cell>
          <cell r="S65">
            <v>0</v>
          </cell>
          <cell r="T65">
            <v>0</v>
          </cell>
          <cell r="AQ65" t="str">
            <v>XD-000A</v>
          </cell>
        </row>
        <row r="66">
          <cell r="A66" t="str">
            <v>XD-2</v>
          </cell>
          <cell r="B66" t="str">
            <v>ED電泳 pH 
ED Bồn sơn tĩnh điện pH  2</v>
          </cell>
          <cell r="D66" t="str">
            <v>pH</v>
          </cell>
          <cell r="E66" t="str">
            <v>5.3~6.0
(5.5)</v>
          </cell>
          <cell r="H66">
            <v>0</v>
          </cell>
          <cell r="N66">
            <v>0</v>
          </cell>
          <cell r="T66">
            <v>0</v>
          </cell>
          <cell r="AQ66" t="str">
            <v>XD-000A</v>
          </cell>
        </row>
        <row r="67">
          <cell r="A67" t="str">
            <v>XD-3</v>
          </cell>
          <cell r="B67" t="str">
            <v>ED 固成份 (NV)
ED Thành phần rắn 1</v>
          </cell>
          <cell r="D67" t="str">
            <v>%</v>
          </cell>
          <cell r="E67" t="str">
            <v xml:space="preserve"> 12~18%
(15%)</v>
          </cell>
          <cell r="F67">
            <v>15</v>
          </cell>
          <cell r="H67" t="str">
            <v/>
          </cell>
          <cell r="I67" t="e">
            <v>#VALUE!</v>
          </cell>
          <cell r="J67" t="str">
            <v>+</v>
          </cell>
          <cell r="K67" t="str">
            <v/>
          </cell>
          <cell r="L67" t="str">
            <v>L</v>
          </cell>
          <cell r="N67" t="str">
            <v>\</v>
          </cell>
          <cell r="T67" t="str">
            <v/>
          </cell>
          <cell r="AQ67" t="str">
            <v>XD-000A</v>
          </cell>
        </row>
        <row r="68">
          <cell r="A68" t="str">
            <v>XD-4</v>
          </cell>
          <cell r="B68" t="str">
            <v>ED 色料比
EDTỷ lệ màu 1</v>
          </cell>
          <cell r="D68" t="str">
            <v>%</v>
          </cell>
          <cell r="E68" t="str">
            <v>8~16%
(12%)</v>
          </cell>
          <cell r="F68">
            <v>12</v>
          </cell>
          <cell r="H68" t="str">
            <v/>
          </cell>
          <cell r="I68" t="e">
            <v>#VALUE!</v>
          </cell>
          <cell r="J68" t="str">
            <v>+</v>
          </cell>
          <cell r="K68" t="str">
            <v/>
          </cell>
          <cell r="L68" t="str">
            <v>L</v>
          </cell>
          <cell r="N68" t="str">
            <v>\</v>
          </cell>
          <cell r="T68" t="str">
            <v/>
          </cell>
          <cell r="AQ68" t="str">
            <v>XD-000A</v>
          </cell>
        </row>
        <row r="69">
          <cell r="A69" t="str">
            <v>XD-5</v>
          </cell>
          <cell r="B69" t="str">
            <v>ED 固成份 (NV)
ED Thành phần rắn 2</v>
          </cell>
          <cell r="D69" t="str">
            <v>%</v>
          </cell>
          <cell r="E69" t="str">
            <v xml:space="preserve"> 12~18%
(15%)</v>
          </cell>
          <cell r="F69">
            <v>15</v>
          </cell>
          <cell r="H69" t="str">
            <v/>
          </cell>
          <cell r="I69" t="e">
            <v>#VALUE!</v>
          </cell>
          <cell r="J69" t="str">
            <v>+</v>
          </cell>
          <cell r="K69" t="str">
            <v/>
          </cell>
          <cell r="L69" t="str">
            <v>L</v>
          </cell>
          <cell r="N69" t="str">
            <v>\</v>
          </cell>
          <cell r="T69" t="str">
            <v/>
          </cell>
          <cell r="AQ69" t="str">
            <v>XD-000A</v>
          </cell>
        </row>
        <row r="70">
          <cell r="A70" t="str">
            <v>XD-6</v>
          </cell>
          <cell r="B70" t="str">
            <v>ED 色料比
EDTỷ lệ màu 2</v>
          </cell>
          <cell r="D70" t="str">
            <v>%</v>
          </cell>
          <cell r="E70" t="str">
            <v>8~16%
(12%)</v>
          </cell>
          <cell r="F70">
            <v>12</v>
          </cell>
          <cell r="H70" t="str">
            <v/>
          </cell>
          <cell r="I70" t="e">
            <v>#VALUE!</v>
          </cell>
          <cell r="J70" t="str">
            <v>+</v>
          </cell>
          <cell r="K70" t="str">
            <v/>
          </cell>
          <cell r="L70" t="str">
            <v>L</v>
          </cell>
          <cell r="N70" t="str">
            <v>\</v>
          </cell>
          <cell r="T70" t="str">
            <v/>
          </cell>
          <cell r="AQ70" t="str">
            <v>XD-000A</v>
          </cell>
        </row>
        <row r="71">
          <cell r="A71" t="str">
            <v>XD-7</v>
          </cell>
          <cell r="B71" t="str">
            <v>UF水洗1
Bồn thu hồi 1 (Thành phần rắn)</v>
          </cell>
          <cell r="D71" t="str">
            <v>%</v>
          </cell>
          <cell r="E71" t="str">
            <v>&lt;5%</v>
          </cell>
          <cell r="H71" t="str">
            <v/>
          </cell>
          <cell r="M71">
            <v>0</v>
          </cell>
          <cell r="N71" t="str">
            <v>\</v>
          </cell>
          <cell r="T71" t="str">
            <v/>
          </cell>
          <cell r="AQ71" t="str">
            <v>XD-000A</v>
          </cell>
        </row>
        <row r="72">
          <cell r="A72" t="str">
            <v>XD-8</v>
          </cell>
          <cell r="B72" t="str">
            <v>UF水洗2
 Bồn thu hồi 2  (Thành phần rắn)</v>
          </cell>
          <cell r="D72" t="str">
            <v>%</v>
          </cell>
          <cell r="E72" t="str">
            <v>&lt;3%</v>
          </cell>
          <cell r="H72" t="str">
            <v/>
          </cell>
          <cell r="M72">
            <v>0.83333333333333337</v>
          </cell>
          <cell r="N72" t="str">
            <v>\</v>
          </cell>
          <cell r="T72" t="str">
            <v/>
          </cell>
          <cell r="AQ72" t="str">
            <v>XD-000A</v>
          </cell>
        </row>
        <row r="73">
          <cell r="A73" t="str">
            <v>Hạng mục kiểm tra nhiệt độ 檢查溫度</v>
          </cell>
        </row>
        <row r="74">
          <cell r="A74" t="str">
            <v>MÃ</v>
          </cell>
          <cell r="B74" t="str">
            <v>Hạng mục kiểm tra nhiệt độ
溫度檢查項目</v>
          </cell>
          <cell r="D74" t="str">
            <v>nhiệt độ
溫度</v>
          </cell>
          <cell r="E74" t="str">
            <v>Tiêu chuẩn
控制範圍</v>
          </cell>
          <cell r="H74" t="str">
            <v>Nhiệt kế 
温度計</v>
          </cell>
          <cell r="K74" t="str">
            <v>Nhiệt tự động
自動温控</v>
          </cell>
          <cell r="N74" t="str">
            <v>Nhiệt kế 
温度計</v>
          </cell>
          <cell r="Q74" t="str">
            <v>Nhiệt tự động
自動温控</v>
          </cell>
        </row>
        <row r="75">
          <cell r="A75" t="str">
            <v>XD-TEMXB1</v>
          </cell>
          <cell r="B75" t="str">
            <v>Xà bông 1
預脫脂</v>
          </cell>
          <cell r="D75" t="str">
            <v>0C</v>
          </cell>
          <cell r="E75" t="str">
            <v>51~59OC
(55OC)</v>
          </cell>
          <cell r="H75">
            <v>0</v>
          </cell>
          <cell r="K75">
            <v>0</v>
          </cell>
          <cell r="N75">
            <v>0</v>
          </cell>
          <cell r="Q75">
            <v>0</v>
          </cell>
          <cell r="AQ75" t="str">
            <v>XD-000A</v>
          </cell>
        </row>
        <row r="76">
          <cell r="A76" t="str">
            <v>XD-TEMXB2</v>
          </cell>
          <cell r="B76" t="str">
            <v>Xà bông 2
主脫脂</v>
          </cell>
          <cell r="D76" t="str">
            <v>0C</v>
          </cell>
          <cell r="E76" t="str">
            <v>51~59OC
(55OC)</v>
          </cell>
          <cell r="H76">
            <v>0</v>
          </cell>
          <cell r="K76">
            <v>0</v>
          </cell>
          <cell r="N76">
            <v>0</v>
          </cell>
          <cell r="Q76">
            <v>0</v>
          </cell>
          <cell r="AQ76" t="str">
            <v>XD-000A</v>
          </cell>
        </row>
        <row r="77">
          <cell r="A77" t="str">
            <v>XD-TEMXB3</v>
          </cell>
          <cell r="B77" t="str">
            <v xml:space="preserve">Xà bông siêu âm
超音波脫脂
</v>
          </cell>
          <cell r="D77" t="str">
            <v>0C</v>
          </cell>
          <cell r="E77" t="str">
            <v>51~59OC
(55OC)</v>
          </cell>
          <cell r="H77">
            <v>0</v>
          </cell>
          <cell r="K77">
            <v>0</v>
          </cell>
          <cell r="N77">
            <v>0</v>
          </cell>
          <cell r="Q77">
            <v>0</v>
          </cell>
          <cell r="AQ77" t="str">
            <v>XD-000A</v>
          </cell>
        </row>
        <row r="78">
          <cell r="A78" t="str">
            <v>XD-TEMPP</v>
          </cell>
          <cell r="B78" t="str">
            <v>phosphat    
磷化處理</v>
          </cell>
          <cell r="D78" t="str">
            <v>0C</v>
          </cell>
          <cell r="E78" t="str">
            <v>30~40OC
(35OC)</v>
          </cell>
          <cell r="H78">
            <v>0</v>
          </cell>
          <cell r="K78">
            <v>0</v>
          </cell>
          <cell r="N78">
            <v>0</v>
          </cell>
          <cell r="Q78">
            <v>0</v>
          </cell>
          <cell r="AQ78" t="str">
            <v>XD-000A</v>
          </cell>
        </row>
        <row r="79">
          <cell r="A79" t="str">
            <v>XD-TEMED1</v>
          </cell>
          <cell r="B79" t="str">
            <v>ED電泳 
ED Bồn sơn tĩnh điện  1</v>
          </cell>
          <cell r="D79" t="str">
            <v>0C</v>
          </cell>
          <cell r="E79" t="str">
            <v>26~32OC
(29OC)</v>
          </cell>
          <cell r="F79" t="str">
            <v>26~32OC
(29OC)</v>
          </cell>
          <cell r="H79">
            <v>0</v>
          </cell>
          <cell r="K79">
            <v>0</v>
          </cell>
          <cell r="N79">
            <v>0</v>
          </cell>
          <cell r="Q79">
            <v>0</v>
          </cell>
          <cell r="AQ79" t="str">
            <v>XD-000A</v>
          </cell>
        </row>
        <row r="80">
          <cell r="A80" t="str">
            <v>XD-TEMED2</v>
          </cell>
          <cell r="B80" t="str">
            <v>ED電泳 
ED Bồn sơn tĩnh điện  2</v>
          </cell>
          <cell r="D80" t="str">
            <v>0C</v>
          </cell>
          <cell r="E80" t="str">
            <v>26~32OC
(29OC)</v>
          </cell>
          <cell r="H80">
            <v>0</v>
          </cell>
          <cell r="K80">
            <v>0</v>
          </cell>
          <cell r="N80">
            <v>0</v>
          </cell>
          <cell r="Q80">
            <v>0</v>
          </cell>
          <cell r="AQ80" t="str">
            <v>XD-000A</v>
          </cell>
        </row>
        <row r="81">
          <cell r="A81" t="str">
            <v>XD-TEMSAY</v>
          </cell>
          <cell r="B81" t="str">
            <v xml:space="preserve">sấy khô  烘乾 </v>
          </cell>
          <cell r="D81" t="str">
            <v>0C</v>
          </cell>
          <cell r="E81" t="str">
            <v>170~220℃ 
(195OC)</v>
          </cell>
          <cell r="K81">
            <v>0</v>
          </cell>
          <cell r="Q81">
            <v>0</v>
          </cell>
          <cell r="AQ81" t="str">
            <v>XD-000A</v>
          </cell>
        </row>
        <row r="82">
          <cell r="H82" t="str">
            <v>Độ dẫn điện bồn ED 
ED電泳電導率</v>
          </cell>
          <cell r="AQ82" t="str">
            <v>XD-000A</v>
          </cell>
        </row>
        <row r="83">
          <cell r="B83" t="str">
            <v>Độ dẫn điện bồn ED 
ED電泳電導率</v>
          </cell>
          <cell r="D83" t="str">
            <v>us/cm</v>
          </cell>
          <cell r="E83" t="str">
            <v>800~1600us/cm</v>
          </cell>
          <cell r="G83" t="str">
            <v>us/cm</v>
          </cell>
          <cell r="H83">
            <v>0</v>
          </cell>
          <cell r="N83">
            <v>0</v>
          </cell>
          <cell r="AQ83" t="str">
            <v>XD-000A</v>
          </cell>
        </row>
        <row r="84">
          <cell r="B84" t="str">
            <v>陽極液電導率
Độ dẫn điện dung dịch dương cực</v>
          </cell>
          <cell r="D84" t="str">
            <v>us/cm</v>
          </cell>
          <cell r="E84" t="str">
            <v>800~2000us/cm</v>
          </cell>
          <cell r="G84" t="str">
            <v>us/cm</v>
          </cell>
          <cell r="H84">
            <v>0</v>
          </cell>
          <cell r="N84">
            <v>0</v>
          </cell>
          <cell r="AQ84" t="str">
            <v>XD-000A</v>
          </cell>
        </row>
        <row r="86">
          <cell r="A86" t="str">
            <v>生產線別：MÀNG LOA</v>
          </cell>
          <cell r="H86" t="str">
            <v>Kết quả kiểm tra 檢查結果</v>
          </cell>
        </row>
        <row r="87">
          <cell r="B87" t="str">
            <v>Hạng mục kiểm tra nồng dộ
化驗檢查項目</v>
          </cell>
          <cell r="D87" t="str">
            <v>Đơn vị
單位</v>
          </cell>
          <cell r="E87" t="str">
            <v>Tiêu chuẩn
控制範圍</v>
          </cell>
          <cell r="H87">
            <v>0.33333333333333331</v>
          </cell>
          <cell r="N87">
            <v>0.83333333333333337</v>
          </cell>
        </row>
        <row r="88">
          <cell r="A88" t="str">
            <v>MÃ</v>
          </cell>
          <cell r="F88" t="str">
            <v>t/chuan</v>
          </cell>
          <cell r="H88" t="str">
            <v>濃度 g/L</v>
          </cell>
          <cell r="I88" t="str">
            <v>補充 BS</v>
          </cell>
          <cell r="J88" t="str">
            <v>補充 BS</v>
          </cell>
          <cell r="N88" t="str">
            <v>濃度 g/L</v>
          </cell>
          <cell r="O88" t="str">
            <v>補充 BS</v>
          </cell>
          <cell r="P88" t="str">
            <v>補充 BS</v>
          </cell>
          <cell r="W88" t="str">
            <v xml:space="preserve">PP HÓA NGHIỆM </v>
          </cell>
        </row>
        <row r="89">
          <cell r="A89" t="str">
            <v>DC-XB1</v>
          </cell>
          <cell r="B89" t="str">
            <v>熱脫脂 Xà bông 1</v>
          </cell>
          <cell r="D89" t="str">
            <v>g/L</v>
          </cell>
          <cell r="E89" t="str">
            <v>20~30
(25±3)</v>
          </cell>
          <cell r="F89">
            <v>25</v>
          </cell>
          <cell r="G89">
            <v>0</v>
          </cell>
          <cell r="H89">
            <v>0</v>
          </cell>
          <cell r="I89">
            <v>40.799999999999997</v>
          </cell>
          <cell r="J89" t="str">
            <v>+</v>
          </cell>
          <cell r="K89">
            <v>0</v>
          </cell>
          <cell r="L89" t="str">
            <v>kg</v>
          </cell>
          <cell r="M89">
            <v>0</v>
          </cell>
          <cell r="N89">
            <v>0</v>
          </cell>
          <cell r="O89">
            <v>40.799999999999997</v>
          </cell>
          <cell r="P89" t="str">
            <v>+</v>
          </cell>
          <cell r="Q89">
            <v>0</v>
          </cell>
          <cell r="R89" t="str">
            <v>kg</v>
          </cell>
          <cell r="W89" t="str">
            <v>D:\2. Data hoa nghiem\1. PP HÓA NGHIỆM CÁC BỒN-XLBM\XB-ML.pdf</v>
          </cell>
          <cell r="AQ89" t="str">
            <v>DC-000A</v>
          </cell>
        </row>
        <row r="90">
          <cell r="A90" t="str">
            <v>DC-XB2</v>
          </cell>
          <cell r="B90" t="str">
            <v>熱脫脂Xà bôngg 2</v>
          </cell>
          <cell r="D90" t="str">
            <v>g/L</v>
          </cell>
          <cell r="E90" t="str">
            <v>20~30
(25±3)</v>
          </cell>
          <cell r="F90">
            <v>25</v>
          </cell>
          <cell r="G90">
            <v>0</v>
          </cell>
          <cell r="H90">
            <v>0</v>
          </cell>
          <cell r="I90">
            <v>40.799999999999997</v>
          </cell>
          <cell r="J90" t="str">
            <v>+</v>
          </cell>
          <cell r="K90">
            <v>0</v>
          </cell>
          <cell r="L90" t="str">
            <v>kg</v>
          </cell>
          <cell r="M90">
            <v>0</v>
          </cell>
          <cell r="N90">
            <v>0</v>
          </cell>
          <cell r="O90">
            <v>40.799999999999997</v>
          </cell>
          <cell r="P90" t="str">
            <v>+</v>
          </cell>
          <cell r="Q90">
            <v>0</v>
          </cell>
          <cell r="R90" t="str">
            <v>kg</v>
          </cell>
          <cell r="AQ90" t="str">
            <v>DC-000A</v>
          </cell>
        </row>
        <row r="91">
          <cell r="A91" t="str">
            <v>DC-HNO3</v>
          </cell>
          <cell r="B91" t="str">
            <v>HNO3   中和</v>
          </cell>
          <cell r="D91" t="str">
            <v>ml/L</v>
          </cell>
          <cell r="E91" t="str">
            <v>210~290
(250±25)</v>
          </cell>
          <cell r="F91">
            <v>250</v>
          </cell>
          <cell r="G91">
            <v>0</v>
          </cell>
          <cell r="H91">
            <v>0</v>
          </cell>
          <cell r="I91">
            <v>408</v>
          </cell>
          <cell r="J91" t="str">
            <v>+</v>
          </cell>
          <cell r="K91">
            <v>0</v>
          </cell>
          <cell r="L91" t="str">
            <v>L</v>
          </cell>
          <cell r="M91">
            <v>0</v>
          </cell>
          <cell r="N91">
            <v>0</v>
          </cell>
          <cell r="O91">
            <v>408</v>
          </cell>
          <cell r="P91" t="str">
            <v>+</v>
          </cell>
          <cell r="Q91">
            <v>0</v>
          </cell>
          <cell r="R91" t="str">
            <v>L</v>
          </cell>
          <cell r="W91" t="str">
            <v>D:\2. Data hoa nghiem\1. PP HÓA NGHIỆM CÁC BỒN-XLBM\HNO3-ML.pdf</v>
          </cell>
          <cell r="AQ91" t="str">
            <v>DC-000A</v>
          </cell>
        </row>
        <row r="92">
          <cell r="A92" t="str">
            <v>DC1-H2SO4</v>
          </cell>
          <cell r="B92" t="str">
            <v>陽極處理槽  dương cực  H2SO4 (18)</v>
          </cell>
          <cell r="D92" t="str">
            <v>g/L</v>
          </cell>
          <cell r="E92" t="str">
            <v>120~150
(130±10)</v>
          </cell>
          <cell r="F92">
            <v>130</v>
          </cell>
          <cell r="G92">
            <v>0</v>
          </cell>
          <cell r="H92">
            <v>0</v>
          </cell>
          <cell r="I92">
            <v>224.64</v>
          </cell>
          <cell r="J92" t="str">
            <v>+</v>
          </cell>
          <cell r="K92">
            <v>0</v>
          </cell>
          <cell r="L92" t="str">
            <v>kg</v>
          </cell>
          <cell r="M92">
            <v>0</v>
          </cell>
          <cell r="N92">
            <v>0</v>
          </cell>
          <cell r="O92">
            <v>224.64</v>
          </cell>
          <cell r="P92" t="str">
            <v>+</v>
          </cell>
          <cell r="Q92">
            <v>0</v>
          </cell>
          <cell r="R92" t="str">
            <v>kg</v>
          </cell>
          <cell r="W92" t="str">
            <v>D:\2. Data hoa nghiem\1. PP HÓA NGHIỆM CÁC BỒN-XLBM\H2SO4-ML.pdf</v>
          </cell>
          <cell r="AQ92" t="str">
            <v>DC-000A</v>
          </cell>
        </row>
        <row r="93">
          <cell r="A93" t="str">
            <v>DC1-AL</v>
          </cell>
          <cell r="B93" t="str">
            <v>陽極處理槽 dương cực Al3+ (18)</v>
          </cell>
          <cell r="D93" t="str">
            <v>g/L</v>
          </cell>
          <cell r="E93" t="str">
            <v>1~5
(3±1.5)</v>
          </cell>
          <cell r="G93">
            <v>0</v>
          </cell>
          <cell r="H93">
            <v>0</v>
          </cell>
          <cell r="I93" t="str">
            <v>N/A</v>
          </cell>
          <cell r="J93" t="str">
            <v>+</v>
          </cell>
          <cell r="L93" t="str">
            <v>kg</v>
          </cell>
          <cell r="M93">
            <v>0</v>
          </cell>
          <cell r="N93">
            <v>0</v>
          </cell>
          <cell r="O93" t="str">
            <v>N/A</v>
          </cell>
          <cell r="P93" t="str">
            <v>+</v>
          </cell>
          <cell r="R93" t="str">
            <v>kg</v>
          </cell>
          <cell r="W93" t="str">
            <v>D:\2. Data hoa nghiem\1. PP HÓA NGHIỆM CÁC BỒN-XLBM\AL3+ML.pdf</v>
          </cell>
          <cell r="AQ93" t="str">
            <v>DC-000A</v>
          </cell>
        </row>
        <row r="94">
          <cell r="A94" t="str">
            <v>DC2-H2SO4</v>
          </cell>
          <cell r="B94" t="str">
            <v>陽極處理槽  dương cực  H2SO4 (19)</v>
          </cell>
          <cell r="D94" t="str">
            <v>g/L</v>
          </cell>
          <cell r="E94" t="str">
            <v>120~150
(130±10)</v>
          </cell>
          <cell r="F94">
            <v>130</v>
          </cell>
          <cell r="G94">
            <v>0</v>
          </cell>
          <cell r="H94">
            <v>0</v>
          </cell>
          <cell r="I94">
            <v>224.64</v>
          </cell>
          <cell r="J94" t="str">
            <v>+</v>
          </cell>
          <cell r="K94">
            <v>0</v>
          </cell>
          <cell r="L94" t="str">
            <v>kg</v>
          </cell>
          <cell r="M94">
            <v>0</v>
          </cell>
          <cell r="N94">
            <v>0</v>
          </cell>
          <cell r="O94">
            <v>224.64</v>
          </cell>
          <cell r="P94" t="str">
            <v>+</v>
          </cell>
          <cell r="Q94">
            <v>0</v>
          </cell>
          <cell r="R94" t="str">
            <v>kg</v>
          </cell>
          <cell r="AQ94" t="str">
            <v>DC-000A</v>
          </cell>
        </row>
        <row r="95">
          <cell r="A95" t="str">
            <v>DC2-AL</v>
          </cell>
          <cell r="B95" t="str">
            <v>陽極處理槽 dương cực Al3+ (19)</v>
          </cell>
          <cell r="D95" t="str">
            <v>g/L</v>
          </cell>
          <cell r="E95" t="str">
            <v>1~5
(3±1.5)</v>
          </cell>
          <cell r="G95">
            <v>0</v>
          </cell>
          <cell r="H95">
            <v>0</v>
          </cell>
          <cell r="I95" t="str">
            <v>N/A</v>
          </cell>
          <cell r="J95" t="str">
            <v>+</v>
          </cell>
          <cell r="L95" t="str">
            <v>kg</v>
          </cell>
          <cell r="M95">
            <v>0</v>
          </cell>
          <cell r="N95">
            <v>0</v>
          </cell>
          <cell r="O95" t="str">
            <v>N/A</v>
          </cell>
          <cell r="P95" t="str">
            <v>+</v>
          </cell>
          <cell r="R95" t="str">
            <v>kg</v>
          </cell>
          <cell r="AQ95" t="str">
            <v>DC-000A</v>
          </cell>
        </row>
        <row r="96">
          <cell r="A96" t="str">
            <v>DC3-H2SO4</v>
          </cell>
          <cell r="B96" t="str">
            <v>陽極處理槽  dương cực  H2SO4 (20)</v>
          </cell>
          <cell r="D96" t="str">
            <v>g/L</v>
          </cell>
          <cell r="E96" t="str">
            <v>120~150
(130±10)</v>
          </cell>
          <cell r="F96">
            <v>130</v>
          </cell>
          <cell r="G96">
            <v>0</v>
          </cell>
          <cell r="H96">
            <v>0</v>
          </cell>
          <cell r="I96">
            <v>224.64</v>
          </cell>
          <cell r="J96" t="str">
            <v>+</v>
          </cell>
          <cell r="K96">
            <v>0</v>
          </cell>
          <cell r="L96" t="str">
            <v>kg</v>
          </cell>
          <cell r="M96">
            <v>0</v>
          </cell>
          <cell r="N96">
            <v>0</v>
          </cell>
          <cell r="O96">
            <v>224.64</v>
          </cell>
          <cell r="P96" t="str">
            <v>+</v>
          </cell>
          <cell r="Q96">
            <v>0</v>
          </cell>
          <cell r="R96" t="str">
            <v>kg</v>
          </cell>
          <cell r="AQ96" t="str">
            <v>DC-000A</v>
          </cell>
        </row>
        <row r="97">
          <cell r="A97" t="str">
            <v>DC3-AL</v>
          </cell>
          <cell r="B97" t="str">
            <v>陽極處理槽 dương cực Al3+ (20)</v>
          </cell>
          <cell r="D97" t="str">
            <v>g/L</v>
          </cell>
          <cell r="E97" t="str">
            <v>1~5
(3±1.5)</v>
          </cell>
          <cell r="G97">
            <v>0</v>
          </cell>
          <cell r="H97">
            <v>0</v>
          </cell>
          <cell r="I97" t="str">
            <v>N/A</v>
          </cell>
          <cell r="J97" t="str">
            <v>+</v>
          </cell>
          <cell r="L97" t="str">
            <v>kg</v>
          </cell>
          <cell r="M97">
            <v>0</v>
          </cell>
          <cell r="N97">
            <v>0</v>
          </cell>
          <cell r="O97" t="str">
            <v>N/A</v>
          </cell>
          <cell r="P97" t="str">
            <v>+</v>
          </cell>
          <cell r="R97" t="str">
            <v>kg</v>
          </cell>
          <cell r="AQ97" t="str">
            <v>DC-000A</v>
          </cell>
        </row>
        <row r="98">
          <cell r="A98" t="str">
            <v>DC-DL</v>
          </cell>
          <cell r="B98" t="str">
            <v>封孔 Đóng lỗ  (HK-101A1)</v>
          </cell>
          <cell r="D98" t="str">
            <v>g/L</v>
          </cell>
          <cell r="E98" t="str">
            <v>8~12
(10±1)</v>
          </cell>
          <cell r="F98">
            <v>10</v>
          </cell>
          <cell r="G98">
            <v>0</v>
          </cell>
          <cell r="H98">
            <v>0</v>
          </cell>
          <cell r="I98">
            <v>17.28</v>
          </cell>
          <cell r="J98" t="str">
            <v>+</v>
          </cell>
          <cell r="K98">
            <v>0</v>
          </cell>
          <cell r="L98" t="str">
            <v>kg</v>
          </cell>
          <cell r="M98">
            <v>0</v>
          </cell>
          <cell r="N98">
            <v>0</v>
          </cell>
          <cell r="O98">
            <v>17.28</v>
          </cell>
          <cell r="P98" t="str">
            <v>+</v>
          </cell>
          <cell r="Q98">
            <v>0</v>
          </cell>
          <cell r="R98" t="str">
            <v>kg</v>
          </cell>
          <cell r="W98" t="str">
            <v>D:\2. Data hoa nghiem\1. PP HÓA NGHIỆM CÁC BỒN-XLBM\đóng lỗ-ML.pdf</v>
          </cell>
          <cell r="AQ98" t="str">
            <v>DC-000A</v>
          </cell>
        </row>
        <row r="99">
          <cell r="A99" t="str">
            <v>DC-DLPH</v>
          </cell>
          <cell r="B99" t="str">
            <v>pH</v>
          </cell>
          <cell r="D99" t="str">
            <v>pH</v>
          </cell>
          <cell r="E99" t="str">
            <v>6~8
(7±0.5)</v>
          </cell>
          <cell r="H99">
            <v>0</v>
          </cell>
          <cell r="N99">
            <v>0</v>
          </cell>
          <cell r="AQ99" t="str">
            <v>DC-000A</v>
          </cell>
        </row>
        <row r="100">
          <cell r="A100" t="str">
            <v>DC-BLACK05</v>
          </cell>
          <cell r="B100" t="str">
            <v xml:space="preserve"> 染色Màu - Black-05</v>
          </cell>
          <cell r="D100" t="str">
            <v>pH</v>
          </cell>
          <cell r="E100" t="str">
            <v>5.4~5.8
(5.6±0.1)</v>
          </cell>
          <cell r="H100">
            <v>0</v>
          </cell>
          <cell r="N100">
            <v>0</v>
          </cell>
          <cell r="AQ100" t="str">
            <v>DC-000A</v>
          </cell>
        </row>
        <row r="101">
          <cell r="A101" t="str">
            <v>DC-GAY07</v>
          </cell>
          <cell r="B101" t="str">
            <v xml:space="preserve"> 染色Màu- Gey-07</v>
          </cell>
          <cell r="D101" t="str">
            <v>pH</v>
          </cell>
          <cell r="E101" t="str">
            <v>5.4~5.8</v>
          </cell>
          <cell r="H101">
            <v>0</v>
          </cell>
          <cell r="N101">
            <v>0</v>
          </cell>
          <cell r="AQ101" t="str">
            <v>DC-000A</v>
          </cell>
        </row>
        <row r="102">
          <cell r="A102" t="str">
            <v>DC-BLACK08</v>
          </cell>
          <cell r="B102" t="str">
            <v xml:space="preserve"> 染色Màu- Black-08</v>
          </cell>
          <cell r="D102" t="str">
            <v>pH</v>
          </cell>
          <cell r="E102" t="str">
            <v>5.4~5.8
(5.6±0.1)</v>
          </cell>
          <cell r="H102">
            <v>0</v>
          </cell>
          <cell r="N102">
            <v>0</v>
          </cell>
          <cell r="AQ102" t="str">
            <v>DC-000A</v>
          </cell>
        </row>
        <row r="103">
          <cell r="A103" t="str">
            <v>Hạng mục kiểm tra nhiệt độ 檢查溫度</v>
          </cell>
        </row>
        <row r="104">
          <cell r="A104" t="str">
            <v>MÃ</v>
          </cell>
          <cell r="B104" t="str">
            <v>Hạng mục kiểm tra nhiệt độ
溫度檢查項目</v>
          </cell>
          <cell r="D104" t="str">
            <v>nhiệt độ
溫度</v>
          </cell>
          <cell r="E104" t="str">
            <v>Tiêu chuẩn
控制範圍</v>
          </cell>
          <cell r="H104" t="str">
            <v>Nhiệt kế 
温度計</v>
          </cell>
          <cell r="K104" t="str">
            <v>Nhiệt tự động
自動温控</v>
          </cell>
          <cell r="N104" t="str">
            <v>Nhiệt kế 
温度計</v>
          </cell>
          <cell r="Q104" t="str">
            <v>Nhiệt tự động
自動温控</v>
          </cell>
          <cell r="AQ104" t="str">
            <v>DC-000A</v>
          </cell>
        </row>
        <row r="105">
          <cell r="A105" t="str">
            <v>DC-TEMXB1</v>
          </cell>
          <cell r="B105" t="str">
            <v>熱脫脂 Xà bông 1</v>
          </cell>
          <cell r="D105" t="str">
            <v>0C</v>
          </cell>
          <cell r="E105" t="str">
            <v>45~65ºC
(55±8oC)</v>
          </cell>
          <cell r="H105">
            <v>0</v>
          </cell>
          <cell r="K105">
            <v>0</v>
          </cell>
          <cell r="N105">
            <v>0</v>
          </cell>
          <cell r="Q105">
            <v>0</v>
          </cell>
          <cell r="AQ105" t="str">
            <v>DC-000A</v>
          </cell>
        </row>
        <row r="106">
          <cell r="A106" t="str">
            <v>DC-TEMXB2</v>
          </cell>
          <cell r="B106" t="str">
            <v>熱脫脂Xà bôngg 2</v>
          </cell>
          <cell r="D106" t="str">
            <v>0C</v>
          </cell>
          <cell r="E106" t="str">
            <v>45~65ºC
(55±8oC)</v>
          </cell>
          <cell r="H106">
            <v>0</v>
          </cell>
          <cell r="K106">
            <v>0</v>
          </cell>
          <cell r="N106">
            <v>0</v>
          </cell>
          <cell r="Q106">
            <v>0</v>
          </cell>
          <cell r="AQ106" t="str">
            <v>DC-000A</v>
          </cell>
        </row>
        <row r="107">
          <cell r="A107" t="str">
            <v>DC1-TEM</v>
          </cell>
          <cell r="B107" t="str">
            <v>陽極處理槽 dương cực Al3+ (18)</v>
          </cell>
          <cell r="D107" t="str">
            <v>0C</v>
          </cell>
          <cell r="E107" t="str">
            <v>18~25ºC
(22±2oC)</v>
          </cell>
          <cell r="H107">
            <v>0</v>
          </cell>
          <cell r="K107">
            <v>0</v>
          </cell>
          <cell r="N107">
            <v>0</v>
          </cell>
          <cell r="Q107">
            <v>0</v>
          </cell>
          <cell r="AQ107" t="str">
            <v>DC-000A</v>
          </cell>
        </row>
        <row r="108">
          <cell r="A108" t="str">
            <v>DC2-TEM</v>
          </cell>
          <cell r="B108" t="str">
            <v>陽極處理槽 dương cực Al3+ (19)</v>
          </cell>
          <cell r="D108" t="str">
            <v>0C</v>
          </cell>
          <cell r="E108" t="str">
            <v>18~25ºC
(22±2oC)</v>
          </cell>
          <cell r="H108">
            <v>0</v>
          </cell>
          <cell r="K108">
            <v>0</v>
          </cell>
          <cell r="N108">
            <v>0</v>
          </cell>
          <cell r="Q108">
            <v>0</v>
          </cell>
          <cell r="AQ108" t="str">
            <v>DC-000A</v>
          </cell>
        </row>
        <row r="109">
          <cell r="A109" t="str">
            <v>DC3-TEM</v>
          </cell>
          <cell r="B109" t="str">
            <v>陽極處理槽 dương cực Al3+ (20)</v>
          </cell>
          <cell r="D109" t="str">
            <v>0C</v>
          </cell>
          <cell r="E109" t="str">
            <v>18~25ºC
(22±2oC)</v>
          </cell>
          <cell r="H109">
            <v>0</v>
          </cell>
          <cell r="K109">
            <v>0</v>
          </cell>
          <cell r="N109">
            <v>0</v>
          </cell>
          <cell r="Q109">
            <v>0</v>
          </cell>
          <cell r="AQ109" t="str">
            <v>DC-000A</v>
          </cell>
        </row>
        <row r="110">
          <cell r="A110" t="str">
            <v>DC-TEMDL</v>
          </cell>
          <cell r="B110" t="str">
            <v>封孔 Đóng lỗ  (HK-101A1)</v>
          </cell>
          <cell r="D110" t="str">
            <v>0C</v>
          </cell>
          <cell r="E110" t="str">
            <v>30~60ºC
(45±5oC)</v>
          </cell>
          <cell r="H110">
            <v>0</v>
          </cell>
          <cell r="K110">
            <v>0</v>
          </cell>
          <cell r="N110">
            <v>0</v>
          </cell>
          <cell r="Q110">
            <v>0</v>
          </cell>
          <cell r="AQ110" t="str">
            <v>DC-000A</v>
          </cell>
        </row>
        <row r="111">
          <cell r="A111" t="str">
            <v>DC-TEMBLACK05</v>
          </cell>
          <cell r="B111" t="str">
            <v xml:space="preserve"> 染色Màu - Black-05</v>
          </cell>
          <cell r="D111" t="str">
            <v>0C</v>
          </cell>
          <cell r="E111" t="str">
            <v>42~47ºC
(44±2oC)</v>
          </cell>
          <cell r="H111">
            <v>0</v>
          </cell>
          <cell r="K111">
            <v>0</v>
          </cell>
          <cell r="N111">
            <v>0</v>
          </cell>
          <cell r="Q111">
            <v>0</v>
          </cell>
          <cell r="AQ111" t="str">
            <v>DC-000A</v>
          </cell>
        </row>
        <row r="112">
          <cell r="A112" t="str">
            <v>DC-TEMGAY07</v>
          </cell>
          <cell r="B112" t="str">
            <v xml:space="preserve"> 染色Màu- Gey-07</v>
          </cell>
          <cell r="D112" t="str">
            <v>0C</v>
          </cell>
          <cell r="E112" t="str">
            <v>42~47ºC
(44±2oC)</v>
          </cell>
          <cell r="H112">
            <v>0</v>
          </cell>
          <cell r="K112">
            <v>0</v>
          </cell>
          <cell r="N112">
            <v>0</v>
          </cell>
          <cell r="Q112">
            <v>0</v>
          </cell>
          <cell r="AQ112" t="str">
            <v>DC-000A</v>
          </cell>
        </row>
        <row r="113">
          <cell r="A113" t="str">
            <v>DC-TEMBLACK08</v>
          </cell>
          <cell r="B113" t="str">
            <v xml:space="preserve"> 染色Màu- Black-08</v>
          </cell>
          <cell r="D113" t="str">
            <v>0C</v>
          </cell>
          <cell r="E113" t="str">
            <v>55~65ºC
(60±3oC)</v>
          </cell>
          <cell r="H113">
            <v>0</v>
          </cell>
          <cell r="K113">
            <v>0</v>
          </cell>
          <cell r="N113">
            <v>0</v>
          </cell>
          <cell r="Q113">
            <v>0</v>
          </cell>
          <cell r="AQ113" t="str">
            <v>DC-000A</v>
          </cell>
        </row>
        <row r="114">
          <cell r="A114" t="str">
            <v>DC-TEMBSAY</v>
          </cell>
          <cell r="B114" t="str">
            <v>烘乾 Sấy khô</v>
          </cell>
          <cell r="D114" t="str">
            <v>0C</v>
          </cell>
          <cell r="E114" t="str">
            <v>100~110ºC
(100±5oC)</v>
          </cell>
          <cell r="H114" t="str">
            <v>\</v>
          </cell>
          <cell r="K114">
            <v>0</v>
          </cell>
          <cell r="N114" t="str">
            <v>\</v>
          </cell>
          <cell r="Q114">
            <v>0</v>
          </cell>
          <cell r="AQ114" t="str">
            <v>DC-000A</v>
          </cell>
        </row>
      </sheetData>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T TAP CHAT"/>
      <sheetName val="1"/>
      <sheetName val="2"/>
      <sheetName val="3"/>
      <sheetName val="4"/>
      <sheetName val="5"/>
      <sheetName val="6"/>
      <sheetName val="7"/>
      <sheetName val="8"/>
      <sheetName val="MENU"/>
      <sheetName val="XM.HN"/>
      <sheetName val="XM.FILE GOC"/>
      <sheetName val="1. XL-1E kh"/>
      <sheetName val="2. XL-1F kh"/>
      <sheetName val="3.XT-C kh.mau HALO"/>
      <sheetName val="3.XT-C kh.mau HALO (2)"/>
      <sheetName val="4. Zn-Ni"/>
      <sheetName val="XM.GUI MAIL"/>
      <sheetName val="1. XL-1E TT"/>
      <sheetName val="2. XL-1F TT "/>
      <sheetName val="3.XT-C TT"/>
      <sheetName val="4.ZN-NI tt(CA1)"/>
      <sheetName val="1. XL-1E TT(CA2)"/>
      <sheetName val="2. XL-1F TT(CA2)"/>
      <sheetName val="3.XT-C TT(CA2)"/>
      <sheetName val="4.ZN-NI tt(CA2)"/>
      <sheetName val="XM.chart"/>
      <sheetName val="XM.chart 1"/>
      <sheetName val="BS-XT"/>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4">
          <cell r="C94" t="str">
            <v>Nồng độ   Cr2O3 （K) 三價鉻 
FINIDIP 124  (49)</v>
          </cell>
        </row>
      </sheetData>
      <sheetData sheetId="17">
        <row r="94">
          <cell r="C94" t="str">
            <v>Nồng độ   Cr2O3 （K) 三價鉻 
FINIDIP 124  (49)</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2.%20Data%20hoa%20nghiem\2.%20QC\QC-(%20&#37573;&#37811;&#21512;&#37329;)&#28961;&#27696;&#40572;&#21514;&#38651;C%20&#32218;QC&#24037;&#31243;&#34920;2022.08.26-NIKEN.xlsx" TargetMode="External"/><Relationship Id="rId3" Type="http://schemas.openxmlformats.org/officeDocument/2006/relationships/hyperlink" Target="..\..\..\2.%20Data%20hoa%20nghiem\2.%20QC\QC-XL-1F.pdf" TargetMode="External"/><Relationship Id="rId7" Type="http://schemas.openxmlformats.org/officeDocument/2006/relationships/hyperlink" Target="..\..\..\2.%20Data%20hoa%20nghiem\2.%20QC\QC-XI%20&#272;EN.pdf" TargetMode="External"/><Relationship Id="rId2" Type="http://schemas.openxmlformats.org/officeDocument/2006/relationships/hyperlink" Target="..\..\..\2.%20Data%20hoa%20nghiem\2.%20QC\QC-XL-1E.pdf" TargetMode="External"/><Relationship Id="rId1" Type="http://schemas.openxmlformats.org/officeDocument/2006/relationships/hyperlink" Target="..\..\..\2.%20Data%20hoa%20nghiem\2.%20QC\QC-RL-G,F.pdf" TargetMode="External"/><Relationship Id="rId6" Type="http://schemas.openxmlformats.org/officeDocument/2006/relationships/hyperlink" Target="..\..\..\2.%20Data%20hoa%20nghiem\2.%20QC\QC-MANG%20LOA.pdf" TargetMode="External"/><Relationship Id="rId5" Type="http://schemas.openxmlformats.org/officeDocument/2006/relationships/hyperlink" Target="..\..\..\2.%20Data%20hoa%20nghiem\2.%20QC\QC-XT.pdf" TargetMode="External"/><Relationship Id="rId4" Type="http://schemas.openxmlformats.org/officeDocument/2006/relationships/hyperlink" Target="..\..\..\2.%20Data%20hoa%20nghiem\PP%20HOA%20NGHIEM%202021.11.25-moi.doc"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JASCO-CR3+XT,XL-1E.pdf" TargetMode="External"/><Relationship Id="rId13" Type="http://schemas.openxmlformats.org/officeDocument/2006/relationships/hyperlink" Target="..\..\..\2.%20Data%20hoa%20nghiem\1.%20PP%20H&#211;A%20NGHI&#7878;M%20C&#193;C%20B&#7890;N-XLBM\JASCO-Ph&#432;&#417;ng%20ph&#225;p%20ph&#226;n%20t&#237;ch%20ZN-Ni-XT.pdf" TargetMode="External"/><Relationship Id="rId18" Type="http://schemas.openxmlformats.org/officeDocument/2006/relationships/hyperlink" Target="..\..\..\2.%20Data%20hoa%20nghiem\1.%20PP%20H&#211;A%20NGHI&#7878;M%20C&#193;C%20B&#7890;N-XLBM\XB,&#272;G-1F,XT.pdf" TargetMode="External"/><Relationship Id="rId26" Type="http://schemas.openxmlformats.org/officeDocument/2006/relationships/drawing" Target="../drawings/drawing17.xml"/><Relationship Id="rId3" Type="http://schemas.openxmlformats.org/officeDocument/2006/relationships/hyperlink" Target="..\..\..\2.%20Data%20hoa%20nghiem\1.%20PP%20H&#211;A%20NGHI&#7878;M%20C&#193;C%20B&#7890;N-XLBM\HNO3-XM.pdf" TargetMode="External"/><Relationship Id="rId21" Type="http://schemas.openxmlformats.org/officeDocument/2006/relationships/hyperlink" Target="..\..\..\2.%20Data%20hoa%20nghiem\1.%20PP%20H&#211;A%20NGHI&#7878;M%20C&#193;C%20B&#7890;N-XLBM\CR3+-HALO.pdf" TargetMode="External"/><Relationship Id="rId7" Type="http://schemas.openxmlformats.org/officeDocument/2006/relationships/hyperlink" Target="../../../2.%20Data%20hoa%20nghiem/1.%20PP%20H&#211;A%20NGHI&#7878;M%20C&#193;C%20B&#7890;N-XLBM/HCL%20&#273;&#7863;c,%20lo&#227;ng-XT.pdf" TargetMode="External"/><Relationship Id="rId12" Type="http://schemas.openxmlformats.org/officeDocument/2006/relationships/hyperlink" Target="..\..\..\2.%20Data%20hoa%20nghiem\1.%20PP%20H&#211;A%20NGHI&#7878;M%20C&#193;C%20B&#7890;N-XLBM\ZN-XM,XT.pdf" TargetMode="External"/><Relationship Id="rId17" Type="http://schemas.openxmlformats.org/officeDocument/2006/relationships/hyperlink" Target="..\..\..\2.%20Data%20hoa%20nghiem\1.%20PP%20H&#211;A%20NGHI&#7878;M%20C&#193;C%20B&#7890;N-XLBM\NaOH.pdf" TargetMode="External"/><Relationship Id="rId25" Type="http://schemas.openxmlformats.org/officeDocument/2006/relationships/printerSettings" Target="../printerSettings/printerSettings18.bin"/><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NaOH.pdf" TargetMode="External"/><Relationship Id="rId20" Type="http://schemas.openxmlformats.org/officeDocument/2006/relationships/hyperlink" Target="..\..\..\2.%20Data%20hoa%20nghiem\1.%20PP%20H&#211;A%20NGHI&#7878;M%20C&#193;C%20B&#7890;N-XLBM\CR3+-HALO.pdf" TargetMode="External"/><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HNO3-XM.pdf" TargetMode="External"/><Relationship Id="rId11" Type="http://schemas.openxmlformats.org/officeDocument/2006/relationships/hyperlink" Target="..\..\..\2.%20Data%20hoa%20nghiem\1.%20PP%20H&#211;A%20NGHI&#7878;M%20C&#193;C%20B&#7890;N-XLBM\ZN-XM,XT.pdf" TargetMode="External"/><Relationship Id="rId24" Type="http://schemas.openxmlformats.org/officeDocument/2006/relationships/hyperlink" Target="..\..\..\2.%20Data%20hoa%20nghiem\1.%20PP%20H&#211;A%20NGHI&#7878;M%20C&#193;C%20B&#7890;N-XLBM\M&#192;U%20K%20JASCO-ti&#234;u%20chu&#7849;n%20t&#225;c%20nghi&#7879;p%20hyprotech.pdf" TargetMode="External"/><Relationship Id="rId5" Type="http://schemas.openxmlformats.org/officeDocument/2006/relationships/hyperlink" Target="..\..\..\2.%20Data%20hoa%20nghiem\1.%20PP%20H&#211;A%20NGHI&#7878;M%20C&#193;C%20B&#7890;N-XLBM\HCL%20ho&#7841;t%20h&#243;a-xt,xm.pdf" TargetMode="External"/><Relationship Id="rId15" Type="http://schemas.openxmlformats.org/officeDocument/2006/relationships/hyperlink" Target="..\..\..\2.%20Data%20hoa%20nghiem\1.%20PP%20H&#211;A%20NGHI&#7878;M%20C&#193;C%20B&#7890;N-XLBM\NaOH.pdf" TargetMode="External"/><Relationship Id="rId23" Type="http://schemas.openxmlformats.org/officeDocument/2006/relationships/hyperlink" Target="..\..\..\2.%20Data%20hoa%20nghiem\1.%20PP%20H&#211;A%20NGHI&#7878;M%20C&#193;C%20B&#7890;N-XLBM\M&#192;U%20K%20JASCO-ti&#234;u%20chu&#7849;n%20t&#225;c%20nghi&#7879;p%20hyprotech.pdf" TargetMode="External"/><Relationship Id="rId10" Type="http://schemas.openxmlformats.org/officeDocument/2006/relationships/hyperlink" Target="../../../2.%20Data%20hoa%20nghiem/1.%20PP%20H&#211;A%20NGHI&#7878;M%20C&#193;C%20B&#7890;N-XLBM/ZN-XM,XT.pdf" TargetMode="External"/><Relationship Id="rId19" Type="http://schemas.openxmlformats.org/officeDocument/2006/relationships/hyperlink" Target="..\..\..\2.%20Data%20hoa%20nghiem\1.%20PP%20H&#211;A%20NGHI&#7878;M%20C&#193;C%20B&#7890;N-XLBM\XB,&#272;G-1F,XT.pdf" TargetMode="External"/><Relationship Id="rId4" Type="http://schemas.openxmlformats.org/officeDocument/2006/relationships/hyperlink" Target="..\..\..\2.%20Data%20hoa%20nghiem\1.%20PP%20H&#211;A%20NGHI&#7878;M%20C&#193;C%20B&#7890;N-XLBM\HCL-&#273;&#7863;c,%20lo&#227;ng-XM.pdf" TargetMode="External"/><Relationship Id="rId9" Type="http://schemas.openxmlformats.org/officeDocument/2006/relationships/hyperlink" Target="..\..\..\2.%20Data%20hoa%20nghiem\1.%20PP%20H&#211;A%20NGHI&#7878;M%20C&#193;C%20B&#7890;N-XLBM\JASCO-XB,&#272;G-XL-1E.pdf" TargetMode="External"/><Relationship Id="rId14" Type="http://schemas.openxmlformats.org/officeDocument/2006/relationships/hyperlink" Target="..\..\..\2.%20Data%20hoa%20nghiem\1.%20PP%20H&#211;A%20NGHI&#7878;M%20C&#193;C%20B&#7890;N-XLBM\NA2CO3-HALO.pdf" TargetMode="External"/><Relationship Id="rId22" Type="http://schemas.openxmlformats.org/officeDocument/2006/relationships/hyperlink" Target="../../../2.%20Data%20hoa%20nghiem/1.%20PP%20H&#211;A%20NGHI&#7878;M%20C&#193;C%20B&#7890;N-XLBM/HNO3-XT.pdf"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RL.pdf" TargetMode="External"/><Relationship Id="rId13" Type="http://schemas.openxmlformats.org/officeDocument/2006/relationships/hyperlink" Target="../../../2.%20Data%20hoa%20nghiem/1.%20PP%20H&#211;A%20NGHI&#7878;M%20C&#193;C%20B&#7890;N-XLBM/t&#7927;%20l&#7879;%20acid-RL.pdf" TargetMode="External"/><Relationship Id="rId18" Type="http://schemas.openxmlformats.org/officeDocument/2006/relationships/hyperlink" Target="../../../2.%20Data%20hoa%20nghiem/1.%20PP%20H&#211;A%20NGHI&#7878;M%20C&#193;C%20B&#7890;N-XLBM/H2SO4-ML.pdf" TargetMode="External"/><Relationship Id="rId3" Type="http://schemas.openxmlformats.org/officeDocument/2006/relationships/hyperlink" Target="../../../2.%20Data%20hoa%20nghiem/1.%20PP%20H&#211;A%20NGHI&#7878;M%20C&#193;C%20B&#7890;N-XLBM/TA-photphat-RL.pdf" TargetMode="External"/><Relationship Id="rId21" Type="http://schemas.openxmlformats.org/officeDocument/2006/relationships/hyperlink" Target="../../../2.%20Data%20hoa%20nghiem/1.%20PP%20H&#211;A%20NGHI&#7878;M%20C&#193;C%20B&#7890;N-XLBM/XB-ML.pdf" TargetMode="External"/><Relationship Id="rId7" Type="http://schemas.openxmlformats.org/officeDocument/2006/relationships/hyperlink" Target="../../../2.%20Data%20hoa%20nghiem/1.%20PP%20H&#211;A%20NGHI&#7878;M%20C&#193;C%20B&#7890;N-XLBM/HCL-RL.pdf" TargetMode="External"/><Relationship Id="rId12" Type="http://schemas.openxmlformats.org/officeDocument/2006/relationships/hyperlink" Target="../../../2.%20Data%20hoa%20nghiem/1.%20PP%20H&#211;A%20NGHI&#7878;M%20C&#193;C%20B&#7890;N-XLBM/t&#7927;%20l&#7879;%20acid-RL.pdf" TargetMode="External"/><Relationship Id="rId17" Type="http://schemas.openxmlformats.org/officeDocument/2006/relationships/hyperlink" Target="../../../2.%20Data%20hoa%20nghiem/1.%20PP%20H&#211;A%20NGHI&#7878;M%20C&#193;C%20B&#7890;N-XLBM/Fe%20ph&#226;n%20ly-RL.pdf" TargetMode="External"/><Relationship Id="rId2" Type="http://schemas.openxmlformats.org/officeDocument/2006/relationships/hyperlink" Target="../../../2.%20Data%20hoa%20nghiem/1.%20PP%20H&#211;A%20NGHI&#7878;M%20C&#193;C%20B&#7890;N-XLBM/TA-photphat-RL.pdf" TargetMode="External"/><Relationship Id="rId16" Type="http://schemas.openxmlformats.org/officeDocument/2006/relationships/hyperlink" Target="../../../2.%20Data%20hoa%20nghiem/1.%20PP%20H&#211;A%20NGHI&#7878;M%20C&#193;C%20B&#7890;N-XLBM/Fe%20ph&#226;n%20ly-RL.pdf" TargetMode="External"/><Relationship Id="rId20" Type="http://schemas.openxmlformats.org/officeDocument/2006/relationships/hyperlink" Target="../../../2.%20Data%20hoa%20nghiem/1.%20PP%20H&#211;A%20NGHI&#7878;M%20C&#193;C%20B&#7890;N-XLBM/&#273;&#243;ng%20l&#7895;-ML.pdf" TargetMode="External"/><Relationship Id="rId1" Type="http://schemas.openxmlformats.org/officeDocument/2006/relationships/hyperlink" Target="../../../2.%20Data%20hoa%20nghiem/1.%20PP%20H&#211;A%20NGHI&#7878;M%20C&#193;C%20B&#7890;N-XLBM/HCL-RL.pdf" TargetMode="External"/><Relationship Id="rId6" Type="http://schemas.openxmlformats.org/officeDocument/2006/relationships/hyperlink" Target="../../../2.%20Data%20hoa%20nghiem/1.%20PP%20H&#211;A%20NGHI&#7878;M%20C&#193;C%20B&#7890;N-XLBM/kh&#7917;%20d&#7847;u-RL.pdf" TargetMode="External"/><Relationship Id="rId11" Type="http://schemas.openxmlformats.org/officeDocument/2006/relationships/hyperlink" Target="../../../2.%20Data%20hoa%20nghiem/1.%20PP%20H&#211;A%20NGHI&#7878;M%20C&#193;C%20B&#7890;N-XLBM/t&#7927;%20l&#7879;%20acid-RL.pdf" TargetMode="External"/><Relationship Id="rId24" Type="http://schemas.openxmlformats.org/officeDocument/2006/relationships/drawing" Target="../drawings/drawing42.xml"/><Relationship Id="rId5" Type="http://schemas.openxmlformats.org/officeDocument/2006/relationships/hyperlink" Target="../../../2.%20Data%20hoa%20nghiem/1.%20PP%20H&#211;A%20NGHI&#7878;M%20C&#193;C%20B&#7890;N-XLBM/kh&#7917;%20d&#7847;u-RL.pdf" TargetMode="External"/><Relationship Id="rId15" Type="http://schemas.openxmlformats.org/officeDocument/2006/relationships/hyperlink" Target="../../../2.%20Data%20hoa%20nghiem/1.%20PP%20H&#211;A%20NGHI&#7878;M%20C&#193;C%20B&#7890;N-XLBM/Fe%20ph&#226;n%20ly-RL.pdf" TargetMode="External"/><Relationship Id="rId23" Type="http://schemas.openxmlformats.org/officeDocument/2006/relationships/printerSettings" Target="../printerSettings/printerSettings43.bin"/><Relationship Id="rId10" Type="http://schemas.openxmlformats.org/officeDocument/2006/relationships/hyperlink" Target="../../../2.%20Data%20hoa%20nghiem/1.%20PP%20H&#211;A%20NGHI&#7878;M%20C&#193;C%20B&#7890;N-XLBM/t&#7927;%20l&#7879;%20acid-RL.pdf" TargetMode="External"/><Relationship Id="rId19" Type="http://schemas.openxmlformats.org/officeDocument/2006/relationships/hyperlink" Target="../../../2.%20Data%20hoa%20nghiem/1.%20PP%20H&#211;A%20NGHI&#7878;M%20C&#193;C%20B&#7890;N-XLBM/AL3+ML.pdf" TargetMode="External"/><Relationship Id="rId4" Type="http://schemas.openxmlformats.org/officeDocument/2006/relationships/hyperlink" Target="../../../2.%20Data%20hoa%20nghiem/1.%20PP%20H&#211;A%20NGHI&#7878;M%20C&#193;C%20B&#7890;N-XLBM/TA-photphat-RL.pdf" TargetMode="External"/><Relationship Id="rId9" Type="http://schemas.openxmlformats.org/officeDocument/2006/relationships/hyperlink" Target="../../../2.%20Data%20hoa%20nghiem/1.%20PP%20H&#211;A%20NGHI&#7878;M%20C&#193;C%20B&#7890;N-XLBM/TA-photphat-RL.pdf" TargetMode="External"/><Relationship Id="rId14" Type="http://schemas.openxmlformats.org/officeDocument/2006/relationships/hyperlink" Target="../../../2.%20Data%20hoa%20nghiem/1.%20PP%20H&#211;A%20NGHI&#7878;M%20C&#193;C%20B&#7890;N-XLBM/Fe%20ph&#226;n%20ly-RL.pdf" TargetMode="External"/><Relationship Id="rId22" Type="http://schemas.openxmlformats.org/officeDocument/2006/relationships/hyperlink" Target="../../../2.%20Data%20hoa%20nghiem/1.%20PP%20H&#211;A%20NGHI&#7878;M%20C&#193;C%20B&#7890;N-XLBM/HNO3-ML.pdf"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7.bin"/><Relationship Id="rId1" Type="http://schemas.openxmlformats.org/officeDocument/2006/relationships/hyperlink" Target="..\..\..\2.%20Data%20hoa%20nghiem\1.%20PP%20H&#211;A%20NGHI&#7878;M%20C&#193;C%20B&#7890;N-XLBM\HCL-&#272;&#7846;U%20V&#192;O.xlsx"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dimension ref="A1:I79"/>
  <sheetViews>
    <sheetView showGridLines="0" view="pageBreakPreview" zoomScale="85" zoomScaleNormal="70" zoomScaleSheetLayoutView="85" workbookViewId="0">
      <pane xSplit="1" ySplit="3" topLeftCell="B55" activePane="bottomRight" state="frozen"/>
      <selection pane="topRight" activeCell="B1" sqref="B1"/>
      <selection pane="bottomLeft" activeCell="A4" sqref="A4"/>
      <selection pane="bottomRight" activeCell="C51" sqref="C51"/>
    </sheetView>
  </sheetViews>
  <sheetFormatPr defaultRowHeight="15"/>
  <cols>
    <col min="1" max="1" width="10.125" style="919" customWidth="1"/>
    <col min="2" max="2" width="28.75" style="919" customWidth="1"/>
    <col min="3" max="3" width="16.375" style="919" customWidth="1"/>
    <col min="4" max="4" width="11.875" style="1343" customWidth="1"/>
    <col min="5" max="5" width="11.75" style="1343" hidden="1" customWidth="1"/>
    <col min="6" max="6" width="9" style="1334"/>
    <col min="7" max="7" width="9.875" style="919" customWidth="1"/>
    <col min="8" max="8" width="9" style="919" customWidth="1"/>
    <col min="9" max="16384" width="9" style="919"/>
  </cols>
  <sheetData>
    <row r="1" spans="1:9" ht="30" customHeight="1">
      <c r="B1" s="2633" t="s">
        <v>1242</v>
      </c>
      <c r="C1" s="2633"/>
      <c r="D1" s="2633"/>
      <c r="E1" s="2633"/>
      <c r="F1" s="2633"/>
      <c r="G1" s="2633"/>
      <c r="H1" s="2179"/>
    </row>
    <row r="2" spans="1:9" ht="16.5" customHeight="1">
      <c r="B2" s="1354" t="str">
        <f>MENU!AD9</f>
        <v>2024/01/09</v>
      </c>
      <c r="C2" s="1333"/>
      <c r="G2" s="2180">
        <v>0.29166666666666669</v>
      </c>
      <c r="H2" s="2180">
        <v>0.45833333333333331</v>
      </c>
      <c r="I2" s="2180">
        <v>0.54166666666666663</v>
      </c>
    </row>
    <row r="3" spans="1:9" ht="22.5" customHeight="1">
      <c r="A3" s="923" t="s">
        <v>1260</v>
      </c>
      <c r="B3" s="1436" t="s">
        <v>1219</v>
      </c>
      <c r="C3" s="1437" t="s">
        <v>1297</v>
      </c>
      <c r="D3" s="2636" t="s">
        <v>1251</v>
      </c>
      <c r="E3" s="2637"/>
      <c r="F3" s="1438" t="s">
        <v>1298</v>
      </c>
      <c r="G3" s="1437" t="s">
        <v>1222</v>
      </c>
      <c r="H3" s="1437"/>
    </row>
    <row r="4" spans="1:9" ht="24" customHeight="1">
      <c r="A4" s="1353" t="s">
        <v>1263</v>
      </c>
      <c r="B4" s="2634" t="s">
        <v>1274</v>
      </c>
      <c r="C4" s="921" t="s">
        <v>1223</v>
      </c>
      <c r="D4" s="1344" t="str">
        <f>'XM.GUI MAIL'!E17</f>
        <v>8~12</v>
      </c>
      <c r="E4" s="1344" t="str">
        <f>'XM.GUI MAIL'!F17</f>
        <v>(10±2)</v>
      </c>
      <c r="F4" s="1332" t="s">
        <v>1224</v>
      </c>
      <c r="G4" s="1425">
        <f>'XM.GUI MAIL'!I17</f>
        <v>0</v>
      </c>
      <c r="H4" s="1425">
        <f>'XM.GUI MAIL'!P17</f>
        <v>0</v>
      </c>
      <c r="I4" s="1425">
        <f>'XM.GUI MAIL'!W17</f>
        <v>0</v>
      </c>
    </row>
    <row r="5" spans="1:9" ht="24" customHeight="1">
      <c r="A5" s="1353" t="s">
        <v>1263</v>
      </c>
      <c r="B5" s="2635"/>
      <c r="C5" s="921" t="s">
        <v>1225</v>
      </c>
      <c r="D5" s="1344" t="str">
        <f>'XM.GUI MAIL'!E16</f>
        <v>130 - 150</v>
      </c>
      <c r="E5" s="1344" t="str">
        <f>'XM.GUI MAIL'!F18</f>
        <v>(14±2)</v>
      </c>
      <c r="F5" s="1332" t="s">
        <v>1224</v>
      </c>
      <c r="G5" s="1425">
        <f>'XM.GUI MAIL'!I16</f>
        <v>0</v>
      </c>
      <c r="H5" s="1425">
        <f>'XM.GUI MAIL'!P16</f>
        <v>0</v>
      </c>
      <c r="I5" s="1425">
        <f>'XM.GUI MAIL'!W16</f>
        <v>0</v>
      </c>
    </row>
    <row r="6" spans="1:9" ht="23.25" customHeight="1">
      <c r="A6" s="1353" t="s">
        <v>1263</v>
      </c>
      <c r="B6" s="2635"/>
      <c r="C6" s="1341" t="s">
        <v>1226</v>
      </c>
      <c r="D6" s="1345" t="s">
        <v>1252</v>
      </c>
      <c r="E6" s="1352" t="str">
        <f>'XM.GUI MAIL'!F19</f>
        <v>(2±0.2 )</v>
      </c>
      <c r="F6" s="1342" t="s">
        <v>1224</v>
      </c>
      <c r="G6" s="1426"/>
      <c r="H6" s="1426"/>
      <c r="I6" s="1426"/>
    </row>
    <row r="7" spans="1:9" ht="23.25" customHeight="1">
      <c r="A7" s="1353" t="s">
        <v>1263</v>
      </c>
      <c r="B7" s="2635"/>
      <c r="C7" s="1341" t="s">
        <v>1227</v>
      </c>
      <c r="D7" s="1346" t="s">
        <v>1228</v>
      </c>
      <c r="E7" s="1344"/>
      <c r="F7" s="1342" t="s">
        <v>1229</v>
      </c>
      <c r="G7" s="1426"/>
      <c r="H7" s="1426"/>
      <c r="I7" s="1426"/>
    </row>
    <row r="8" spans="1:9" ht="23.25" customHeight="1">
      <c r="A8" s="1353" t="s">
        <v>1263</v>
      </c>
      <c r="B8" s="2635"/>
      <c r="C8" s="1341" t="s">
        <v>1230</v>
      </c>
      <c r="D8" s="1346" t="s">
        <v>1228</v>
      </c>
      <c r="E8" s="1344"/>
      <c r="F8" s="1342" t="s">
        <v>1229</v>
      </c>
      <c r="G8" s="1426"/>
      <c r="H8" s="1426"/>
      <c r="I8" s="1426"/>
    </row>
    <row r="9" spans="1:9" ht="23.25" customHeight="1">
      <c r="A9" s="1353" t="s">
        <v>1263</v>
      </c>
      <c r="B9" s="2635"/>
      <c r="C9" s="1341" t="s">
        <v>1231</v>
      </c>
      <c r="D9" s="1346" t="s">
        <v>1228</v>
      </c>
      <c r="E9" s="1344"/>
      <c r="F9" s="1342" t="s">
        <v>1229</v>
      </c>
      <c r="G9" s="1426"/>
      <c r="H9" s="1426"/>
      <c r="I9" s="1426"/>
    </row>
    <row r="10" spans="1:9" ht="23.25" customHeight="1">
      <c r="A10" s="1353" t="s">
        <v>1263</v>
      </c>
      <c r="B10" s="2635"/>
      <c r="C10" s="1341" t="s">
        <v>1232</v>
      </c>
      <c r="D10" s="1346" t="s">
        <v>1228</v>
      </c>
      <c r="E10" s="1344"/>
      <c r="F10" s="1342" t="s">
        <v>1229</v>
      </c>
      <c r="G10" s="1426"/>
      <c r="H10" s="1426"/>
      <c r="I10" s="1426"/>
    </row>
    <row r="11" spans="1:9" ht="21" customHeight="1">
      <c r="A11" s="1353" t="s">
        <v>1263</v>
      </c>
      <c r="B11" s="2634" t="s">
        <v>1267</v>
      </c>
      <c r="C11" s="921" t="s">
        <v>1243</v>
      </c>
      <c r="D11" s="1344" t="str">
        <f>'XM.GUI MAIL'!E18</f>
        <v xml:space="preserve">12~18 </v>
      </c>
      <c r="E11" s="1344" t="str">
        <f>'XM.GUI MAIL'!F24</f>
        <v>(7.5±1)</v>
      </c>
      <c r="F11" s="1332" t="s">
        <v>1234</v>
      </c>
      <c r="G11" s="1425">
        <f>'XM.GUI MAIL'!I18</f>
        <v>0</v>
      </c>
      <c r="H11" s="1425">
        <f>'XM.GUI MAIL'!P18</f>
        <v>0</v>
      </c>
      <c r="I11" s="1425">
        <f>'XM.GUI MAIL'!W18</f>
        <v>0</v>
      </c>
    </row>
    <row r="12" spans="1:9" ht="24.75" customHeight="1">
      <c r="A12" s="1353" t="s">
        <v>1263</v>
      </c>
      <c r="B12" s="2635"/>
      <c r="C12" s="921" t="s">
        <v>1235</v>
      </c>
      <c r="D12" s="1347" t="str">
        <f>'XM.GUI MAIL'!E19</f>
        <v>1.6~2.2</v>
      </c>
      <c r="E12" s="1344" t="str">
        <f>'XM.GUI MAIL'!F25</f>
        <v>(2±0.1)</v>
      </c>
      <c r="F12" s="1337" t="s">
        <v>1236</v>
      </c>
      <c r="G12" s="1425">
        <f>'XM.GUI MAIL'!I19</f>
        <v>0</v>
      </c>
      <c r="H12" s="1425">
        <f>'XM.GUI MAIL'!P19</f>
        <v>0</v>
      </c>
      <c r="I12" s="1425">
        <f>'XM.GUI MAIL'!W19</f>
        <v>0</v>
      </c>
    </row>
    <row r="13" spans="1:9" ht="23.25" customHeight="1">
      <c r="A13" s="1353" t="s">
        <v>1263</v>
      </c>
      <c r="B13" s="2635"/>
      <c r="C13" s="1341" t="s">
        <v>1227</v>
      </c>
      <c r="D13" s="1348" t="s">
        <v>1244</v>
      </c>
      <c r="E13" s="1344"/>
      <c r="F13" s="1342" t="s">
        <v>1229</v>
      </c>
      <c r="G13" s="1426"/>
      <c r="H13" s="1426"/>
      <c r="I13" s="1426"/>
    </row>
    <row r="14" spans="1:9" ht="23.25" customHeight="1">
      <c r="A14" s="1353" t="s">
        <v>1263</v>
      </c>
      <c r="B14" s="2635"/>
      <c r="C14" s="1341" t="s">
        <v>1230</v>
      </c>
      <c r="D14" s="1348" t="s">
        <v>1245</v>
      </c>
      <c r="E14" s="1344"/>
      <c r="F14" s="1342" t="s">
        <v>1229</v>
      </c>
      <c r="G14" s="1426"/>
      <c r="H14" s="1426"/>
      <c r="I14" s="1426"/>
    </row>
    <row r="15" spans="1:9" ht="23.25" customHeight="1">
      <c r="A15" s="1353" t="s">
        <v>1263</v>
      </c>
      <c r="B15" s="2635"/>
      <c r="C15" s="1341" t="s">
        <v>1238</v>
      </c>
      <c r="D15" s="1349" t="s">
        <v>1444</v>
      </c>
      <c r="E15" s="1344"/>
      <c r="F15" s="1342" t="s">
        <v>1229</v>
      </c>
      <c r="G15" s="1426"/>
      <c r="H15" s="1426"/>
      <c r="I15" s="1426"/>
    </row>
    <row r="16" spans="1:9" ht="20.25" customHeight="1">
      <c r="A16" s="1353" t="s">
        <v>1263</v>
      </c>
      <c r="B16" s="2634" t="s">
        <v>1254</v>
      </c>
      <c r="C16" s="921" t="s">
        <v>1233</v>
      </c>
      <c r="D16" s="1344" t="str">
        <f>'XM.GUI MAIL'!E24</f>
        <v>5~10</v>
      </c>
      <c r="E16" s="1344" t="str">
        <f>'XM.GUI MAIL'!F29</f>
        <v>(60±5)</v>
      </c>
      <c r="F16" s="1332" t="s">
        <v>1234</v>
      </c>
      <c r="G16" s="1425" t="str">
        <f>'XM.GUI MAIL'!I24</f>
        <v/>
      </c>
      <c r="H16" s="1425" t="str">
        <f>'XM.GUI MAIL'!I24</f>
        <v/>
      </c>
      <c r="I16" s="1425" t="str">
        <f>'XM.GUI MAIL'!W24</f>
        <v/>
      </c>
    </row>
    <row r="17" spans="1:9" ht="23.25" customHeight="1">
      <c r="A17" s="1353" t="s">
        <v>1263</v>
      </c>
      <c r="B17" s="2635"/>
      <c r="C17" s="921" t="s">
        <v>1235</v>
      </c>
      <c r="D17" s="1347" t="str">
        <f>'XM.GUI MAIL'!E25</f>
        <v>1.8~2.2</v>
      </c>
      <c r="E17" s="1344" t="str">
        <f>'XM.GUI MAIL'!F30</f>
        <v>(50±5)</v>
      </c>
      <c r="F17" s="1337" t="s">
        <v>1236</v>
      </c>
      <c r="G17" s="1425">
        <f>'XM.GUI MAIL'!I25</f>
        <v>0</v>
      </c>
      <c r="H17" s="1425">
        <f>'XM.GUI MAIL'!I25</f>
        <v>0</v>
      </c>
      <c r="I17" s="1425">
        <f>'XM.GUI MAIL'!W25</f>
        <v>0</v>
      </c>
    </row>
    <row r="18" spans="1:9" ht="23.25" customHeight="1">
      <c r="A18" s="1353" t="s">
        <v>1263</v>
      </c>
      <c r="B18" s="2635"/>
      <c r="C18" s="1341" t="s">
        <v>1227</v>
      </c>
      <c r="D18" s="1349" t="s">
        <v>1448</v>
      </c>
      <c r="E18" s="1349"/>
      <c r="F18" s="1342" t="s">
        <v>1229</v>
      </c>
      <c r="G18" s="1341"/>
      <c r="H18" s="2181"/>
      <c r="I18" s="2181"/>
    </row>
    <row r="19" spans="1:9" ht="23.25" customHeight="1">
      <c r="A19" s="1353" t="s">
        <v>1263</v>
      </c>
      <c r="B19" s="2635"/>
      <c r="C19" s="1341" t="s">
        <v>1230</v>
      </c>
      <c r="D19" s="1349" t="s">
        <v>1445</v>
      </c>
      <c r="E19" s="1349"/>
      <c r="F19" s="1342" t="s">
        <v>1229</v>
      </c>
      <c r="G19" s="1341"/>
      <c r="H19" s="2181"/>
      <c r="I19" s="2181"/>
    </row>
    <row r="20" spans="1:9" ht="23.25" customHeight="1">
      <c r="A20" s="1353" t="s">
        <v>1263</v>
      </c>
      <c r="B20" s="2635"/>
      <c r="C20" s="1341" t="s">
        <v>1238</v>
      </c>
      <c r="D20" s="1349" t="s">
        <v>1449</v>
      </c>
      <c r="E20" s="1349"/>
      <c r="F20" s="1342" t="s">
        <v>1229</v>
      </c>
      <c r="G20" s="1341"/>
      <c r="H20" s="2181"/>
      <c r="I20" s="2181"/>
    </row>
    <row r="21" spans="1:9" ht="15" customHeight="1">
      <c r="B21" s="1338"/>
      <c r="C21" s="1339"/>
      <c r="D21" s="1350"/>
      <c r="E21" s="1350"/>
      <c r="F21" s="1340"/>
      <c r="G21" s="1339"/>
      <c r="H21" s="1339"/>
      <c r="I21" s="1339"/>
    </row>
    <row r="22" spans="1:9" ht="22.5" customHeight="1">
      <c r="B22" s="1436" t="s">
        <v>1219</v>
      </c>
      <c r="C22" s="1437" t="s">
        <v>1297</v>
      </c>
      <c r="D22" s="2636" t="s">
        <v>1251</v>
      </c>
      <c r="E22" s="2637"/>
      <c r="F22" s="1438" t="s">
        <v>1298</v>
      </c>
      <c r="G22" s="1437" t="s">
        <v>1222</v>
      </c>
      <c r="H22" s="2182"/>
      <c r="I22" s="2182"/>
    </row>
    <row r="23" spans="1:9" ht="21.75" customHeight="1">
      <c r="A23" s="919" t="s">
        <v>1261</v>
      </c>
      <c r="B23" s="2634" t="s">
        <v>1255</v>
      </c>
      <c r="C23" s="921" t="s">
        <v>1223</v>
      </c>
      <c r="D23" s="1344" t="str">
        <f>'XM.GUI MAIL'!E52</f>
        <v>8~12</v>
      </c>
      <c r="E23" s="1344" t="str">
        <f>'XM.GUI MAIL'!F52</f>
        <v>(10±2)</v>
      </c>
      <c r="F23" s="1332" t="s">
        <v>1224</v>
      </c>
      <c r="G23" s="1425">
        <f>'XM.GUI MAIL'!I52</f>
        <v>11.57</v>
      </c>
      <c r="H23" s="1425">
        <f>'XM.GUI MAIL'!P52</f>
        <v>11.18</v>
      </c>
      <c r="I23" s="1425">
        <f>'XM.GUI MAIL'!W52</f>
        <v>11.18</v>
      </c>
    </row>
    <row r="24" spans="1:9" ht="21.75" customHeight="1">
      <c r="A24" s="919" t="s">
        <v>1261</v>
      </c>
      <c r="B24" s="2635"/>
      <c r="C24" s="921" t="s">
        <v>1225</v>
      </c>
      <c r="D24" s="1344" t="str">
        <f>'XM.GUI MAIL'!E51</f>
        <v>130 - 150</v>
      </c>
      <c r="E24" s="1344" t="str">
        <f>'XM.GUI MAIL'!F51</f>
        <v>(140±7)</v>
      </c>
      <c r="F24" s="1332" t="s">
        <v>1224</v>
      </c>
      <c r="G24" s="1425">
        <f>'XM.GUI MAIL'!I51</f>
        <v>144.4</v>
      </c>
      <c r="H24" s="1425">
        <f>'XM.GUI MAIL'!P51</f>
        <v>145.6</v>
      </c>
      <c r="I24" s="1425">
        <f>'XM.GUI MAIL'!W51</f>
        <v>145.6</v>
      </c>
    </row>
    <row r="25" spans="1:9" ht="23.25" customHeight="1">
      <c r="A25" s="919" t="s">
        <v>1261</v>
      </c>
      <c r="B25" s="2635"/>
      <c r="C25" s="1341" t="s">
        <v>1226</v>
      </c>
      <c r="D25" s="1345" t="s">
        <v>1439</v>
      </c>
      <c r="E25" s="1345"/>
      <c r="F25" s="1342" t="s">
        <v>1224</v>
      </c>
      <c r="G25" s="1426"/>
      <c r="H25" s="1426"/>
      <c r="I25" s="1426"/>
    </row>
    <row r="26" spans="1:9" ht="23.25" customHeight="1">
      <c r="A26" s="919" t="s">
        <v>1261</v>
      </c>
      <c r="B26" s="2635"/>
      <c r="C26" s="1341" t="s">
        <v>1227</v>
      </c>
      <c r="D26" s="1346" t="s">
        <v>1228</v>
      </c>
      <c r="E26" s="1346"/>
      <c r="F26" s="1342" t="s">
        <v>1229</v>
      </c>
      <c r="G26" s="1426"/>
      <c r="H26" s="1426"/>
      <c r="I26" s="1426"/>
    </row>
    <row r="27" spans="1:9" ht="23.25" customHeight="1">
      <c r="A27" s="919" t="s">
        <v>1261</v>
      </c>
      <c r="B27" s="2635"/>
      <c r="C27" s="1341" t="s">
        <v>1230</v>
      </c>
      <c r="D27" s="1346" t="s">
        <v>1228</v>
      </c>
      <c r="E27" s="1346"/>
      <c r="F27" s="1342" t="s">
        <v>1229</v>
      </c>
      <c r="G27" s="1426"/>
      <c r="H27" s="1426"/>
      <c r="I27" s="1426"/>
    </row>
    <row r="28" spans="1:9" ht="23.25" customHeight="1">
      <c r="A28" s="919" t="s">
        <v>1261</v>
      </c>
      <c r="B28" s="2635"/>
      <c r="C28" s="1341" t="s">
        <v>1231</v>
      </c>
      <c r="D28" s="1346" t="s">
        <v>1228</v>
      </c>
      <c r="E28" s="1346"/>
      <c r="F28" s="1342" t="s">
        <v>1229</v>
      </c>
      <c r="G28" s="1426"/>
      <c r="H28" s="1426"/>
      <c r="I28" s="1426"/>
    </row>
    <row r="29" spans="1:9" ht="23.25" customHeight="1">
      <c r="A29" s="919" t="s">
        <v>1261</v>
      </c>
      <c r="B29" s="2635"/>
      <c r="C29" s="1341" t="s">
        <v>1232</v>
      </c>
      <c r="D29" s="1346" t="s">
        <v>1228</v>
      </c>
      <c r="E29" s="1346"/>
      <c r="F29" s="1342" t="s">
        <v>1229</v>
      </c>
      <c r="G29" s="1426"/>
      <c r="H29" s="1426"/>
      <c r="I29" s="1426"/>
    </row>
    <row r="30" spans="1:9" ht="21" customHeight="1">
      <c r="A30" s="919" t="s">
        <v>1261</v>
      </c>
      <c r="B30" s="2634" t="s">
        <v>1264</v>
      </c>
      <c r="C30" s="921" t="s">
        <v>1239</v>
      </c>
      <c r="D30" s="1344" t="str">
        <f>'XM.GUI MAIL'!E53</f>
        <v xml:space="preserve">6~10 </v>
      </c>
      <c r="E30" s="1344" t="str">
        <f>'XM.GUI MAIL'!F53</f>
        <v>(7±1)</v>
      </c>
      <c r="F30" s="1332" t="s">
        <v>1234</v>
      </c>
      <c r="G30" s="1425">
        <f>'XM.GUI MAIL'!I53</f>
        <v>6.96183</v>
      </c>
      <c r="H30" s="1425">
        <f>'XM.GUI MAIL'!P53</f>
        <v>7.0042</v>
      </c>
      <c r="I30" s="1425">
        <f>'XM.GUI MAIL'!W53</f>
        <v>6.6652399999999998</v>
      </c>
    </row>
    <row r="31" spans="1:9" ht="21" customHeight="1">
      <c r="A31" s="919" t="s">
        <v>1261</v>
      </c>
      <c r="B31" s="2635"/>
      <c r="C31" s="921" t="s">
        <v>1235</v>
      </c>
      <c r="D31" s="1347" t="str">
        <f>'XM.GUI MAIL'!E54</f>
        <v>2~2.5</v>
      </c>
      <c r="E31" s="1347" t="str">
        <f>'XM.GUI MAIL'!F54</f>
        <v>(2.3±0.1 )</v>
      </c>
      <c r="F31" s="1337" t="s">
        <v>1236</v>
      </c>
      <c r="G31" s="1425">
        <f>'XM.GUI MAIL'!I54</f>
        <v>2.5</v>
      </c>
      <c r="H31" s="1425">
        <f>'XM.GUI MAIL'!P54</f>
        <v>2.2999999999999998</v>
      </c>
      <c r="I31" s="1425">
        <f>'XM.GUI MAIL'!W54</f>
        <v>2.2999999999999998</v>
      </c>
    </row>
    <row r="32" spans="1:9" ht="23.25" customHeight="1">
      <c r="A32" s="919" t="s">
        <v>1261</v>
      </c>
      <c r="B32" s="2635"/>
      <c r="C32" s="1341" t="s">
        <v>1227</v>
      </c>
      <c r="D32" s="1348" t="s">
        <v>1437</v>
      </c>
      <c r="E32" s="1348"/>
      <c r="F32" s="1342" t="s">
        <v>1229</v>
      </c>
      <c r="G32" s="1426"/>
      <c r="H32" s="1426"/>
      <c r="I32" s="1426"/>
    </row>
    <row r="33" spans="1:9" ht="23.25" customHeight="1">
      <c r="A33" s="919" t="s">
        <v>1261</v>
      </c>
      <c r="B33" s="2635"/>
      <c r="C33" s="1341" t="s">
        <v>1230</v>
      </c>
      <c r="D33" s="1349"/>
      <c r="E33" s="1348"/>
      <c r="F33" s="1342" t="s">
        <v>1229</v>
      </c>
      <c r="G33" s="1426"/>
      <c r="H33" s="1426"/>
      <c r="I33" s="1426"/>
    </row>
    <row r="34" spans="1:9" ht="23.25" customHeight="1">
      <c r="A34" s="919" t="s">
        <v>1261</v>
      </c>
      <c r="B34" s="2635"/>
      <c r="C34" s="1341" t="s">
        <v>1238</v>
      </c>
      <c r="D34" s="1349" t="s">
        <v>1447</v>
      </c>
      <c r="E34" s="1349"/>
      <c r="F34" s="1342" t="s">
        <v>1229</v>
      </c>
      <c r="G34" s="1426"/>
      <c r="H34" s="1426"/>
      <c r="I34" s="1426"/>
    </row>
    <row r="35" spans="1:9" ht="18" customHeight="1">
      <c r="A35" s="919" t="s">
        <v>1261</v>
      </c>
      <c r="B35" s="2634" t="s">
        <v>1265</v>
      </c>
      <c r="C35" s="921" t="s">
        <v>1240</v>
      </c>
      <c r="D35" s="1344" t="str">
        <f>'XM.GUI MAIL'!E59</f>
        <v>5~8</v>
      </c>
      <c r="E35" s="1344" t="str">
        <f>'XM.GUI MAIL'!F59</f>
        <v>(6±0.5)</v>
      </c>
      <c r="F35" s="1332" t="s">
        <v>1234</v>
      </c>
      <c r="G35" s="1425">
        <f>'XM.GUI MAIL'!I59</f>
        <v>6.120000000000001</v>
      </c>
      <c r="H35" s="1425">
        <f>'XM.GUI MAIL'!I59</f>
        <v>6.120000000000001</v>
      </c>
      <c r="I35" s="1425" t="str">
        <f>'XM.GUI MAIL'!W59</f>
        <v>KO SX</v>
      </c>
    </row>
    <row r="36" spans="1:9" ht="18" customHeight="1">
      <c r="A36" s="919" t="s">
        <v>1261</v>
      </c>
      <c r="B36" s="2635"/>
      <c r="C36" s="921" t="s">
        <v>1235</v>
      </c>
      <c r="D36" s="1347" t="str">
        <f>'XM.GUI MAIL'!E60</f>
        <v>1.8~2.4</v>
      </c>
      <c r="E36" s="1347" t="str">
        <f>'XM.GUI MAIL'!F60</f>
        <v>(2.1±0.1 )</v>
      </c>
      <c r="F36" s="1337" t="s">
        <v>1236</v>
      </c>
      <c r="G36" s="1425">
        <f>'XM.GUI MAIL'!I60</f>
        <v>2.2000000000000002</v>
      </c>
      <c r="H36" s="1425">
        <f>'XM.GUI MAIL'!I60</f>
        <v>2.2000000000000002</v>
      </c>
      <c r="I36" s="1425" t="str">
        <f>'XM.GUI MAIL'!W60</f>
        <v>KO SX</v>
      </c>
    </row>
    <row r="37" spans="1:9" ht="23.25" customHeight="1">
      <c r="A37" s="919" t="s">
        <v>1261</v>
      </c>
      <c r="B37" s="2635"/>
      <c r="C37" s="1341" t="s">
        <v>1227</v>
      </c>
      <c r="D37" s="1349">
        <v>150</v>
      </c>
      <c r="E37" s="1349"/>
      <c r="F37" s="1342" t="s">
        <v>1229</v>
      </c>
      <c r="G37" s="1341"/>
      <c r="H37" s="2181"/>
      <c r="I37" s="2181"/>
    </row>
    <row r="38" spans="1:9" ht="23.25" customHeight="1">
      <c r="A38" s="919" t="s">
        <v>1261</v>
      </c>
      <c r="B38" s="2635"/>
      <c r="C38" s="1341" t="s">
        <v>1230</v>
      </c>
      <c r="D38" s="1349"/>
      <c r="E38" s="1349"/>
      <c r="F38" s="1342" t="s">
        <v>1229</v>
      </c>
      <c r="G38" s="1341"/>
      <c r="H38" s="2181"/>
      <c r="I38" s="2181"/>
    </row>
    <row r="39" spans="1:9" ht="23.25" customHeight="1">
      <c r="A39" s="919" t="s">
        <v>1261</v>
      </c>
      <c r="B39" s="2635"/>
      <c r="C39" s="1341" t="s">
        <v>1238</v>
      </c>
      <c r="D39" s="1349" t="s">
        <v>1446</v>
      </c>
      <c r="E39" s="1349"/>
      <c r="F39" s="1342" t="s">
        <v>1229</v>
      </c>
      <c r="G39" s="1341"/>
      <c r="H39" s="2181"/>
      <c r="I39" s="2181"/>
    </row>
    <row r="40" spans="1:9" ht="14.25" customHeight="1"/>
    <row r="41" spans="1:9" ht="21.75" customHeight="1">
      <c r="B41" s="1436" t="s">
        <v>1219</v>
      </c>
      <c r="C41" s="1437" t="s">
        <v>1297</v>
      </c>
      <c r="D41" s="2636" t="s">
        <v>1251</v>
      </c>
      <c r="E41" s="2637"/>
      <c r="F41" s="1438" t="s">
        <v>1298</v>
      </c>
      <c r="G41" s="1437" t="s">
        <v>1222</v>
      </c>
      <c r="H41" s="2182"/>
      <c r="I41" s="2182"/>
    </row>
    <row r="42" spans="1:9" ht="20.25" customHeight="1">
      <c r="A42" s="919" t="s">
        <v>1261</v>
      </c>
      <c r="B42" s="2634" t="s">
        <v>1256</v>
      </c>
      <c r="C42" s="921" t="s">
        <v>1223</v>
      </c>
      <c r="D42" s="1344" t="str">
        <f>'XM.GUI MAIL'!E87</f>
        <v>7~10</v>
      </c>
      <c r="E42" s="1344" t="str">
        <f>'XM.GUI MAIL'!F87</f>
        <v>(8.5±1)</v>
      </c>
      <c r="F42" s="1332" t="s">
        <v>1224</v>
      </c>
      <c r="G42" s="1425">
        <f>'XM.GUI MAIL'!I87</f>
        <v>8.58</v>
      </c>
      <c r="H42" s="1425">
        <f>'XM.GUI MAIL'!P87</f>
        <v>8.32</v>
      </c>
      <c r="I42" s="1425">
        <f>'XM.GUI MAIL'!W87</f>
        <v>8.3849999999999998</v>
      </c>
    </row>
    <row r="43" spans="1:9" ht="20.25" customHeight="1">
      <c r="A43" s="919" t="s">
        <v>1261</v>
      </c>
      <c r="B43" s="2635"/>
      <c r="C43" s="921" t="s">
        <v>1225</v>
      </c>
      <c r="D43" s="1344" t="str">
        <f>'XM.GUI MAIL'!E86</f>
        <v>135~ 145</v>
      </c>
      <c r="E43" s="1344" t="str">
        <f>'XM.GUI MAIL'!F86</f>
        <v>(140±5)</v>
      </c>
      <c r="F43" s="1332" t="s">
        <v>1224</v>
      </c>
      <c r="G43" s="1425">
        <f>'XM.GUI MAIL'!I86</f>
        <v>143.6</v>
      </c>
      <c r="H43" s="1425">
        <f>'XM.GUI MAIL'!P86</f>
        <v>144.80000000000001</v>
      </c>
      <c r="I43" s="1425">
        <f>'XM.GUI MAIL'!W86</f>
        <v>143.19999999999999</v>
      </c>
    </row>
    <row r="44" spans="1:9" ht="23.25" customHeight="1">
      <c r="A44" s="919" t="s">
        <v>1261</v>
      </c>
      <c r="B44" s="2635"/>
      <c r="C44" s="1341" t="s">
        <v>1226</v>
      </c>
      <c r="D44" s="1345" t="s">
        <v>1252</v>
      </c>
      <c r="E44" s="1345" t="s">
        <v>1252</v>
      </c>
      <c r="F44" s="1342" t="s">
        <v>1224</v>
      </c>
      <c r="G44" s="1426"/>
      <c r="H44" s="1426"/>
      <c r="I44" s="1426"/>
    </row>
    <row r="45" spans="1:9" ht="23.25" customHeight="1">
      <c r="A45" s="919" t="s">
        <v>1261</v>
      </c>
      <c r="B45" s="2635"/>
      <c r="C45" s="1341" t="s">
        <v>1227</v>
      </c>
      <c r="D45" s="1346" t="s">
        <v>1228</v>
      </c>
      <c r="E45" s="1346"/>
      <c r="F45" s="1342" t="s">
        <v>1229</v>
      </c>
      <c r="G45" s="1426"/>
      <c r="H45" s="1426"/>
      <c r="I45" s="1426"/>
    </row>
    <row r="46" spans="1:9" ht="23.25" customHeight="1">
      <c r="A46" s="919" t="s">
        <v>1261</v>
      </c>
      <c r="B46" s="2635"/>
      <c r="C46" s="1341" t="s">
        <v>1230</v>
      </c>
      <c r="D46" s="1346" t="s">
        <v>1228</v>
      </c>
      <c r="E46" s="1346"/>
      <c r="F46" s="1342" t="s">
        <v>1229</v>
      </c>
      <c r="G46" s="1426"/>
      <c r="H46" s="1426"/>
      <c r="I46" s="1426"/>
    </row>
    <row r="47" spans="1:9" ht="23.25" customHeight="1">
      <c r="A47" s="919" t="s">
        <v>1261</v>
      </c>
      <c r="B47" s="2635"/>
      <c r="C47" s="1341" t="s">
        <v>1231</v>
      </c>
      <c r="D47" s="1346" t="s">
        <v>1228</v>
      </c>
      <c r="E47" s="1346"/>
      <c r="F47" s="1342" t="s">
        <v>1229</v>
      </c>
      <c r="G47" s="1426"/>
      <c r="H47" s="1426"/>
      <c r="I47" s="1426"/>
    </row>
    <row r="48" spans="1:9" ht="23.25" customHeight="1">
      <c r="A48" s="919" t="s">
        <v>1261</v>
      </c>
      <c r="B48" s="2635"/>
      <c r="C48" s="1341" t="s">
        <v>1232</v>
      </c>
      <c r="D48" s="1346" t="s">
        <v>1228</v>
      </c>
      <c r="E48" s="1346"/>
      <c r="F48" s="1342" t="s">
        <v>1229</v>
      </c>
      <c r="G48" s="1426"/>
      <c r="H48" s="1426"/>
      <c r="I48" s="1426"/>
    </row>
    <row r="49" spans="1:9" ht="23.25" customHeight="1">
      <c r="B49" s="2640" t="s">
        <v>1257</v>
      </c>
      <c r="C49" s="1341" t="s">
        <v>1241</v>
      </c>
      <c r="D49" s="1351" t="s">
        <v>1253</v>
      </c>
      <c r="E49" s="1351" t="s">
        <v>1253</v>
      </c>
      <c r="F49" s="1342" t="s">
        <v>1224</v>
      </c>
      <c r="G49" s="1426"/>
      <c r="H49" s="1426"/>
      <c r="I49" s="1426"/>
    </row>
    <row r="50" spans="1:9" ht="18.75" customHeight="1">
      <c r="A50" s="919" t="s">
        <v>1261</v>
      </c>
      <c r="B50" s="2641"/>
      <c r="C50" s="921" t="s">
        <v>1595</v>
      </c>
      <c r="D50" s="1344" t="str">
        <f>'XM.GUI MAIL'!E99</f>
        <v>5~6</v>
      </c>
      <c r="E50" s="1344" t="str">
        <f>'XM.GUI MAIL'!F99</f>
        <v>(5.5± 0.5)</v>
      </c>
      <c r="F50" s="1332" t="s">
        <v>1224</v>
      </c>
      <c r="G50" s="1425">
        <f>'XM.GUI MAIL'!I99</f>
        <v>5.59</v>
      </c>
      <c r="H50" s="1425">
        <f>'XM.GUI MAIL'!P99</f>
        <v>5.3950000000000005</v>
      </c>
      <c r="I50" s="1425">
        <f>'XM.GUI MAIL'!W99</f>
        <v>5.4600000000000009</v>
      </c>
    </row>
    <row r="51" spans="1:9" ht="21.75" customHeight="1">
      <c r="A51" s="919" t="s">
        <v>1261</v>
      </c>
      <c r="B51" s="2641"/>
      <c r="C51" s="921" t="s">
        <v>1225</v>
      </c>
      <c r="D51" s="1344" t="str">
        <f>'XM.GUI MAIL'!E100</f>
        <v>130~140</v>
      </c>
      <c r="E51" s="1344" t="str">
        <f>'XM.GUI MAIL'!F100</f>
        <v>(135 ± 5)</v>
      </c>
      <c r="F51" s="1332" t="s">
        <v>1224</v>
      </c>
      <c r="G51" s="1425">
        <f>'XM.GUI MAIL'!I100</f>
        <v>134</v>
      </c>
      <c r="H51" s="1425">
        <f>'XM.GUI MAIL'!P100</f>
        <v>136</v>
      </c>
      <c r="I51" s="1425">
        <f>'XM.GUI MAIL'!W100</f>
        <v>135.6</v>
      </c>
    </row>
    <row r="52" spans="1:9" ht="23.25" customHeight="1">
      <c r="A52" s="919" t="s">
        <v>1261</v>
      </c>
      <c r="B52" s="2641"/>
      <c r="C52" s="1341" t="s">
        <v>1226</v>
      </c>
      <c r="D52" s="1345" t="s">
        <v>1439</v>
      </c>
      <c r="E52" s="1345"/>
      <c r="F52" s="1342" t="s">
        <v>1224</v>
      </c>
      <c r="G52" s="1426"/>
      <c r="H52" s="1426"/>
      <c r="I52" s="1426"/>
    </row>
    <row r="53" spans="1:9" ht="23.25" customHeight="1">
      <c r="A53" s="919" t="s">
        <v>1261</v>
      </c>
      <c r="B53" s="2641"/>
      <c r="C53" s="1341" t="s">
        <v>1227</v>
      </c>
      <c r="D53" s="1345" t="s">
        <v>1440</v>
      </c>
      <c r="E53" s="1345"/>
      <c r="F53" s="1342" t="s">
        <v>1229</v>
      </c>
      <c r="G53" s="1426"/>
      <c r="H53" s="1426"/>
      <c r="I53" s="1426"/>
    </row>
    <row r="54" spans="1:9" ht="23.25" customHeight="1">
      <c r="A54" s="919" t="s">
        <v>1261</v>
      </c>
      <c r="B54" s="2641"/>
      <c r="C54" s="1341" t="s">
        <v>1230</v>
      </c>
      <c r="D54" s="1345" t="s">
        <v>1441</v>
      </c>
      <c r="E54" s="1345"/>
      <c r="F54" s="1342" t="s">
        <v>1229</v>
      </c>
      <c r="G54" s="1426"/>
      <c r="H54" s="1426"/>
      <c r="I54" s="1426"/>
    </row>
    <row r="55" spans="1:9" ht="23.25" customHeight="1">
      <c r="A55" s="919" t="s">
        <v>1261</v>
      </c>
      <c r="B55" s="2641"/>
      <c r="C55" s="1341" t="s">
        <v>1231</v>
      </c>
      <c r="D55" s="1345" t="s">
        <v>1441</v>
      </c>
      <c r="E55" s="1345"/>
      <c r="F55" s="1342" t="s">
        <v>1229</v>
      </c>
      <c r="G55" s="1426"/>
      <c r="H55" s="1426"/>
      <c r="I55" s="1426"/>
    </row>
    <row r="56" spans="1:9" ht="23.25" customHeight="1">
      <c r="A56" s="919" t="s">
        <v>1261</v>
      </c>
      <c r="B56" s="2642"/>
      <c r="C56" s="1341" t="s">
        <v>1232</v>
      </c>
      <c r="D56" s="1345" t="s">
        <v>1442</v>
      </c>
      <c r="E56" s="1345"/>
      <c r="F56" s="1342" t="s">
        <v>1229</v>
      </c>
      <c r="G56" s="1426"/>
      <c r="H56" s="1426"/>
      <c r="I56" s="1426"/>
    </row>
    <row r="57" spans="1:9" ht="21" customHeight="1">
      <c r="A57" s="919" t="s">
        <v>1261</v>
      </c>
      <c r="B57" s="2634" t="s">
        <v>1593</v>
      </c>
      <c r="C57" s="921" t="s">
        <v>1239</v>
      </c>
      <c r="D57" s="1344" t="str">
        <f>'XM.GUI MAIL'!E88</f>
        <v>5~8</v>
      </c>
      <c r="E57" s="1344" t="str">
        <f>'XM.GUI MAIL'!F88</f>
        <v>(6±1)</v>
      </c>
      <c r="F57" s="1332" t="s">
        <v>1234</v>
      </c>
      <c r="G57" s="1425">
        <f>'XM.GUI MAIL'!I88</f>
        <v>6.4533899999999997</v>
      </c>
      <c r="H57" s="1425">
        <f>'XM.GUI MAIL'!P88</f>
        <v>6.4322049999999997</v>
      </c>
      <c r="I57" s="1425">
        <f>'XM.GUI MAIL'!W88</f>
        <v>6.1568000000000005</v>
      </c>
    </row>
    <row r="58" spans="1:9" ht="22.5" customHeight="1">
      <c r="A58" s="919" t="s">
        <v>1261</v>
      </c>
      <c r="B58" s="2635"/>
      <c r="C58" s="921" t="s">
        <v>1235</v>
      </c>
      <c r="D58" s="1347" t="str">
        <f>'XM.GUI MAIL'!E89</f>
        <v>2.0~2.4</v>
      </c>
      <c r="E58" s="1347" t="str">
        <f>'XM.GUI MAIL'!F89</f>
        <v>(2.2±0.1)</v>
      </c>
      <c r="F58" s="1337" t="s">
        <v>1236</v>
      </c>
      <c r="G58" s="1425">
        <f>'XM.GUI MAIL'!I89</f>
        <v>2.2999999999999998</v>
      </c>
      <c r="H58" s="1425">
        <f>'XM.GUI MAIL'!P89</f>
        <v>2.2400000000000002</v>
      </c>
      <c r="I58" s="1425">
        <f>'XM.GUI MAIL'!W89</f>
        <v>2.2999999999999998</v>
      </c>
    </row>
    <row r="59" spans="1:9" ht="23.25" customHeight="1">
      <c r="A59" s="919" t="s">
        <v>1261</v>
      </c>
      <c r="B59" s="2635"/>
      <c r="C59" s="1341" t="s">
        <v>1227</v>
      </c>
      <c r="D59" s="1348" t="s">
        <v>1437</v>
      </c>
      <c r="E59" s="1348"/>
      <c r="F59" s="1342" t="s">
        <v>1229</v>
      </c>
      <c r="G59" s="1426"/>
      <c r="H59" s="1426"/>
      <c r="I59" s="1426"/>
    </row>
    <row r="60" spans="1:9" ht="23.25" customHeight="1">
      <c r="A60" s="919" t="s">
        <v>1261</v>
      </c>
      <c r="B60" s="2635"/>
      <c r="C60" s="1341" t="s">
        <v>1230</v>
      </c>
      <c r="D60" s="1349"/>
      <c r="E60" s="1348"/>
      <c r="F60" s="1342" t="s">
        <v>1229</v>
      </c>
      <c r="G60" s="1426"/>
      <c r="H60" s="1426"/>
      <c r="I60" s="1426"/>
    </row>
    <row r="61" spans="1:9" ht="23.25" customHeight="1">
      <c r="A61" s="919" t="s">
        <v>1261</v>
      </c>
      <c r="B61" s="2635"/>
      <c r="C61" s="1341" t="s">
        <v>1238</v>
      </c>
      <c r="D61" s="1658" t="s">
        <v>1438</v>
      </c>
      <c r="E61" s="1349"/>
      <c r="F61" s="1342" t="s">
        <v>1229</v>
      </c>
      <c r="G61" s="1426"/>
      <c r="H61" s="1426"/>
      <c r="I61" s="1426"/>
    </row>
    <row r="62" spans="1:9" ht="23.25" customHeight="1">
      <c r="B62" s="2634" t="s">
        <v>1594</v>
      </c>
      <c r="C62" s="1341"/>
      <c r="D62" s="1658"/>
      <c r="E62" s="1349"/>
      <c r="F62" s="1342"/>
      <c r="G62" s="1425">
        <f>'XM.GUI MAIL'!I95</f>
        <v>5.76</v>
      </c>
      <c r="H62" s="1425">
        <f>'XM.GUI MAIL'!P95</f>
        <v>5.7200000000000006</v>
      </c>
      <c r="I62" s="1425">
        <f>'XM.GUI MAIL'!W95</f>
        <v>5.7200000000000006</v>
      </c>
    </row>
    <row r="63" spans="1:9" ht="23.25" customHeight="1">
      <c r="B63" s="2635"/>
      <c r="C63" s="1341"/>
      <c r="D63" s="1658"/>
      <c r="E63" s="1349"/>
      <c r="F63" s="1342"/>
      <c r="G63" s="1425">
        <f>'XM.GUI MAIL'!I96</f>
        <v>2.1</v>
      </c>
      <c r="H63" s="1425">
        <f>'XM.GUI MAIL'!P96</f>
        <v>2</v>
      </c>
      <c r="I63" s="1425">
        <f>'XM.GUI MAIL'!W96</f>
        <v>2.08</v>
      </c>
    </row>
    <row r="64" spans="1:9" ht="23.25" customHeight="1">
      <c r="B64" s="2635"/>
      <c r="C64" s="1341"/>
      <c r="D64" s="1658"/>
      <c r="E64" s="1349"/>
      <c r="F64" s="1342"/>
      <c r="G64" s="1426"/>
      <c r="H64" s="1426"/>
      <c r="I64" s="1426"/>
    </row>
    <row r="65" spans="1:9" ht="23.25" customHeight="1">
      <c r="B65" s="2635"/>
      <c r="C65" s="1341"/>
      <c r="D65" s="1658"/>
      <c r="E65" s="1349"/>
      <c r="F65" s="1342"/>
      <c r="G65" s="1426"/>
      <c r="H65" s="1426"/>
      <c r="I65" s="1426"/>
    </row>
    <row r="66" spans="1:9" ht="23.25" customHeight="1">
      <c r="B66" s="2635"/>
      <c r="C66" s="1341"/>
      <c r="D66" s="1658"/>
      <c r="E66" s="1349"/>
      <c r="F66" s="1342"/>
      <c r="G66" s="1426"/>
      <c r="H66" s="1426"/>
      <c r="I66" s="1426"/>
    </row>
    <row r="67" spans="1:9" ht="14.25" customHeight="1">
      <c r="B67" s="2183"/>
      <c r="C67" s="2184"/>
      <c r="D67" s="2185"/>
      <c r="E67" s="2186"/>
      <c r="F67" s="2187"/>
      <c r="G67" s="2188" t="s">
        <v>1525</v>
      </c>
      <c r="H67" s="2188" t="s">
        <v>1526</v>
      </c>
      <c r="I67" s="2188" t="s">
        <v>1539</v>
      </c>
    </row>
    <row r="68" spans="1:9" ht="18.75" customHeight="1">
      <c r="A68" s="1353" t="s">
        <v>1262</v>
      </c>
      <c r="B68" s="2634" t="s">
        <v>1266</v>
      </c>
      <c r="C68" s="921" t="s">
        <v>1243</v>
      </c>
      <c r="D68" s="1344" t="str">
        <f>'XM.GUI MAIL'!E97</f>
        <v>8~16 %</v>
      </c>
      <c r="E68" s="1344" t="str">
        <f>'XM.GUI MAIL'!F97</f>
        <v>(12±2%)</v>
      </c>
      <c r="F68" s="1332" t="s">
        <v>1234</v>
      </c>
      <c r="G68" s="1425" t="str">
        <f>'XM.GUI MAIL'!I97</f>
        <v/>
      </c>
      <c r="H68" s="1425" t="str">
        <f>'XM.GUI MAIL'!P97</f>
        <v/>
      </c>
      <c r="I68" s="1425" t="str">
        <f>'XM.GUI MAIL'!W97</f>
        <v/>
      </c>
    </row>
    <row r="69" spans="1:9" ht="21" customHeight="1">
      <c r="A69" s="1353" t="s">
        <v>1262</v>
      </c>
      <c r="B69" s="2635"/>
      <c r="C69" s="921" t="s">
        <v>1235</v>
      </c>
      <c r="D69" s="1347" t="str">
        <f>'XM.GUI MAIL'!E98</f>
        <v>1.8~2.4</v>
      </c>
      <c r="E69" s="1347" t="str">
        <f>'XM.GUI MAIL'!F98</f>
        <v>(2.0 ±0.2 )</v>
      </c>
      <c r="F69" s="1337" t="s">
        <v>1236</v>
      </c>
      <c r="G69" s="1425">
        <f>'XM.GUI MAIL'!I98</f>
        <v>0</v>
      </c>
      <c r="H69" s="1425">
        <f>'XM.GUI MAIL'!P98</f>
        <v>0</v>
      </c>
      <c r="I69" s="1425">
        <f>'XM.GUI MAIL'!W98</f>
        <v>0</v>
      </c>
    </row>
    <row r="70" spans="1:9" ht="23.25" customHeight="1">
      <c r="A70" s="1353" t="s">
        <v>1262</v>
      </c>
      <c r="B70" s="2635"/>
      <c r="C70" s="1341" t="s">
        <v>1227</v>
      </c>
      <c r="D70" s="1348" t="s">
        <v>1443</v>
      </c>
      <c r="E70" s="1348"/>
      <c r="F70" s="1342" t="s">
        <v>1229</v>
      </c>
      <c r="G70" s="1426"/>
      <c r="H70" s="1426"/>
      <c r="I70" s="1426"/>
    </row>
    <row r="71" spans="1:9" ht="23.25" customHeight="1">
      <c r="A71" s="1353" t="s">
        <v>1262</v>
      </c>
      <c r="B71" s="2635"/>
      <c r="C71" s="1341" t="s">
        <v>1230</v>
      </c>
      <c r="D71" s="1348" t="s">
        <v>1441</v>
      </c>
      <c r="E71" s="1348"/>
      <c r="F71" s="1342" t="s">
        <v>1229</v>
      </c>
      <c r="G71" s="1426"/>
      <c r="H71" s="1426"/>
      <c r="I71" s="1426"/>
    </row>
    <row r="72" spans="1:9" ht="23.25" customHeight="1">
      <c r="A72" s="1353" t="s">
        <v>1262</v>
      </c>
      <c r="B72" s="2635"/>
      <c r="C72" s="1341" t="s">
        <v>1238</v>
      </c>
      <c r="D72" s="1349" t="s">
        <v>1444</v>
      </c>
      <c r="E72" s="1349"/>
      <c r="F72" s="1342" t="s">
        <v>1229</v>
      </c>
      <c r="G72" s="1426"/>
      <c r="H72" s="1426"/>
      <c r="I72" s="1426"/>
    </row>
    <row r="73" spans="1:9" ht="19.5" customHeight="1">
      <c r="A73" s="1353" t="s">
        <v>1262</v>
      </c>
      <c r="B73" s="2634" t="s">
        <v>1258</v>
      </c>
      <c r="C73" s="921" t="s">
        <v>1233</v>
      </c>
      <c r="D73" s="1344" t="str">
        <f>'XM.GUI MAIL'!E95</f>
        <v>5~8</v>
      </c>
      <c r="E73" s="1344" t="str">
        <f>'XM.GUI MAIL'!F95</f>
        <v>(6±0.5)</v>
      </c>
      <c r="F73" s="1332" t="s">
        <v>1234</v>
      </c>
      <c r="G73" s="1425">
        <f>'XM.GUI MAIL'!I95</f>
        <v>5.76</v>
      </c>
      <c r="H73" s="1425">
        <f>'XM.GUI MAIL'!I95</f>
        <v>5.76</v>
      </c>
      <c r="I73" s="1425">
        <f>'XM.GUI MAIL'!W95</f>
        <v>5.7200000000000006</v>
      </c>
    </row>
    <row r="74" spans="1:9" ht="19.5" customHeight="1">
      <c r="A74" s="1353" t="s">
        <v>1262</v>
      </c>
      <c r="B74" s="2635"/>
      <c r="C74" s="921" t="s">
        <v>1235</v>
      </c>
      <c r="D74" s="1344" t="str">
        <f>'XM.GUI MAIL'!E96</f>
        <v>1.8~2.4</v>
      </c>
      <c r="E74" s="1344" t="str">
        <f>'XM.GUI MAIL'!F96</f>
        <v>(2.1±0.1)</v>
      </c>
      <c r="F74" s="1337" t="s">
        <v>1236</v>
      </c>
      <c r="G74" s="1425">
        <f>'XM.GUI MAIL'!I96</f>
        <v>2.1</v>
      </c>
      <c r="H74" s="1425">
        <f>'XM.GUI MAIL'!I96</f>
        <v>2.1</v>
      </c>
      <c r="I74" s="1425">
        <f>'XM.GUI MAIL'!W96</f>
        <v>2.08</v>
      </c>
    </row>
    <row r="75" spans="1:9" ht="27" customHeight="1">
      <c r="A75" s="1353" t="s">
        <v>1262</v>
      </c>
      <c r="B75" s="2635"/>
      <c r="C75" s="1341" t="s">
        <v>1227</v>
      </c>
      <c r="D75" s="1349" t="s">
        <v>1443</v>
      </c>
      <c r="E75" s="1349"/>
      <c r="F75" s="1342" t="s">
        <v>1229</v>
      </c>
      <c r="G75" s="1341"/>
      <c r="H75" s="2181"/>
      <c r="I75" s="2181"/>
    </row>
    <row r="76" spans="1:9" ht="27" customHeight="1">
      <c r="A76" s="1353" t="s">
        <v>1262</v>
      </c>
      <c r="B76" s="2635"/>
      <c r="C76" s="1341" t="s">
        <v>1230</v>
      </c>
      <c r="D76" s="1349" t="s">
        <v>1445</v>
      </c>
      <c r="E76" s="1349"/>
      <c r="F76" s="1342" t="s">
        <v>1229</v>
      </c>
      <c r="G76" s="1341"/>
      <c r="H76" s="2181"/>
      <c r="I76" s="2181"/>
    </row>
    <row r="77" spans="1:9" ht="27" customHeight="1">
      <c r="A77" s="1353" t="s">
        <v>1262</v>
      </c>
      <c r="B77" s="2635"/>
      <c r="C77" s="1341" t="s">
        <v>1238</v>
      </c>
      <c r="D77" s="1349" t="s">
        <v>1444</v>
      </c>
      <c r="E77" s="1349"/>
      <c r="F77" s="1342" t="s">
        <v>1229</v>
      </c>
      <c r="G77" s="1341"/>
      <c r="H77" s="2181"/>
      <c r="I77" s="2181"/>
    </row>
    <row r="78" spans="1:9" ht="27.75" customHeight="1">
      <c r="A78" s="1353" t="s">
        <v>1262</v>
      </c>
      <c r="B78" s="2638" t="s">
        <v>1259</v>
      </c>
      <c r="C78" s="1341" t="s">
        <v>1246</v>
      </c>
      <c r="D78" s="1352" t="s">
        <v>1249</v>
      </c>
      <c r="E78" s="1352"/>
      <c r="F78" s="1342" t="s">
        <v>1248</v>
      </c>
      <c r="G78" s="1341"/>
      <c r="H78" s="2181"/>
      <c r="I78" s="2181"/>
    </row>
    <row r="79" spans="1:9" ht="27.75" customHeight="1">
      <c r="A79" s="1353" t="s">
        <v>1262</v>
      </c>
      <c r="B79" s="2639"/>
      <c r="C79" s="1341" t="s">
        <v>1247</v>
      </c>
      <c r="D79" s="1352" t="s">
        <v>1250</v>
      </c>
      <c r="E79" s="1352"/>
      <c r="F79" s="1342" t="s">
        <v>1248</v>
      </c>
      <c r="G79" s="1341"/>
      <c r="H79" s="2181"/>
      <c r="I79" s="2181"/>
    </row>
  </sheetData>
  <mergeCells count="17">
    <mergeCell ref="B78:B79"/>
    <mergeCell ref="B73:B77"/>
    <mergeCell ref="B68:B72"/>
    <mergeCell ref="B30:B34"/>
    <mergeCell ref="D41:E41"/>
    <mergeCell ref="B35:B39"/>
    <mergeCell ref="B42:B48"/>
    <mergeCell ref="B57:B61"/>
    <mergeCell ref="B49:B56"/>
    <mergeCell ref="B62:B66"/>
    <mergeCell ref="B1:G1"/>
    <mergeCell ref="B4:B10"/>
    <mergeCell ref="B11:B15"/>
    <mergeCell ref="B16:B20"/>
    <mergeCell ref="B23:B29"/>
    <mergeCell ref="D3:E3"/>
    <mergeCell ref="D22:E22"/>
  </mergeCells>
  <phoneticPr fontId="7" type="noConversion"/>
  <pageMargins left="0.7" right="0.7" top="0.34" bottom="0.24" header="0.16" footer="0.15"/>
  <pageSetup orientation="portrait" r:id="rId1"/>
  <drawing r:id="rId2"/>
</worksheet>
</file>

<file path=xl/worksheets/sheet2.xml><?xml version="1.0" encoding="utf-8"?>
<worksheet xmlns="http://schemas.openxmlformats.org/spreadsheetml/2006/main" xmlns:r="http://schemas.openxmlformats.org/officeDocument/2006/relationships">
  <sheetPr>
    <tabColor theme="8" tint="0.39997558519241921"/>
  </sheetPr>
  <dimension ref="A1:Q55"/>
  <sheetViews>
    <sheetView topLeftCell="A34" zoomScale="70" zoomScaleNormal="70" workbookViewId="0">
      <selection activeCell="A55" sqref="A55:XFD56"/>
    </sheetView>
  </sheetViews>
  <sheetFormatPr defaultRowHeight="27.75" customHeight="1"/>
  <cols>
    <col min="1" max="1" width="25.5" style="907" customWidth="1"/>
    <col min="2" max="2" width="26.375" style="891" customWidth="1"/>
    <col min="3" max="3" width="26.375" style="892" customWidth="1"/>
    <col min="4" max="4" width="9" style="882"/>
    <col min="5" max="16" width="9" style="882" hidden="1" customWidth="1"/>
    <col min="17" max="16384" width="9" style="882"/>
  </cols>
  <sheetData>
    <row r="1" spans="1:17" ht="60.75" customHeight="1">
      <c r="A1" s="896" t="s">
        <v>319</v>
      </c>
      <c r="B1" s="880"/>
      <c r="C1" s="881"/>
    </row>
    <row r="2" spans="1:17" s="885" customFormat="1" ht="27.75" customHeight="1">
      <c r="A2" s="906" t="s">
        <v>320</v>
      </c>
      <c r="B2" s="883" t="s">
        <v>321</v>
      </c>
      <c r="C2" s="884" t="s">
        <v>326</v>
      </c>
      <c r="E2" s="886">
        <v>1</v>
      </c>
      <c r="F2" s="886" t="s">
        <v>832</v>
      </c>
      <c r="G2" s="886">
        <v>2</v>
      </c>
      <c r="H2" s="886" t="s">
        <v>832</v>
      </c>
      <c r="I2" s="886">
        <v>3</v>
      </c>
      <c r="J2" s="886" t="s">
        <v>832</v>
      </c>
      <c r="K2" s="886">
        <v>4</v>
      </c>
      <c r="L2" s="886" t="s">
        <v>832</v>
      </c>
      <c r="M2" s="886">
        <v>5</v>
      </c>
      <c r="N2" s="886" t="s">
        <v>832</v>
      </c>
      <c r="O2" s="886">
        <v>6</v>
      </c>
      <c r="P2" s="886" t="s">
        <v>832</v>
      </c>
      <c r="Q2" s="887">
        <v>1</v>
      </c>
    </row>
    <row r="3" spans="1:17" s="885" customFormat="1" ht="27.75" customHeight="1">
      <c r="A3" s="906" t="s">
        <v>344</v>
      </c>
      <c r="B3" s="883" t="s">
        <v>345</v>
      </c>
      <c r="C3" s="884" t="s">
        <v>350</v>
      </c>
    </row>
    <row r="4" spans="1:17" ht="27.75" customHeight="1">
      <c r="A4" s="902" t="s">
        <v>1627</v>
      </c>
      <c r="B4" s="888" t="s">
        <v>263</v>
      </c>
      <c r="C4" s="889">
        <v>70.092000000000013</v>
      </c>
      <c r="E4" s="882" t="b">
        <v>1</v>
      </c>
      <c r="F4" s="882" t="b">
        <v>0</v>
      </c>
      <c r="G4" s="882" t="b">
        <v>0</v>
      </c>
      <c r="H4" s="882" t="b">
        <v>0</v>
      </c>
      <c r="I4" s="882" t="b">
        <v>0</v>
      </c>
      <c r="J4" s="882" t="b">
        <v>0</v>
      </c>
      <c r="K4" s="882" t="b">
        <v>0</v>
      </c>
      <c r="L4" s="882" t="b">
        <v>0</v>
      </c>
      <c r="M4" s="882" t="b">
        <v>0</v>
      </c>
      <c r="N4" s="882" t="b">
        <v>0</v>
      </c>
      <c r="O4" s="882" t="b">
        <v>0</v>
      </c>
      <c r="P4" s="882" t="b">
        <v>0</v>
      </c>
      <c r="Q4" s="890" t="s">
        <v>1534</v>
      </c>
    </row>
    <row r="5" spans="1:17" ht="27.75" customHeight="1">
      <c r="A5" s="902" t="s">
        <v>1627</v>
      </c>
      <c r="B5" s="888" t="s">
        <v>264</v>
      </c>
      <c r="C5" s="889">
        <v>74.310500000000005</v>
      </c>
      <c r="E5" s="882" t="b">
        <v>1</v>
      </c>
      <c r="F5" s="882" t="b">
        <v>0</v>
      </c>
      <c r="G5" s="882" t="b">
        <v>0</v>
      </c>
      <c r="H5" s="882" t="b">
        <v>0</v>
      </c>
      <c r="I5" s="882" t="b">
        <v>0</v>
      </c>
      <c r="J5" s="882" t="b">
        <v>0</v>
      </c>
      <c r="K5" s="882" t="b">
        <v>0</v>
      </c>
      <c r="L5" s="882" t="b">
        <v>0</v>
      </c>
      <c r="M5" s="882" t="b">
        <v>0</v>
      </c>
      <c r="N5" s="882" t="b">
        <v>0</v>
      </c>
      <c r="O5" s="882" t="b">
        <v>0</v>
      </c>
      <c r="P5" s="882" t="b">
        <v>0</v>
      </c>
      <c r="Q5" s="890" t="s">
        <v>1534</v>
      </c>
    </row>
    <row r="6" spans="1:17" ht="27.75" customHeight="1">
      <c r="A6" s="902" t="s">
        <v>1627</v>
      </c>
      <c r="B6" s="888" t="s">
        <v>265</v>
      </c>
      <c r="C6" s="889">
        <v>56.594999999999999</v>
      </c>
      <c r="E6" s="882" t="b">
        <v>1</v>
      </c>
      <c r="F6" s="882" t="b">
        <v>0</v>
      </c>
      <c r="G6" s="882" t="b">
        <v>0</v>
      </c>
      <c r="H6" s="882" t="b">
        <v>0</v>
      </c>
      <c r="I6" s="882" t="b">
        <v>0</v>
      </c>
      <c r="J6" s="882" t="b">
        <v>0</v>
      </c>
      <c r="K6" s="882" t="b">
        <v>0</v>
      </c>
      <c r="L6" s="882" t="b">
        <v>0</v>
      </c>
      <c r="M6" s="882" t="b">
        <v>0</v>
      </c>
      <c r="N6" s="882" t="b">
        <v>0</v>
      </c>
      <c r="O6" s="882" t="b">
        <v>0</v>
      </c>
      <c r="P6" s="882" t="b">
        <v>0</v>
      </c>
      <c r="Q6" s="890" t="s">
        <v>1534</v>
      </c>
    </row>
    <row r="7" spans="1:17" ht="27.75" customHeight="1">
      <c r="A7" s="902" t="s">
        <v>1627</v>
      </c>
      <c r="B7" s="888" t="s">
        <v>266</v>
      </c>
      <c r="C7" s="889">
        <v>56.826000000000008</v>
      </c>
      <c r="E7" s="882" t="b">
        <v>1</v>
      </c>
      <c r="F7" s="882" t="b">
        <v>0</v>
      </c>
      <c r="G7" s="882" t="b">
        <v>0</v>
      </c>
      <c r="H7" s="882" t="b">
        <v>0</v>
      </c>
      <c r="I7" s="882" t="b">
        <v>0</v>
      </c>
      <c r="J7" s="882" t="b">
        <v>0</v>
      </c>
      <c r="K7" s="882" t="b">
        <v>0</v>
      </c>
      <c r="L7" s="882" t="b">
        <v>0</v>
      </c>
      <c r="M7" s="882" t="b">
        <v>0</v>
      </c>
      <c r="N7" s="882" t="b">
        <v>0</v>
      </c>
      <c r="O7" s="882" t="b">
        <v>0</v>
      </c>
      <c r="P7" s="882" t="b">
        <v>0</v>
      </c>
      <c r="Q7" s="890" t="s">
        <v>1534</v>
      </c>
    </row>
    <row r="8" spans="1:17" ht="27.75" customHeight="1">
      <c r="A8" s="902" t="s">
        <v>1627</v>
      </c>
      <c r="B8" s="888" t="s">
        <v>267</v>
      </c>
      <c r="C8" s="889">
        <v>144.4</v>
      </c>
      <c r="E8" s="882" t="b">
        <v>1</v>
      </c>
      <c r="F8" s="882" t="b">
        <v>0</v>
      </c>
      <c r="G8" s="882" t="b">
        <v>0</v>
      </c>
      <c r="H8" s="882" t="b">
        <v>0</v>
      </c>
      <c r="I8" s="882" t="b">
        <v>0</v>
      </c>
      <c r="J8" s="882" t="b">
        <v>0</v>
      </c>
      <c r="K8" s="882" t="b">
        <v>0</v>
      </c>
      <c r="L8" s="882" t="b">
        <v>0</v>
      </c>
      <c r="M8" s="882" t="b">
        <v>0</v>
      </c>
      <c r="N8" s="882" t="b">
        <v>0</v>
      </c>
      <c r="O8" s="882" t="b">
        <v>0</v>
      </c>
      <c r="P8" s="882" t="b">
        <v>0</v>
      </c>
      <c r="Q8" s="890" t="s">
        <v>1534</v>
      </c>
    </row>
    <row r="9" spans="1:17" ht="27.75" customHeight="1">
      <c r="A9" s="902" t="s">
        <v>1627</v>
      </c>
      <c r="B9" s="888" t="s">
        <v>268</v>
      </c>
      <c r="C9" s="889">
        <v>11.57</v>
      </c>
      <c r="E9" s="882" t="b">
        <v>1</v>
      </c>
      <c r="F9" s="882" t="b">
        <v>0</v>
      </c>
      <c r="G9" s="882" t="b">
        <v>0</v>
      </c>
      <c r="H9" s="882" t="b">
        <v>0</v>
      </c>
      <c r="I9" s="882" t="b">
        <v>0</v>
      </c>
      <c r="J9" s="882" t="b">
        <v>0</v>
      </c>
      <c r="K9" s="882" t="b">
        <v>0</v>
      </c>
      <c r="L9" s="882" t="b">
        <v>0</v>
      </c>
      <c r="M9" s="882" t="b">
        <v>0</v>
      </c>
      <c r="N9" s="882" t="b">
        <v>0</v>
      </c>
      <c r="O9" s="882" t="b">
        <v>0</v>
      </c>
      <c r="P9" s="882" t="b">
        <v>0</v>
      </c>
      <c r="Q9" s="890" t="s">
        <v>1534</v>
      </c>
    </row>
    <row r="10" spans="1:17" ht="27.75" customHeight="1">
      <c r="A10" s="902" t="s">
        <v>1627</v>
      </c>
      <c r="B10" s="888" t="s">
        <v>269</v>
      </c>
      <c r="C10" s="889">
        <v>6.96183</v>
      </c>
      <c r="E10" s="882" t="b">
        <v>1</v>
      </c>
      <c r="F10" s="882" t="b">
        <v>0</v>
      </c>
      <c r="G10" s="882" t="b">
        <v>0</v>
      </c>
      <c r="H10" s="882" t="b">
        <v>0</v>
      </c>
      <c r="I10" s="882" t="b">
        <v>0</v>
      </c>
      <c r="J10" s="882" t="b">
        <v>0</v>
      </c>
      <c r="K10" s="882" t="b">
        <v>0</v>
      </c>
      <c r="L10" s="882" t="b">
        <v>0</v>
      </c>
      <c r="M10" s="882" t="b">
        <v>0</v>
      </c>
      <c r="N10" s="882" t="b">
        <v>0</v>
      </c>
      <c r="O10" s="882" t="b">
        <v>0</v>
      </c>
      <c r="P10" s="882" t="b">
        <v>0</v>
      </c>
      <c r="Q10" s="890" t="s">
        <v>1534</v>
      </c>
    </row>
    <row r="11" spans="1:17" ht="27.75" customHeight="1">
      <c r="A11" s="902" t="s">
        <v>1627</v>
      </c>
      <c r="B11" s="888" t="s">
        <v>270</v>
      </c>
      <c r="C11" s="889">
        <v>2.5</v>
      </c>
      <c r="E11" s="882" t="b">
        <v>1</v>
      </c>
      <c r="F11" s="882" t="b">
        <v>0</v>
      </c>
      <c r="G11" s="882" t="b">
        <v>0</v>
      </c>
      <c r="H11" s="882" t="b">
        <v>0</v>
      </c>
      <c r="I11" s="882" t="b">
        <v>0</v>
      </c>
      <c r="J11" s="882" t="b">
        <v>0</v>
      </c>
      <c r="K11" s="882" t="b">
        <v>0</v>
      </c>
      <c r="L11" s="882" t="b">
        <v>0</v>
      </c>
      <c r="M11" s="882" t="b">
        <v>0</v>
      </c>
      <c r="N11" s="882" t="b">
        <v>0</v>
      </c>
      <c r="O11" s="882" t="b">
        <v>0</v>
      </c>
      <c r="P11" s="882" t="b">
        <v>0</v>
      </c>
      <c r="Q11" s="890" t="s">
        <v>1534</v>
      </c>
    </row>
    <row r="12" spans="1:17" ht="27.75" customHeight="1">
      <c r="A12" s="902" t="s">
        <v>1627</v>
      </c>
      <c r="B12" s="888" t="s">
        <v>271</v>
      </c>
      <c r="C12" s="889">
        <v>0.43343749999999998</v>
      </c>
      <c r="E12" s="882" t="b">
        <v>1</v>
      </c>
      <c r="F12" s="882" t="b">
        <v>0</v>
      </c>
      <c r="G12" s="882" t="b">
        <v>0</v>
      </c>
      <c r="H12" s="882" t="b">
        <v>0</v>
      </c>
      <c r="I12" s="882" t="b">
        <v>0</v>
      </c>
      <c r="J12" s="882" t="b">
        <v>0</v>
      </c>
      <c r="K12" s="882" t="b">
        <v>0</v>
      </c>
      <c r="L12" s="882" t="b">
        <v>0</v>
      </c>
      <c r="M12" s="882" t="b">
        <v>0</v>
      </c>
      <c r="N12" s="882" t="b">
        <v>0</v>
      </c>
      <c r="O12" s="882" t="b">
        <v>0</v>
      </c>
      <c r="P12" s="882" t="b">
        <v>0</v>
      </c>
      <c r="Q12" s="890" t="s">
        <v>1534</v>
      </c>
    </row>
    <row r="13" spans="1:17" ht="27.75" customHeight="1">
      <c r="A13" s="902" t="s">
        <v>1627</v>
      </c>
      <c r="B13" s="888" t="s">
        <v>274</v>
      </c>
      <c r="C13" s="889">
        <v>1.1844E-2</v>
      </c>
      <c r="E13" s="882" t="b">
        <v>1</v>
      </c>
      <c r="F13" s="882" t="b">
        <v>0</v>
      </c>
      <c r="G13" s="882" t="b">
        <v>0</v>
      </c>
      <c r="H13" s="882" t="b">
        <v>0</v>
      </c>
      <c r="I13" s="882" t="b">
        <v>0</v>
      </c>
      <c r="J13" s="882" t="b">
        <v>0</v>
      </c>
      <c r="K13" s="882" t="b">
        <v>0</v>
      </c>
      <c r="L13" s="882" t="b">
        <v>0</v>
      </c>
      <c r="M13" s="882" t="b">
        <v>0</v>
      </c>
      <c r="N13" s="882" t="b">
        <v>0</v>
      </c>
      <c r="O13" s="882" t="b">
        <v>0</v>
      </c>
      <c r="P13" s="882" t="b">
        <v>0</v>
      </c>
      <c r="Q13" s="890" t="s">
        <v>1534</v>
      </c>
    </row>
    <row r="14" spans="1:17" ht="27.75" customHeight="1">
      <c r="A14" s="902" t="s">
        <v>1627</v>
      </c>
      <c r="B14" s="888" t="s">
        <v>284</v>
      </c>
      <c r="C14" s="889">
        <v>120</v>
      </c>
      <c r="E14" s="882" t="b">
        <v>1</v>
      </c>
      <c r="F14" s="882" t="b">
        <v>0</v>
      </c>
      <c r="G14" s="882" t="b">
        <v>0</v>
      </c>
      <c r="H14" s="882" t="b">
        <v>0</v>
      </c>
      <c r="I14" s="882" t="b">
        <v>0</v>
      </c>
      <c r="J14" s="882" t="b">
        <v>0</v>
      </c>
      <c r="K14" s="882" t="b">
        <v>0</v>
      </c>
      <c r="L14" s="882" t="b">
        <v>0</v>
      </c>
      <c r="M14" s="882" t="b">
        <v>0</v>
      </c>
      <c r="N14" s="882" t="b">
        <v>0</v>
      </c>
      <c r="O14" s="882" t="b">
        <v>0</v>
      </c>
      <c r="P14" s="882" t="b">
        <v>0</v>
      </c>
      <c r="Q14" s="890" t="s">
        <v>1534</v>
      </c>
    </row>
    <row r="15" spans="1:17" ht="27.75" customHeight="1">
      <c r="A15" s="902" t="s">
        <v>1627</v>
      </c>
      <c r="B15" s="888" t="s">
        <v>285</v>
      </c>
      <c r="C15" s="889">
        <v>38</v>
      </c>
      <c r="E15" s="882" t="b">
        <v>1</v>
      </c>
      <c r="F15" s="882" t="b">
        <v>0</v>
      </c>
      <c r="G15" s="882" t="b">
        <v>0</v>
      </c>
      <c r="H15" s="882" t="b">
        <v>0</v>
      </c>
      <c r="I15" s="882" t="b">
        <v>0</v>
      </c>
      <c r="J15" s="882" t="b">
        <v>0</v>
      </c>
      <c r="K15" s="882" t="b">
        <v>0</v>
      </c>
      <c r="L15" s="882" t="b">
        <v>0</v>
      </c>
      <c r="M15" s="882" t="b">
        <v>0</v>
      </c>
      <c r="N15" s="882" t="b">
        <v>0</v>
      </c>
      <c r="O15" s="882" t="b">
        <v>0</v>
      </c>
      <c r="P15" s="882" t="b">
        <v>0</v>
      </c>
      <c r="Q15" s="890" t="s">
        <v>1534</v>
      </c>
    </row>
    <row r="16" spans="1:17" ht="27.75" customHeight="1">
      <c r="A16" s="902" t="s">
        <v>1627</v>
      </c>
      <c r="B16" s="888" t="s">
        <v>286</v>
      </c>
      <c r="C16" s="889">
        <v>52.569000000000003</v>
      </c>
      <c r="E16" s="882" t="b">
        <v>1</v>
      </c>
      <c r="F16" s="882" t="b">
        <v>0</v>
      </c>
      <c r="G16" s="882" t="b">
        <v>0</v>
      </c>
      <c r="H16" s="882" t="b">
        <v>0</v>
      </c>
      <c r="I16" s="882" t="b">
        <v>0</v>
      </c>
      <c r="J16" s="882" t="b">
        <v>0</v>
      </c>
      <c r="K16" s="882" t="b">
        <v>0</v>
      </c>
      <c r="L16" s="882" t="b">
        <v>0</v>
      </c>
      <c r="M16" s="882" t="b">
        <v>0</v>
      </c>
      <c r="N16" s="882" t="b">
        <v>0</v>
      </c>
      <c r="O16" s="882" t="b">
        <v>0</v>
      </c>
      <c r="P16" s="882" t="b">
        <v>0</v>
      </c>
      <c r="Q16" s="890" t="s">
        <v>1534</v>
      </c>
    </row>
    <row r="17" spans="1:17" ht="27.75" customHeight="1">
      <c r="A17" s="902" t="s">
        <v>1627</v>
      </c>
      <c r="B17" s="888" t="s">
        <v>287</v>
      </c>
      <c r="C17" s="889">
        <v>50.297499999999999</v>
      </c>
      <c r="E17" s="882" t="b">
        <v>1</v>
      </c>
      <c r="F17" s="882" t="b">
        <v>0</v>
      </c>
      <c r="G17" s="882" t="b">
        <v>0</v>
      </c>
      <c r="H17" s="882" t="b">
        <v>0</v>
      </c>
      <c r="I17" s="882" t="b">
        <v>0</v>
      </c>
      <c r="J17" s="882" t="b">
        <v>0</v>
      </c>
      <c r="K17" s="882" t="b">
        <v>0</v>
      </c>
      <c r="L17" s="882" t="b">
        <v>0</v>
      </c>
      <c r="M17" s="882" t="b">
        <v>0</v>
      </c>
      <c r="N17" s="882" t="b">
        <v>0</v>
      </c>
      <c r="O17" s="882" t="b">
        <v>0</v>
      </c>
      <c r="P17" s="882" t="b">
        <v>0</v>
      </c>
      <c r="Q17" s="890" t="s">
        <v>1534</v>
      </c>
    </row>
    <row r="18" spans="1:17" ht="27.75" customHeight="1">
      <c r="A18" s="902" t="s">
        <v>1627</v>
      </c>
      <c r="B18" s="888" t="s">
        <v>288</v>
      </c>
      <c r="C18" s="889">
        <v>63.524999999999999</v>
      </c>
      <c r="E18" s="882" t="b">
        <v>1</v>
      </c>
      <c r="F18" s="882" t="b">
        <v>0</v>
      </c>
      <c r="G18" s="882" t="b">
        <v>0</v>
      </c>
      <c r="H18" s="882" t="b">
        <v>0</v>
      </c>
      <c r="I18" s="882" t="b">
        <v>0</v>
      </c>
      <c r="J18" s="882" t="b">
        <v>0</v>
      </c>
      <c r="K18" s="882" t="b">
        <v>0</v>
      </c>
      <c r="L18" s="882" t="b">
        <v>0</v>
      </c>
      <c r="M18" s="882" t="b">
        <v>0</v>
      </c>
      <c r="N18" s="882" t="b">
        <v>0</v>
      </c>
      <c r="O18" s="882" t="b">
        <v>0</v>
      </c>
      <c r="P18" s="882" t="b">
        <v>0</v>
      </c>
      <c r="Q18" s="890" t="s">
        <v>1534</v>
      </c>
    </row>
    <row r="19" spans="1:17" ht="27.75" customHeight="1">
      <c r="A19" s="902" t="s">
        <v>1627</v>
      </c>
      <c r="B19" s="888" t="s">
        <v>289</v>
      </c>
      <c r="C19" s="889">
        <v>61.677</v>
      </c>
      <c r="E19" s="882" t="b">
        <v>1</v>
      </c>
      <c r="F19" s="882" t="b">
        <v>0</v>
      </c>
      <c r="G19" s="882" t="b">
        <v>0</v>
      </c>
      <c r="H19" s="882" t="b">
        <v>0</v>
      </c>
      <c r="I19" s="882" t="b">
        <v>0</v>
      </c>
      <c r="J19" s="882" t="b">
        <v>0</v>
      </c>
      <c r="K19" s="882" t="b">
        <v>0</v>
      </c>
      <c r="L19" s="882" t="b">
        <v>0</v>
      </c>
      <c r="M19" s="882" t="b">
        <v>0</v>
      </c>
      <c r="N19" s="882" t="b">
        <v>0</v>
      </c>
      <c r="O19" s="882" t="b">
        <v>0</v>
      </c>
      <c r="P19" s="882" t="b">
        <v>0</v>
      </c>
      <c r="Q19" s="890" t="s">
        <v>1534</v>
      </c>
    </row>
    <row r="20" spans="1:17" ht="27.75" customHeight="1">
      <c r="A20" s="902" t="s">
        <v>1627</v>
      </c>
      <c r="B20" s="888" t="s">
        <v>290</v>
      </c>
      <c r="C20" s="889">
        <v>143.6</v>
      </c>
      <c r="E20" s="882" t="b">
        <v>1</v>
      </c>
      <c r="F20" s="882" t="b">
        <v>0</v>
      </c>
      <c r="G20" s="882" t="b">
        <v>0</v>
      </c>
      <c r="H20" s="882" t="b">
        <v>0</v>
      </c>
      <c r="I20" s="882" t="b">
        <v>0</v>
      </c>
      <c r="J20" s="882" t="b">
        <v>0</v>
      </c>
      <c r="K20" s="882" t="b">
        <v>0</v>
      </c>
      <c r="L20" s="882" t="b">
        <v>0</v>
      </c>
      <c r="M20" s="882" t="b">
        <v>0</v>
      </c>
      <c r="N20" s="882" t="b">
        <v>0</v>
      </c>
      <c r="O20" s="882" t="b">
        <v>0</v>
      </c>
      <c r="P20" s="882" t="b">
        <v>0</v>
      </c>
      <c r="Q20" s="890" t="s">
        <v>1534</v>
      </c>
    </row>
    <row r="21" spans="1:17" ht="27.75" customHeight="1">
      <c r="A21" s="902" t="s">
        <v>1627</v>
      </c>
      <c r="B21" s="888" t="s">
        <v>291</v>
      </c>
      <c r="C21" s="889">
        <v>8.58</v>
      </c>
      <c r="E21" s="882" t="b">
        <v>1</v>
      </c>
      <c r="F21" s="882" t="b">
        <v>0</v>
      </c>
      <c r="G21" s="882" t="b">
        <v>0</v>
      </c>
      <c r="H21" s="882" t="b">
        <v>0</v>
      </c>
      <c r="I21" s="882" t="b">
        <v>0</v>
      </c>
      <c r="J21" s="882" t="b">
        <v>0</v>
      </c>
      <c r="K21" s="882" t="b">
        <v>0</v>
      </c>
      <c r="L21" s="882" t="b">
        <v>0</v>
      </c>
      <c r="M21" s="882" t="b">
        <v>0</v>
      </c>
      <c r="N21" s="882" t="b">
        <v>0</v>
      </c>
      <c r="O21" s="882" t="b">
        <v>0</v>
      </c>
      <c r="P21" s="882" t="b">
        <v>0</v>
      </c>
      <c r="Q21" s="890" t="s">
        <v>1534</v>
      </c>
    </row>
    <row r="22" spans="1:17" ht="27.75" customHeight="1">
      <c r="A22" s="902" t="s">
        <v>1627</v>
      </c>
      <c r="B22" s="888" t="s">
        <v>292</v>
      </c>
      <c r="C22" s="889">
        <v>6.4533899999999997</v>
      </c>
      <c r="E22" s="882" t="b">
        <v>1</v>
      </c>
      <c r="F22" s="882" t="b">
        <v>0</v>
      </c>
      <c r="G22" s="882" t="b">
        <v>0</v>
      </c>
      <c r="H22" s="882" t="b">
        <v>0</v>
      </c>
      <c r="I22" s="882" t="b">
        <v>0</v>
      </c>
      <c r="J22" s="882" t="b">
        <v>0</v>
      </c>
      <c r="K22" s="882" t="b">
        <v>0</v>
      </c>
      <c r="L22" s="882" t="b">
        <v>0</v>
      </c>
      <c r="M22" s="882" t="b">
        <v>0</v>
      </c>
      <c r="N22" s="882" t="b">
        <v>0</v>
      </c>
      <c r="O22" s="882" t="b">
        <v>0</v>
      </c>
      <c r="P22" s="882" t="b">
        <v>0</v>
      </c>
      <c r="Q22" s="890" t="s">
        <v>1534</v>
      </c>
    </row>
    <row r="23" spans="1:17" ht="27.75" customHeight="1">
      <c r="A23" s="902" t="s">
        <v>1627</v>
      </c>
      <c r="B23" s="888" t="s">
        <v>293</v>
      </c>
      <c r="C23" s="889">
        <v>2.2999999999999998</v>
      </c>
      <c r="E23" s="882" t="b">
        <v>1</v>
      </c>
      <c r="F23" s="882" t="b">
        <v>0</v>
      </c>
      <c r="G23" s="882" t="b">
        <v>0</v>
      </c>
      <c r="H23" s="882" t="b">
        <v>0</v>
      </c>
      <c r="I23" s="882" t="b">
        <v>0</v>
      </c>
      <c r="J23" s="882" t="b">
        <v>0</v>
      </c>
      <c r="K23" s="882" t="b">
        <v>0</v>
      </c>
      <c r="L23" s="882" t="b">
        <v>0</v>
      </c>
      <c r="M23" s="882" t="b">
        <v>0</v>
      </c>
      <c r="N23" s="882" t="b">
        <v>0</v>
      </c>
      <c r="O23" s="882" t="b">
        <v>0</v>
      </c>
      <c r="P23" s="882" t="b">
        <v>0</v>
      </c>
      <c r="Q23" s="890" t="s">
        <v>1534</v>
      </c>
    </row>
    <row r="24" spans="1:17" ht="27.75" customHeight="1">
      <c r="A24" s="902" t="s">
        <v>1627</v>
      </c>
      <c r="B24" s="888" t="s">
        <v>294</v>
      </c>
      <c r="C24" s="889">
        <v>0.49731250000000005</v>
      </c>
      <c r="E24" s="882" t="b">
        <v>1</v>
      </c>
      <c r="F24" s="882" t="b">
        <v>0</v>
      </c>
      <c r="G24" s="882" t="b">
        <v>0</v>
      </c>
      <c r="H24" s="882" t="b">
        <v>0</v>
      </c>
      <c r="I24" s="882" t="b">
        <v>0</v>
      </c>
      <c r="J24" s="882" t="b">
        <v>0</v>
      </c>
      <c r="K24" s="882" t="b">
        <v>0</v>
      </c>
      <c r="L24" s="882" t="b">
        <v>0</v>
      </c>
      <c r="M24" s="882" t="b">
        <v>0</v>
      </c>
      <c r="N24" s="882" t="b">
        <v>0</v>
      </c>
      <c r="O24" s="882" t="b">
        <v>0</v>
      </c>
      <c r="P24" s="882" t="b">
        <v>0</v>
      </c>
      <c r="Q24" s="890" t="s">
        <v>1534</v>
      </c>
    </row>
    <row r="25" spans="1:17" ht="27.75" customHeight="1">
      <c r="A25" s="902" t="s">
        <v>1627</v>
      </c>
      <c r="B25" s="888" t="s">
        <v>295</v>
      </c>
      <c r="C25" s="889">
        <v>0.45168749999999996</v>
      </c>
      <c r="E25" s="882" t="b">
        <v>1</v>
      </c>
      <c r="F25" s="882" t="b">
        <v>0</v>
      </c>
      <c r="G25" s="882" t="b">
        <v>0</v>
      </c>
      <c r="H25" s="882" t="b">
        <v>0</v>
      </c>
      <c r="I25" s="882" t="b">
        <v>0</v>
      </c>
      <c r="J25" s="882" t="b">
        <v>0</v>
      </c>
      <c r="K25" s="882" t="b">
        <v>0</v>
      </c>
      <c r="L25" s="882" t="b">
        <v>0</v>
      </c>
      <c r="M25" s="882" t="b">
        <v>0</v>
      </c>
      <c r="N25" s="882" t="b">
        <v>0</v>
      </c>
      <c r="O25" s="882" t="b">
        <v>0</v>
      </c>
      <c r="P25" s="882" t="b">
        <v>0</v>
      </c>
      <c r="Q25" s="890" t="s">
        <v>1534</v>
      </c>
    </row>
    <row r="26" spans="1:17" ht="27.75" customHeight="1">
      <c r="A26" s="902" t="s">
        <v>1627</v>
      </c>
      <c r="B26" s="888" t="s">
        <v>296</v>
      </c>
      <c r="C26" s="889">
        <v>0.1323125</v>
      </c>
      <c r="E26" s="882" t="b">
        <v>1</v>
      </c>
      <c r="F26" s="882" t="b">
        <v>0</v>
      </c>
      <c r="G26" s="882" t="b">
        <v>0</v>
      </c>
      <c r="H26" s="882" t="b">
        <v>0</v>
      </c>
      <c r="I26" s="882" t="b">
        <v>0</v>
      </c>
      <c r="J26" s="882" t="b">
        <v>0</v>
      </c>
      <c r="K26" s="882" t="b">
        <v>0</v>
      </c>
      <c r="L26" s="882" t="b">
        <v>0</v>
      </c>
      <c r="M26" s="882" t="b">
        <v>0</v>
      </c>
      <c r="N26" s="882" t="b">
        <v>0</v>
      </c>
      <c r="O26" s="882" t="b">
        <v>0</v>
      </c>
      <c r="P26" s="882" t="b">
        <v>0</v>
      </c>
      <c r="Q26" s="890" t="s">
        <v>1534</v>
      </c>
    </row>
    <row r="27" spans="1:17" ht="27.75" customHeight="1">
      <c r="A27" s="902" t="s">
        <v>1627</v>
      </c>
      <c r="B27" s="888" t="s">
        <v>297</v>
      </c>
      <c r="C27" s="889">
        <v>7.5599999999999999E-3</v>
      </c>
      <c r="E27" s="882" t="b">
        <v>1</v>
      </c>
      <c r="F27" s="882" t="b">
        <v>0</v>
      </c>
      <c r="G27" s="882" t="b">
        <v>0</v>
      </c>
      <c r="H27" s="882" t="b">
        <v>0</v>
      </c>
      <c r="I27" s="882" t="b">
        <v>0</v>
      </c>
      <c r="J27" s="882" t="b">
        <v>0</v>
      </c>
      <c r="K27" s="882" t="b">
        <v>0</v>
      </c>
      <c r="L27" s="882" t="b">
        <v>0</v>
      </c>
      <c r="M27" s="882" t="b">
        <v>0</v>
      </c>
      <c r="N27" s="882" t="b">
        <v>0</v>
      </c>
      <c r="O27" s="882" t="b">
        <v>0</v>
      </c>
      <c r="P27" s="882" t="b">
        <v>0</v>
      </c>
      <c r="Q27" s="890" t="s">
        <v>1534</v>
      </c>
    </row>
    <row r="28" spans="1:17" ht="27.75" customHeight="1">
      <c r="A28" s="902" t="s">
        <v>1627</v>
      </c>
      <c r="B28" s="888" t="s">
        <v>307</v>
      </c>
      <c r="C28" s="889">
        <v>50</v>
      </c>
      <c r="E28" s="882" t="b">
        <v>1</v>
      </c>
      <c r="F28" s="882" t="b">
        <v>0</v>
      </c>
      <c r="G28" s="882" t="b">
        <v>0</v>
      </c>
      <c r="H28" s="882" t="b">
        <v>0</v>
      </c>
      <c r="I28" s="882" t="b">
        <v>0</v>
      </c>
      <c r="J28" s="882" t="b">
        <v>0</v>
      </c>
      <c r="K28" s="882" t="b">
        <v>0</v>
      </c>
      <c r="L28" s="882" t="b">
        <v>0</v>
      </c>
      <c r="M28" s="882" t="b">
        <v>0</v>
      </c>
      <c r="N28" s="882" t="b">
        <v>0</v>
      </c>
      <c r="O28" s="882" t="b">
        <v>0</v>
      </c>
      <c r="P28" s="882" t="b">
        <v>0</v>
      </c>
      <c r="Q28" s="890" t="s">
        <v>1534</v>
      </c>
    </row>
    <row r="29" spans="1:17" ht="27.75" customHeight="1">
      <c r="A29" s="902" t="s">
        <v>1627</v>
      </c>
      <c r="B29" s="888" t="s">
        <v>308</v>
      </c>
      <c r="C29" s="889">
        <v>175</v>
      </c>
      <c r="E29" s="882" t="b">
        <v>1</v>
      </c>
      <c r="F29" s="882" t="b">
        <v>0</v>
      </c>
      <c r="G29" s="882" t="b">
        <v>0</v>
      </c>
      <c r="H29" s="882" t="b">
        <v>0</v>
      </c>
      <c r="I29" s="882" t="b">
        <v>0</v>
      </c>
      <c r="J29" s="882" t="b">
        <v>0</v>
      </c>
      <c r="K29" s="882" t="b">
        <v>0</v>
      </c>
      <c r="L29" s="882" t="b">
        <v>0</v>
      </c>
      <c r="M29" s="882" t="b">
        <v>0</v>
      </c>
      <c r="N29" s="882" t="b">
        <v>0</v>
      </c>
      <c r="O29" s="882" t="b">
        <v>0</v>
      </c>
      <c r="P29" s="882" t="b">
        <v>0</v>
      </c>
      <c r="Q29" s="890" t="s">
        <v>1534</v>
      </c>
    </row>
    <row r="30" spans="1:17" ht="27.75" customHeight="1">
      <c r="A30" s="902" t="s">
        <v>1627</v>
      </c>
      <c r="B30" s="888" t="s">
        <v>872</v>
      </c>
      <c r="C30" s="889">
        <v>48</v>
      </c>
      <c r="E30" s="882" t="b">
        <v>1</v>
      </c>
      <c r="F30" s="882" t="b">
        <v>0</v>
      </c>
      <c r="G30" s="882" t="b">
        <v>0</v>
      </c>
      <c r="H30" s="882" t="b">
        <v>0</v>
      </c>
      <c r="I30" s="882" t="b">
        <v>0</v>
      </c>
      <c r="J30" s="882" t="b">
        <v>0</v>
      </c>
      <c r="K30" s="882" t="b">
        <v>0</v>
      </c>
      <c r="L30" s="882" t="b">
        <v>0</v>
      </c>
      <c r="M30" s="882" t="b">
        <v>0</v>
      </c>
      <c r="N30" s="882" t="b">
        <v>0</v>
      </c>
      <c r="O30" s="882" t="b">
        <v>0</v>
      </c>
      <c r="P30" s="882" t="b">
        <v>0</v>
      </c>
      <c r="Q30" s="890" t="s">
        <v>1534</v>
      </c>
    </row>
    <row r="31" spans="1:17" ht="27.75" customHeight="1">
      <c r="A31" s="902" t="s">
        <v>1627</v>
      </c>
      <c r="B31" s="888" t="s">
        <v>871</v>
      </c>
      <c r="C31" s="889">
        <v>10.95</v>
      </c>
      <c r="E31" s="882" t="b">
        <v>1</v>
      </c>
      <c r="F31" s="882" t="b">
        <v>0</v>
      </c>
      <c r="G31" s="882" t="b">
        <v>0</v>
      </c>
      <c r="H31" s="882" t="b">
        <v>0</v>
      </c>
      <c r="I31" s="882" t="b">
        <v>0</v>
      </c>
      <c r="J31" s="882" t="b">
        <v>0</v>
      </c>
      <c r="K31" s="882" t="b">
        <v>0</v>
      </c>
      <c r="L31" s="882" t="b">
        <v>0</v>
      </c>
      <c r="M31" s="882" t="b">
        <v>0</v>
      </c>
      <c r="N31" s="882" t="b">
        <v>0</v>
      </c>
      <c r="O31" s="882" t="b">
        <v>0</v>
      </c>
      <c r="P31" s="882" t="b">
        <v>0</v>
      </c>
      <c r="Q31" s="890" t="s">
        <v>1534</v>
      </c>
    </row>
    <row r="32" spans="1:17" ht="27.75" customHeight="1">
      <c r="A32" s="902" t="s">
        <v>1627</v>
      </c>
      <c r="B32" s="888" t="s">
        <v>873</v>
      </c>
      <c r="C32" s="889">
        <v>55</v>
      </c>
      <c r="E32" s="882" t="b">
        <v>1</v>
      </c>
      <c r="F32" s="882" t="b">
        <v>0</v>
      </c>
      <c r="G32" s="882" t="b">
        <v>0</v>
      </c>
      <c r="H32" s="882" t="b">
        <v>0</v>
      </c>
      <c r="I32" s="882" t="b">
        <v>0</v>
      </c>
      <c r="J32" s="882" t="b">
        <v>0</v>
      </c>
      <c r="K32" s="882" t="b">
        <v>0</v>
      </c>
      <c r="L32" s="882" t="b">
        <v>0</v>
      </c>
      <c r="M32" s="882" t="b">
        <v>0</v>
      </c>
      <c r="N32" s="882" t="b">
        <v>0</v>
      </c>
      <c r="O32" s="882" t="b">
        <v>0</v>
      </c>
      <c r="P32" s="882" t="b">
        <v>0</v>
      </c>
      <c r="Q32" s="890" t="s">
        <v>1534</v>
      </c>
    </row>
    <row r="33" spans="1:17" ht="27.75" customHeight="1">
      <c r="A33" s="902" t="s">
        <v>1627</v>
      </c>
      <c r="B33" s="888" t="s">
        <v>874</v>
      </c>
      <c r="C33" s="889">
        <v>9.0163934426229506</v>
      </c>
      <c r="E33" s="882" t="b">
        <v>1</v>
      </c>
      <c r="F33" s="882" t="b">
        <v>0</v>
      </c>
      <c r="G33" s="882" t="b">
        <v>0</v>
      </c>
      <c r="H33" s="882" t="b">
        <v>0</v>
      </c>
      <c r="I33" s="882" t="b">
        <v>0</v>
      </c>
      <c r="J33" s="882" t="b">
        <v>0</v>
      </c>
      <c r="K33" s="882" t="b">
        <v>0</v>
      </c>
      <c r="L33" s="882" t="b">
        <v>0</v>
      </c>
      <c r="M33" s="882" t="b">
        <v>0</v>
      </c>
      <c r="N33" s="882" t="b">
        <v>0</v>
      </c>
      <c r="O33" s="882" t="b">
        <v>0</v>
      </c>
      <c r="P33" s="882" t="b">
        <v>0</v>
      </c>
      <c r="Q33" s="890" t="s">
        <v>1534</v>
      </c>
    </row>
    <row r="34" spans="1:17" ht="27.75" customHeight="1">
      <c r="A34" s="902" t="s">
        <v>1627</v>
      </c>
      <c r="B34" s="888" t="s">
        <v>875</v>
      </c>
      <c r="C34" s="889">
        <v>0.4</v>
      </c>
      <c r="E34" s="882" t="b">
        <v>1</v>
      </c>
      <c r="F34" s="882" t="b">
        <v>0</v>
      </c>
      <c r="G34" s="882" t="b">
        <v>0</v>
      </c>
      <c r="H34" s="882" t="b">
        <v>0</v>
      </c>
      <c r="I34" s="882" t="b">
        <v>0</v>
      </c>
      <c r="J34" s="882" t="b">
        <v>0</v>
      </c>
      <c r="K34" s="882" t="b">
        <v>0</v>
      </c>
      <c r="L34" s="882" t="b">
        <v>0</v>
      </c>
      <c r="M34" s="882" t="b">
        <v>0</v>
      </c>
      <c r="N34" s="882" t="b">
        <v>0</v>
      </c>
      <c r="O34" s="882" t="b">
        <v>0</v>
      </c>
      <c r="P34" s="882" t="b">
        <v>0</v>
      </c>
      <c r="Q34" s="890" t="s">
        <v>1534</v>
      </c>
    </row>
    <row r="35" spans="1:17" ht="27.75" customHeight="1">
      <c r="A35" s="902" t="s">
        <v>1627</v>
      </c>
      <c r="B35" s="888" t="s">
        <v>876</v>
      </c>
      <c r="C35" s="889">
        <v>0.9</v>
      </c>
      <c r="E35" s="882" t="b">
        <v>1</v>
      </c>
      <c r="F35" s="882" t="b">
        <v>0</v>
      </c>
      <c r="G35" s="882" t="b">
        <v>0</v>
      </c>
      <c r="H35" s="882" t="b">
        <v>0</v>
      </c>
      <c r="I35" s="882" t="b">
        <v>0</v>
      </c>
      <c r="J35" s="882" t="b">
        <v>0</v>
      </c>
      <c r="K35" s="882" t="b">
        <v>0</v>
      </c>
      <c r="L35" s="882" t="b">
        <v>0</v>
      </c>
      <c r="M35" s="882" t="b">
        <v>0</v>
      </c>
      <c r="N35" s="882" t="b">
        <v>0</v>
      </c>
      <c r="O35" s="882" t="b">
        <v>0</v>
      </c>
      <c r="P35" s="882" t="b">
        <v>0</v>
      </c>
      <c r="Q35" s="890" t="s">
        <v>1534</v>
      </c>
    </row>
    <row r="36" spans="1:17" ht="27.75" customHeight="1">
      <c r="A36" s="902" t="s">
        <v>1627</v>
      </c>
      <c r="B36" s="888" t="s">
        <v>877</v>
      </c>
      <c r="C36" s="889">
        <v>9</v>
      </c>
      <c r="E36" s="882" t="b">
        <v>1</v>
      </c>
      <c r="F36" s="882" t="b">
        <v>0</v>
      </c>
      <c r="G36" s="882" t="b">
        <v>0</v>
      </c>
      <c r="H36" s="882" t="b">
        <v>0</v>
      </c>
      <c r="I36" s="882" t="b">
        <v>0</v>
      </c>
      <c r="J36" s="882" t="b">
        <v>0</v>
      </c>
      <c r="K36" s="882" t="b">
        <v>0</v>
      </c>
      <c r="L36" s="882" t="b">
        <v>0</v>
      </c>
      <c r="M36" s="882" t="b">
        <v>0</v>
      </c>
      <c r="N36" s="882" t="b">
        <v>0</v>
      </c>
      <c r="O36" s="882" t="b">
        <v>0</v>
      </c>
      <c r="P36" s="882" t="b">
        <v>0</v>
      </c>
      <c r="Q36" s="890" t="s">
        <v>1534</v>
      </c>
    </row>
    <row r="37" spans="1:17" ht="27.75" customHeight="1">
      <c r="A37" s="902" t="s">
        <v>1627</v>
      </c>
      <c r="B37" s="888" t="s">
        <v>474</v>
      </c>
      <c r="C37" s="889">
        <v>19</v>
      </c>
      <c r="E37" s="882" t="b">
        <v>1</v>
      </c>
      <c r="F37" s="882" t="b">
        <v>0</v>
      </c>
      <c r="G37" s="882" t="b">
        <v>0</v>
      </c>
      <c r="H37" s="882" t="b">
        <v>0</v>
      </c>
      <c r="I37" s="882" t="b">
        <v>0</v>
      </c>
      <c r="J37" s="882" t="b">
        <v>0</v>
      </c>
      <c r="K37" s="882" t="b">
        <v>0</v>
      </c>
      <c r="L37" s="882" t="b">
        <v>0</v>
      </c>
      <c r="M37" s="882" t="b">
        <v>0</v>
      </c>
      <c r="N37" s="882" t="b">
        <v>0</v>
      </c>
      <c r="O37" s="882" t="b">
        <v>0</v>
      </c>
      <c r="P37" s="882" t="b">
        <v>0</v>
      </c>
      <c r="Q37" s="890" t="s">
        <v>1534</v>
      </c>
    </row>
    <row r="38" spans="1:17" ht="27.75" customHeight="1">
      <c r="A38" s="902" t="s">
        <v>1627</v>
      </c>
      <c r="B38" s="888" t="s">
        <v>478</v>
      </c>
      <c r="C38" s="889">
        <v>60.357000000000006</v>
      </c>
      <c r="E38" s="882" t="b">
        <v>1</v>
      </c>
      <c r="F38" s="882" t="b">
        <v>0</v>
      </c>
      <c r="G38" s="882" t="b">
        <v>0</v>
      </c>
      <c r="H38" s="882" t="b">
        <v>0</v>
      </c>
      <c r="I38" s="882" t="b">
        <v>0</v>
      </c>
      <c r="J38" s="882" t="b">
        <v>0</v>
      </c>
      <c r="K38" s="882" t="b">
        <v>0</v>
      </c>
      <c r="L38" s="882" t="b">
        <v>0</v>
      </c>
      <c r="M38" s="882" t="b">
        <v>0</v>
      </c>
      <c r="N38" s="882" t="b">
        <v>0</v>
      </c>
      <c r="O38" s="882" t="b">
        <v>0</v>
      </c>
      <c r="P38" s="882" t="b">
        <v>0</v>
      </c>
      <c r="Q38" s="890" t="s">
        <v>1534</v>
      </c>
    </row>
    <row r="39" spans="1:17" ht="27.75" customHeight="1">
      <c r="A39" s="902" t="s">
        <v>1627</v>
      </c>
      <c r="B39" s="888" t="s">
        <v>480</v>
      </c>
      <c r="C39" s="889">
        <v>62.304000000000002</v>
      </c>
      <c r="E39" s="882" t="b">
        <v>1</v>
      </c>
      <c r="F39" s="882" t="b">
        <v>0</v>
      </c>
      <c r="G39" s="882" t="b">
        <v>0</v>
      </c>
      <c r="H39" s="882" t="b">
        <v>0</v>
      </c>
      <c r="I39" s="882" t="b">
        <v>0</v>
      </c>
      <c r="J39" s="882" t="b">
        <v>0</v>
      </c>
      <c r="K39" s="882" t="b">
        <v>0</v>
      </c>
      <c r="L39" s="882" t="b">
        <v>0</v>
      </c>
      <c r="M39" s="882" t="b">
        <v>0</v>
      </c>
      <c r="N39" s="882" t="b">
        <v>0</v>
      </c>
      <c r="O39" s="882" t="b">
        <v>0</v>
      </c>
      <c r="P39" s="882" t="b">
        <v>0</v>
      </c>
      <c r="Q39" s="890" t="s">
        <v>1534</v>
      </c>
    </row>
    <row r="40" spans="1:17" ht="27.75" customHeight="1">
      <c r="A40" s="902" t="s">
        <v>1627</v>
      </c>
      <c r="B40" s="888" t="s">
        <v>484</v>
      </c>
      <c r="C40" s="889">
        <v>1.2</v>
      </c>
      <c r="E40" s="882" t="b">
        <v>1</v>
      </c>
      <c r="F40" s="882" t="b">
        <v>0</v>
      </c>
      <c r="G40" s="882" t="b">
        <v>0</v>
      </c>
      <c r="H40" s="882" t="b">
        <v>0</v>
      </c>
      <c r="I40" s="882" t="b">
        <v>0</v>
      </c>
      <c r="J40" s="882" t="b">
        <v>0</v>
      </c>
      <c r="K40" s="882" t="b">
        <v>0</v>
      </c>
      <c r="L40" s="882" t="b">
        <v>0</v>
      </c>
      <c r="M40" s="882" t="b">
        <v>0</v>
      </c>
      <c r="N40" s="882" t="b">
        <v>0</v>
      </c>
      <c r="O40" s="882" t="b">
        <v>0</v>
      </c>
      <c r="P40" s="882" t="b">
        <v>0</v>
      </c>
      <c r="Q40" s="890" t="s">
        <v>1534</v>
      </c>
    </row>
    <row r="41" spans="1:17" ht="27.75" customHeight="1">
      <c r="A41" s="902" t="s">
        <v>1627</v>
      </c>
      <c r="B41" s="888" t="s">
        <v>487</v>
      </c>
      <c r="C41" s="889">
        <v>24.7</v>
      </c>
      <c r="E41" s="882" t="b">
        <v>1</v>
      </c>
      <c r="F41" s="882" t="b">
        <v>0</v>
      </c>
      <c r="G41" s="882" t="b">
        <v>0</v>
      </c>
      <c r="H41" s="882" t="b">
        <v>0</v>
      </c>
      <c r="I41" s="882" t="b">
        <v>0</v>
      </c>
      <c r="J41" s="882" t="b">
        <v>0</v>
      </c>
      <c r="K41" s="882" t="b">
        <v>0</v>
      </c>
      <c r="L41" s="882" t="b">
        <v>0</v>
      </c>
      <c r="M41" s="882" t="b">
        <v>0</v>
      </c>
      <c r="N41" s="882" t="b">
        <v>0</v>
      </c>
      <c r="O41" s="882" t="b">
        <v>0</v>
      </c>
      <c r="P41" s="882" t="b">
        <v>0</v>
      </c>
      <c r="Q41" s="890" t="s">
        <v>1534</v>
      </c>
    </row>
    <row r="42" spans="1:17" ht="27.75" customHeight="1">
      <c r="A42" s="902" t="s">
        <v>1627</v>
      </c>
      <c r="B42" s="888" t="s">
        <v>490</v>
      </c>
      <c r="C42" s="889">
        <v>8.8000000000000007</v>
      </c>
      <c r="E42" s="882" t="b">
        <v>1</v>
      </c>
      <c r="F42" s="882" t="b">
        <v>0</v>
      </c>
      <c r="G42" s="882" t="b">
        <v>0</v>
      </c>
      <c r="H42" s="882" t="b">
        <v>0</v>
      </c>
      <c r="I42" s="882" t="b">
        <v>0</v>
      </c>
      <c r="J42" s="882" t="b">
        <v>0</v>
      </c>
      <c r="K42" s="882" t="b">
        <v>0</v>
      </c>
      <c r="L42" s="882" t="b">
        <v>0</v>
      </c>
      <c r="M42" s="882" t="b">
        <v>0</v>
      </c>
      <c r="N42" s="882" t="b">
        <v>0</v>
      </c>
      <c r="O42" s="882" t="b">
        <v>0</v>
      </c>
      <c r="P42" s="882" t="b">
        <v>0</v>
      </c>
      <c r="Q42" s="890" t="s">
        <v>1534</v>
      </c>
    </row>
    <row r="43" spans="1:17" ht="27.75" customHeight="1">
      <c r="A43" s="902" t="s">
        <v>1627</v>
      </c>
      <c r="B43" s="888" t="s">
        <v>493</v>
      </c>
      <c r="C43" s="889">
        <v>7.5</v>
      </c>
      <c r="E43" s="882" t="b">
        <v>1</v>
      </c>
      <c r="F43" s="882" t="b">
        <v>0</v>
      </c>
      <c r="G43" s="882" t="b">
        <v>0</v>
      </c>
      <c r="H43" s="882" t="b">
        <v>0</v>
      </c>
      <c r="I43" s="882" t="b">
        <v>0</v>
      </c>
      <c r="J43" s="882" t="b">
        <v>0</v>
      </c>
      <c r="K43" s="882" t="b">
        <v>0</v>
      </c>
      <c r="L43" s="882" t="b">
        <v>0</v>
      </c>
      <c r="M43" s="882" t="b">
        <v>0</v>
      </c>
      <c r="N43" s="882" t="b">
        <v>0</v>
      </c>
      <c r="O43" s="882" t="b">
        <v>0</v>
      </c>
      <c r="P43" s="882" t="b">
        <v>0</v>
      </c>
      <c r="Q43" s="890" t="s">
        <v>1534</v>
      </c>
    </row>
    <row r="44" spans="1:17" ht="27.75" customHeight="1">
      <c r="A44" s="902" t="s">
        <v>1627</v>
      </c>
      <c r="B44" s="888" t="s">
        <v>528</v>
      </c>
      <c r="C44" s="889">
        <v>24.964000000000002</v>
      </c>
      <c r="E44" s="882" t="b">
        <v>1</v>
      </c>
      <c r="F44" s="882" t="b">
        <v>0</v>
      </c>
      <c r="G44" s="882" t="b">
        <v>0</v>
      </c>
      <c r="H44" s="882" t="b">
        <v>0</v>
      </c>
      <c r="I44" s="882" t="b">
        <v>0</v>
      </c>
      <c r="J44" s="882" t="b">
        <v>0</v>
      </c>
      <c r="K44" s="882" t="b">
        <v>0</v>
      </c>
      <c r="L44" s="882" t="b">
        <v>0</v>
      </c>
      <c r="M44" s="882" t="b">
        <v>0</v>
      </c>
      <c r="N44" s="882" t="b">
        <v>0</v>
      </c>
      <c r="O44" s="882" t="b">
        <v>0</v>
      </c>
      <c r="P44" s="882" t="b">
        <v>0</v>
      </c>
      <c r="Q44" s="890" t="s">
        <v>1534</v>
      </c>
    </row>
    <row r="45" spans="1:17" ht="27.75" customHeight="1">
      <c r="A45" s="902" t="s">
        <v>1627</v>
      </c>
      <c r="B45" s="888" t="s">
        <v>532</v>
      </c>
      <c r="C45" s="889">
        <v>26.86</v>
      </c>
      <c r="E45" s="882" t="b">
        <v>1</v>
      </c>
      <c r="F45" s="882" t="b">
        <v>0</v>
      </c>
      <c r="G45" s="882" t="b">
        <v>0</v>
      </c>
      <c r="H45" s="882" t="b">
        <v>0</v>
      </c>
      <c r="I45" s="882" t="b">
        <v>0</v>
      </c>
      <c r="J45" s="882" t="b">
        <v>0</v>
      </c>
      <c r="K45" s="882" t="b">
        <v>0</v>
      </c>
      <c r="L45" s="882" t="b">
        <v>0</v>
      </c>
      <c r="M45" s="882" t="b">
        <v>0</v>
      </c>
      <c r="N45" s="882" t="b">
        <v>0</v>
      </c>
      <c r="O45" s="882" t="b">
        <v>0</v>
      </c>
      <c r="P45" s="882" t="b">
        <v>0</v>
      </c>
      <c r="Q45" s="890" t="s">
        <v>1534</v>
      </c>
    </row>
    <row r="46" spans="1:17" ht="27.75" customHeight="1">
      <c r="A46" s="902" t="s">
        <v>1627</v>
      </c>
      <c r="B46" s="888" t="s">
        <v>534</v>
      </c>
      <c r="C46" s="889">
        <v>218.42000000000002</v>
      </c>
      <c r="E46" s="882" t="b">
        <v>1</v>
      </c>
      <c r="F46" s="882" t="b">
        <v>0</v>
      </c>
      <c r="G46" s="882" t="b">
        <v>0</v>
      </c>
      <c r="H46" s="882" t="b">
        <v>0</v>
      </c>
      <c r="I46" s="882" t="b">
        <v>0</v>
      </c>
      <c r="J46" s="882" t="b">
        <v>0</v>
      </c>
      <c r="K46" s="882" t="b">
        <v>0</v>
      </c>
      <c r="L46" s="882" t="b">
        <v>0</v>
      </c>
      <c r="M46" s="882" t="b">
        <v>0</v>
      </c>
      <c r="N46" s="882" t="b">
        <v>0</v>
      </c>
      <c r="O46" s="882" t="b">
        <v>0</v>
      </c>
      <c r="P46" s="882" t="b">
        <v>0</v>
      </c>
      <c r="Q46" s="890" t="s">
        <v>1534</v>
      </c>
    </row>
    <row r="47" spans="1:17" ht="27.75" customHeight="1">
      <c r="A47" s="902" t="s">
        <v>1627</v>
      </c>
      <c r="B47" s="888" t="s">
        <v>537</v>
      </c>
      <c r="C47" s="889">
        <v>145</v>
      </c>
      <c r="E47" s="882" t="b">
        <v>1</v>
      </c>
      <c r="F47" s="882" t="b">
        <v>0</v>
      </c>
      <c r="G47" s="882" t="b">
        <v>0</v>
      </c>
      <c r="H47" s="882" t="b">
        <v>0</v>
      </c>
      <c r="I47" s="882" t="b">
        <v>0</v>
      </c>
      <c r="J47" s="882" t="b">
        <v>0</v>
      </c>
      <c r="K47" s="882" t="b">
        <v>0</v>
      </c>
      <c r="L47" s="882" t="b">
        <v>0</v>
      </c>
      <c r="M47" s="882" t="b">
        <v>0</v>
      </c>
      <c r="N47" s="882" t="b">
        <v>0</v>
      </c>
      <c r="O47" s="882" t="b">
        <v>0</v>
      </c>
      <c r="P47" s="882" t="b">
        <v>0</v>
      </c>
      <c r="Q47" s="890" t="s">
        <v>1534</v>
      </c>
    </row>
    <row r="48" spans="1:17" ht="27.75" customHeight="1">
      <c r="A48" s="902" t="s">
        <v>1627</v>
      </c>
      <c r="B48" s="888" t="s">
        <v>539</v>
      </c>
      <c r="C48" s="889">
        <v>4.25</v>
      </c>
      <c r="E48" s="882" t="b">
        <v>1</v>
      </c>
      <c r="F48" s="882" t="b">
        <v>0</v>
      </c>
      <c r="G48" s="882" t="b">
        <v>0</v>
      </c>
      <c r="H48" s="882" t="b">
        <v>0</v>
      </c>
      <c r="I48" s="882" t="b">
        <v>0</v>
      </c>
      <c r="J48" s="882" t="b">
        <v>0</v>
      </c>
      <c r="K48" s="882" t="b">
        <v>0</v>
      </c>
      <c r="L48" s="882" t="b">
        <v>0</v>
      </c>
      <c r="M48" s="882" t="b">
        <v>0</v>
      </c>
      <c r="N48" s="882" t="b">
        <v>0</v>
      </c>
      <c r="O48" s="882" t="b">
        <v>0</v>
      </c>
      <c r="P48" s="882" t="b">
        <v>0</v>
      </c>
      <c r="Q48" s="890" t="s">
        <v>1534</v>
      </c>
    </row>
    <row r="49" spans="1:17" ht="27.75" customHeight="1">
      <c r="A49" s="902" t="s">
        <v>1627</v>
      </c>
      <c r="B49" s="888" t="s">
        <v>541</v>
      </c>
      <c r="C49" s="889">
        <v>140</v>
      </c>
      <c r="E49" s="882" t="b">
        <v>1</v>
      </c>
      <c r="F49" s="882" t="b">
        <v>0</v>
      </c>
      <c r="G49" s="882" t="b">
        <v>0</v>
      </c>
      <c r="H49" s="882" t="b">
        <v>0</v>
      </c>
      <c r="I49" s="882" t="b">
        <v>0</v>
      </c>
      <c r="J49" s="882" t="b">
        <v>0</v>
      </c>
      <c r="K49" s="882" t="b">
        <v>0</v>
      </c>
      <c r="L49" s="882" t="b">
        <v>0</v>
      </c>
      <c r="M49" s="882" t="b">
        <v>0</v>
      </c>
      <c r="N49" s="882" t="b">
        <v>0</v>
      </c>
      <c r="O49" s="882" t="b">
        <v>0</v>
      </c>
      <c r="P49" s="882" t="b">
        <v>0</v>
      </c>
      <c r="Q49" s="890" t="s">
        <v>1534</v>
      </c>
    </row>
    <row r="50" spans="1:17" ht="27.75" customHeight="1">
      <c r="A50" s="902" t="s">
        <v>1627</v>
      </c>
      <c r="B50" s="888" t="s">
        <v>542</v>
      </c>
      <c r="C50" s="889">
        <v>3.9999999999999991</v>
      </c>
      <c r="E50" s="882" t="b">
        <v>1</v>
      </c>
      <c r="F50" s="882" t="b">
        <v>0</v>
      </c>
      <c r="G50" s="882" t="b">
        <v>0</v>
      </c>
      <c r="H50" s="882" t="b">
        <v>0</v>
      </c>
      <c r="I50" s="882" t="b">
        <v>0</v>
      </c>
      <c r="J50" s="882" t="b">
        <v>0</v>
      </c>
      <c r="K50" s="882" t="b">
        <v>0</v>
      </c>
      <c r="L50" s="882" t="b">
        <v>0</v>
      </c>
      <c r="M50" s="882" t="b">
        <v>0</v>
      </c>
      <c r="N50" s="882" t="b">
        <v>0</v>
      </c>
      <c r="O50" s="882" t="b">
        <v>0</v>
      </c>
      <c r="P50" s="882" t="b">
        <v>0</v>
      </c>
      <c r="Q50" s="890" t="s">
        <v>1534</v>
      </c>
    </row>
    <row r="51" spans="1:17" ht="27.75" customHeight="1">
      <c r="A51" s="902" t="s">
        <v>1627</v>
      </c>
      <c r="B51" s="888" t="s">
        <v>543</v>
      </c>
      <c r="C51" s="889">
        <v>128.75</v>
      </c>
      <c r="E51" s="882" t="b">
        <v>1</v>
      </c>
      <c r="F51" s="882" t="b">
        <v>0</v>
      </c>
      <c r="G51" s="882" t="b">
        <v>0</v>
      </c>
      <c r="H51" s="882" t="b">
        <v>0</v>
      </c>
      <c r="I51" s="882" t="b">
        <v>0</v>
      </c>
      <c r="J51" s="882" t="b">
        <v>0</v>
      </c>
      <c r="K51" s="882" t="b">
        <v>0</v>
      </c>
      <c r="L51" s="882" t="b">
        <v>0</v>
      </c>
      <c r="M51" s="882" t="b">
        <v>0</v>
      </c>
      <c r="N51" s="882" t="b">
        <v>0</v>
      </c>
      <c r="O51" s="882" t="b">
        <v>0</v>
      </c>
      <c r="P51" s="882" t="b">
        <v>0</v>
      </c>
      <c r="Q51" s="890" t="s">
        <v>1534</v>
      </c>
    </row>
    <row r="52" spans="1:17" ht="27.75" customHeight="1">
      <c r="A52" s="902" t="s">
        <v>1627</v>
      </c>
      <c r="B52" s="888" t="s">
        <v>544</v>
      </c>
      <c r="C52" s="889">
        <v>4.875</v>
      </c>
      <c r="E52" s="882" t="b">
        <v>1</v>
      </c>
      <c r="F52" s="882" t="b">
        <v>0</v>
      </c>
      <c r="G52" s="882" t="b">
        <v>0</v>
      </c>
      <c r="H52" s="882" t="b">
        <v>0</v>
      </c>
      <c r="I52" s="882" t="b">
        <v>0</v>
      </c>
      <c r="J52" s="882" t="b">
        <v>0</v>
      </c>
      <c r="K52" s="882" t="b">
        <v>0</v>
      </c>
      <c r="L52" s="882" t="b">
        <v>0</v>
      </c>
      <c r="M52" s="882" t="b">
        <v>0</v>
      </c>
      <c r="N52" s="882" t="b">
        <v>0</v>
      </c>
      <c r="O52" s="882" t="b">
        <v>0</v>
      </c>
      <c r="P52" s="882" t="b">
        <v>0</v>
      </c>
      <c r="Q52" s="890" t="s">
        <v>1534</v>
      </c>
    </row>
    <row r="53" spans="1:17" ht="27.75" customHeight="1">
      <c r="A53" s="902" t="s">
        <v>1627</v>
      </c>
      <c r="B53" s="888" t="s">
        <v>545</v>
      </c>
      <c r="C53" s="889">
        <v>10.607999999999999</v>
      </c>
      <c r="E53" s="882" t="b">
        <v>1</v>
      </c>
      <c r="F53" s="882" t="b">
        <v>0</v>
      </c>
      <c r="G53" s="882" t="b">
        <v>0</v>
      </c>
      <c r="H53" s="882" t="b">
        <v>0</v>
      </c>
      <c r="I53" s="882" t="b">
        <v>0</v>
      </c>
      <c r="J53" s="882" t="b">
        <v>0</v>
      </c>
      <c r="K53" s="882" t="b">
        <v>0</v>
      </c>
      <c r="L53" s="882" t="b">
        <v>0</v>
      </c>
      <c r="M53" s="882" t="b">
        <v>0</v>
      </c>
      <c r="N53" s="882" t="b">
        <v>0</v>
      </c>
      <c r="O53" s="882" t="b">
        <v>0</v>
      </c>
      <c r="P53" s="882" t="b">
        <v>0</v>
      </c>
      <c r="Q53" s="890" t="s">
        <v>1534</v>
      </c>
    </row>
    <row r="54" spans="1:17" ht="27.75" customHeight="1">
      <c r="A54" s="902" t="s">
        <v>1627</v>
      </c>
      <c r="B54" s="888" t="s">
        <v>548</v>
      </c>
      <c r="C54" s="889">
        <v>6.2</v>
      </c>
      <c r="E54" s="882" t="b">
        <v>1</v>
      </c>
      <c r="F54" s="882" t="b">
        <v>0</v>
      </c>
      <c r="G54" s="882" t="b">
        <v>0</v>
      </c>
      <c r="H54" s="882" t="b">
        <v>0</v>
      </c>
      <c r="I54" s="882" t="b">
        <v>0</v>
      </c>
      <c r="J54" s="882" t="b">
        <v>0</v>
      </c>
      <c r="K54" s="882" t="b">
        <v>0</v>
      </c>
      <c r="L54" s="882" t="b">
        <v>0</v>
      </c>
      <c r="M54" s="882" t="b">
        <v>0</v>
      </c>
      <c r="N54" s="882" t="b">
        <v>0</v>
      </c>
      <c r="O54" s="882" t="b">
        <v>0</v>
      </c>
      <c r="P54" s="882" t="b">
        <v>0</v>
      </c>
      <c r="Q54" s="890" t="s">
        <v>1534</v>
      </c>
    </row>
    <row r="55" spans="1:17" ht="27.75" customHeight="1">
      <c r="A55" s="902" t="s">
        <v>1627</v>
      </c>
      <c r="B55" s="888" t="s">
        <v>554</v>
      </c>
      <c r="C55" s="889">
        <v>5.6</v>
      </c>
      <c r="E55" s="882" t="b">
        <v>1</v>
      </c>
      <c r="F55" s="882" t="b">
        <v>0</v>
      </c>
      <c r="G55" s="882" t="b">
        <v>0</v>
      </c>
      <c r="H55" s="882" t="b">
        <v>0</v>
      </c>
      <c r="I55" s="882" t="b">
        <v>0</v>
      </c>
      <c r="J55" s="882" t="b">
        <v>0</v>
      </c>
      <c r="K55" s="882" t="b">
        <v>0</v>
      </c>
      <c r="L55" s="882" t="b">
        <v>0</v>
      </c>
      <c r="M55" s="882" t="b">
        <v>0</v>
      </c>
      <c r="N55" s="882" t="b">
        <v>0</v>
      </c>
      <c r="O55" s="882" t="b">
        <v>0</v>
      </c>
      <c r="P55" s="882" t="b">
        <v>0</v>
      </c>
      <c r="Q55" s="890" t="s">
        <v>1534</v>
      </c>
    </row>
  </sheetData>
  <phoneticPr fontId="7"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sheetPr>
    <tabColor theme="8" tint="0.39997558519241921"/>
  </sheetPr>
  <dimension ref="A1:Q29"/>
  <sheetViews>
    <sheetView zoomScale="70" zoomScaleNormal="70" workbookViewId="0">
      <selection activeCell="A13" sqref="A13:XFD14"/>
    </sheetView>
  </sheetViews>
  <sheetFormatPr defaultRowHeight="24" customHeight="1"/>
  <cols>
    <col min="1" max="1" width="32.625" style="901" customWidth="1"/>
    <col min="2" max="2" width="24.375" style="891" customWidth="1"/>
    <col min="3" max="3" width="26.375" style="892" customWidth="1"/>
    <col min="4" max="4" width="9" style="882"/>
    <col min="5" max="16" width="9" style="882" hidden="1" customWidth="1"/>
    <col min="17" max="16384" width="9" style="882"/>
  </cols>
  <sheetData>
    <row r="1" spans="1:17" ht="65.25" customHeight="1">
      <c r="A1" s="897" t="s">
        <v>319</v>
      </c>
      <c r="B1" s="880"/>
      <c r="C1" s="881"/>
    </row>
    <row r="2" spans="1:17" s="885" customFormat="1" ht="24" customHeight="1">
      <c r="A2" s="900" t="s">
        <v>320</v>
      </c>
      <c r="B2" s="883" t="s">
        <v>321</v>
      </c>
      <c r="C2" s="884" t="s">
        <v>329</v>
      </c>
      <c r="E2" s="886">
        <v>1</v>
      </c>
      <c r="F2" s="886" t="s">
        <v>832</v>
      </c>
      <c r="G2" s="886">
        <v>2</v>
      </c>
      <c r="H2" s="886" t="s">
        <v>832</v>
      </c>
      <c r="I2" s="886">
        <v>3</v>
      </c>
      <c r="J2" s="886" t="s">
        <v>832</v>
      </c>
      <c r="K2" s="886">
        <v>4</v>
      </c>
      <c r="L2" s="886" t="s">
        <v>832</v>
      </c>
      <c r="M2" s="886">
        <v>5</v>
      </c>
      <c r="N2" s="886" t="s">
        <v>832</v>
      </c>
      <c r="O2" s="886">
        <v>6</v>
      </c>
      <c r="P2" s="886" t="s">
        <v>832</v>
      </c>
      <c r="Q2" s="887">
        <v>2</v>
      </c>
    </row>
    <row r="3" spans="1:17" s="885" customFormat="1" ht="24" customHeight="1">
      <c r="A3" s="900" t="s">
        <v>344</v>
      </c>
      <c r="B3" s="883" t="s">
        <v>345</v>
      </c>
      <c r="C3" s="884" t="s">
        <v>352</v>
      </c>
      <c r="Q3" s="894"/>
    </row>
    <row r="4" spans="1:17" ht="24" customHeight="1">
      <c r="A4" s="902" t="s">
        <v>1628</v>
      </c>
      <c r="B4" s="888" t="s">
        <v>263</v>
      </c>
      <c r="C4" s="889">
        <v>70.741</v>
      </c>
      <c r="E4" s="882" t="b">
        <v>0</v>
      </c>
      <c r="F4" s="882" t="b">
        <v>0</v>
      </c>
      <c r="G4" s="882" t="b">
        <v>1</v>
      </c>
      <c r="H4" s="882" t="b">
        <v>0</v>
      </c>
      <c r="I4" s="882" t="b">
        <v>0</v>
      </c>
      <c r="J4" s="882" t="b">
        <v>0</v>
      </c>
      <c r="K4" s="882" t="b">
        <v>0</v>
      </c>
      <c r="L4" s="882" t="b">
        <v>0</v>
      </c>
      <c r="M4" s="882" t="b">
        <v>0</v>
      </c>
      <c r="N4" s="882" t="b">
        <v>0</v>
      </c>
      <c r="O4" s="882" t="b">
        <v>0</v>
      </c>
      <c r="P4" s="882" t="b">
        <v>0</v>
      </c>
      <c r="Q4" s="890" t="s">
        <v>1534</v>
      </c>
    </row>
    <row r="5" spans="1:17" ht="24" customHeight="1">
      <c r="A5" s="902" t="s">
        <v>1628</v>
      </c>
      <c r="B5" s="888" t="s">
        <v>264</v>
      </c>
      <c r="C5" s="889">
        <v>73.986000000000004</v>
      </c>
      <c r="E5" s="882" t="b">
        <v>0</v>
      </c>
      <c r="F5" s="882" t="b">
        <v>0</v>
      </c>
      <c r="G5" s="882" t="b">
        <v>1</v>
      </c>
      <c r="H5" s="882" t="b">
        <v>0</v>
      </c>
      <c r="I5" s="882" t="b">
        <v>0</v>
      </c>
      <c r="J5" s="882" t="b">
        <v>0</v>
      </c>
      <c r="K5" s="882" t="b">
        <v>0</v>
      </c>
      <c r="L5" s="882" t="b">
        <v>0</v>
      </c>
      <c r="M5" s="882" t="b">
        <v>0</v>
      </c>
      <c r="N5" s="882" t="b">
        <v>0</v>
      </c>
      <c r="O5" s="882" t="b">
        <v>0</v>
      </c>
      <c r="P5" s="882" t="b">
        <v>0</v>
      </c>
      <c r="Q5" s="890" t="s">
        <v>1534</v>
      </c>
    </row>
    <row r="6" spans="1:17" ht="24" customHeight="1">
      <c r="A6" s="902" t="s">
        <v>1628</v>
      </c>
      <c r="B6" s="888" t="s">
        <v>265</v>
      </c>
      <c r="C6" s="889">
        <v>56.363999999999997</v>
      </c>
      <c r="E6" s="882" t="b">
        <v>0</v>
      </c>
      <c r="F6" s="882" t="b">
        <v>0</v>
      </c>
      <c r="G6" s="882" t="b">
        <v>1</v>
      </c>
      <c r="H6" s="882" t="b">
        <v>0</v>
      </c>
      <c r="I6" s="882" t="b">
        <v>0</v>
      </c>
      <c r="J6" s="882" t="b">
        <v>0</v>
      </c>
      <c r="K6" s="882" t="b">
        <v>0</v>
      </c>
      <c r="L6" s="882" t="b">
        <v>0</v>
      </c>
      <c r="M6" s="882" t="b">
        <v>0</v>
      </c>
      <c r="N6" s="882" t="b">
        <v>0</v>
      </c>
      <c r="O6" s="882" t="b">
        <v>0</v>
      </c>
      <c r="P6" s="882" t="b">
        <v>0</v>
      </c>
      <c r="Q6" s="890" t="s">
        <v>1534</v>
      </c>
    </row>
    <row r="7" spans="1:17" ht="24" customHeight="1">
      <c r="A7" s="902" t="s">
        <v>1628</v>
      </c>
      <c r="B7" s="888" t="s">
        <v>266</v>
      </c>
      <c r="C7" s="889">
        <v>58.211999999999996</v>
      </c>
      <c r="E7" s="882" t="b">
        <v>0</v>
      </c>
      <c r="F7" s="882" t="b">
        <v>0</v>
      </c>
      <c r="G7" s="882" t="b">
        <v>1</v>
      </c>
      <c r="H7" s="882" t="b">
        <v>0</v>
      </c>
      <c r="I7" s="882" t="b">
        <v>0</v>
      </c>
      <c r="J7" s="882" t="b">
        <v>0</v>
      </c>
      <c r="K7" s="882" t="b">
        <v>0</v>
      </c>
      <c r="L7" s="882" t="b">
        <v>0</v>
      </c>
      <c r="M7" s="882" t="b">
        <v>0</v>
      </c>
      <c r="N7" s="882" t="b">
        <v>0</v>
      </c>
      <c r="O7" s="882" t="b">
        <v>0</v>
      </c>
      <c r="P7" s="882" t="b">
        <v>0</v>
      </c>
      <c r="Q7" s="890" t="s">
        <v>1534</v>
      </c>
    </row>
    <row r="8" spans="1:17" ht="24" customHeight="1">
      <c r="A8" s="902" t="s">
        <v>1628</v>
      </c>
      <c r="B8" s="888" t="s">
        <v>267</v>
      </c>
      <c r="C8" s="889">
        <v>145.6</v>
      </c>
      <c r="E8" s="882" t="b">
        <v>0</v>
      </c>
      <c r="F8" s="882" t="b">
        <v>0</v>
      </c>
      <c r="G8" s="882" t="b">
        <v>1</v>
      </c>
      <c r="H8" s="882" t="b">
        <v>0</v>
      </c>
      <c r="I8" s="882" t="b">
        <v>0</v>
      </c>
      <c r="J8" s="882" t="b">
        <v>0</v>
      </c>
      <c r="K8" s="882" t="b">
        <v>0</v>
      </c>
      <c r="L8" s="882" t="b">
        <v>0</v>
      </c>
      <c r="M8" s="882" t="b">
        <v>0</v>
      </c>
      <c r="N8" s="882" t="b">
        <v>0</v>
      </c>
      <c r="O8" s="882" t="b">
        <v>0</v>
      </c>
      <c r="P8" s="882" t="b">
        <v>0</v>
      </c>
      <c r="Q8" s="890" t="s">
        <v>1534</v>
      </c>
    </row>
    <row r="9" spans="1:17" ht="24" customHeight="1">
      <c r="A9" s="902" t="s">
        <v>1628</v>
      </c>
      <c r="B9" s="888" t="s">
        <v>268</v>
      </c>
      <c r="C9" s="889">
        <v>11.18</v>
      </c>
      <c r="E9" s="882" t="b">
        <v>0</v>
      </c>
      <c r="F9" s="882" t="b">
        <v>0</v>
      </c>
      <c r="G9" s="882" t="b">
        <v>1</v>
      </c>
      <c r="H9" s="882" t="b">
        <v>0</v>
      </c>
      <c r="I9" s="882" t="b">
        <v>0</v>
      </c>
      <c r="J9" s="882" t="b">
        <v>0</v>
      </c>
      <c r="K9" s="882" t="b">
        <v>0</v>
      </c>
      <c r="L9" s="882" t="b">
        <v>0</v>
      </c>
      <c r="M9" s="882" t="b">
        <v>0</v>
      </c>
      <c r="N9" s="882" t="b">
        <v>0</v>
      </c>
      <c r="O9" s="882" t="b">
        <v>0</v>
      </c>
      <c r="P9" s="882" t="b">
        <v>0</v>
      </c>
      <c r="Q9" s="890" t="s">
        <v>1534</v>
      </c>
    </row>
    <row r="10" spans="1:17" ht="24" customHeight="1">
      <c r="A10" s="902" t="s">
        <v>1628</v>
      </c>
      <c r="B10" s="888" t="s">
        <v>269</v>
      </c>
      <c r="C10" s="889">
        <v>7.0042</v>
      </c>
      <c r="E10" s="882" t="b">
        <v>0</v>
      </c>
      <c r="F10" s="882" t="b">
        <v>0</v>
      </c>
      <c r="G10" s="882" t="b">
        <v>1</v>
      </c>
      <c r="H10" s="882" t="b">
        <v>0</v>
      </c>
      <c r="I10" s="882" t="b">
        <v>0</v>
      </c>
      <c r="J10" s="882" t="b">
        <v>0</v>
      </c>
      <c r="K10" s="882" t="b">
        <v>0</v>
      </c>
      <c r="L10" s="882" t="b">
        <v>0</v>
      </c>
      <c r="M10" s="882" t="b">
        <v>0</v>
      </c>
      <c r="N10" s="882" t="b">
        <v>0</v>
      </c>
      <c r="O10" s="882" t="b">
        <v>0</v>
      </c>
      <c r="P10" s="882" t="b">
        <v>0</v>
      </c>
      <c r="Q10" s="890" t="s">
        <v>1534</v>
      </c>
    </row>
    <row r="11" spans="1:17" ht="24" customHeight="1">
      <c r="A11" s="902" t="s">
        <v>1628</v>
      </c>
      <c r="B11" s="888" t="s">
        <v>270</v>
      </c>
      <c r="C11" s="889">
        <v>2.2999999999999998</v>
      </c>
      <c r="E11" s="882" t="b">
        <v>0</v>
      </c>
      <c r="F11" s="882" t="b">
        <v>0</v>
      </c>
      <c r="G11" s="882" t="b">
        <v>1</v>
      </c>
      <c r="H11" s="882" t="b">
        <v>0</v>
      </c>
      <c r="I11" s="882" t="b">
        <v>0</v>
      </c>
      <c r="J11" s="882" t="b">
        <v>0</v>
      </c>
      <c r="K11" s="882" t="b">
        <v>0</v>
      </c>
      <c r="L11" s="882" t="b">
        <v>0</v>
      </c>
      <c r="M11" s="882" t="b">
        <v>0</v>
      </c>
      <c r="N11" s="882" t="b">
        <v>0</v>
      </c>
      <c r="O11" s="882" t="b">
        <v>0</v>
      </c>
      <c r="P11" s="882" t="b">
        <v>0</v>
      </c>
      <c r="Q11" s="890" t="s">
        <v>1534</v>
      </c>
    </row>
    <row r="12" spans="1:17" ht="24" customHeight="1">
      <c r="A12" s="902" t="s">
        <v>1628</v>
      </c>
      <c r="B12" s="888" t="s">
        <v>271</v>
      </c>
      <c r="C12" s="889">
        <v>0.45624999999999999</v>
      </c>
      <c r="E12" s="882" t="b">
        <v>0</v>
      </c>
      <c r="F12" s="882" t="b">
        <v>0</v>
      </c>
      <c r="G12" s="882" t="b">
        <v>1</v>
      </c>
      <c r="H12" s="882" t="b">
        <v>0</v>
      </c>
      <c r="I12" s="882" t="b">
        <v>0</v>
      </c>
      <c r="J12" s="882" t="b">
        <v>0</v>
      </c>
      <c r="K12" s="882" t="b">
        <v>0</v>
      </c>
      <c r="L12" s="882" t="b">
        <v>0</v>
      </c>
      <c r="M12" s="882" t="b">
        <v>0</v>
      </c>
      <c r="N12" s="882" t="b">
        <v>0</v>
      </c>
      <c r="O12" s="882" t="b">
        <v>0</v>
      </c>
      <c r="P12" s="882" t="b">
        <v>0</v>
      </c>
      <c r="Q12" s="890" t="s">
        <v>1534</v>
      </c>
    </row>
    <row r="13" spans="1:17" ht="24" customHeight="1">
      <c r="A13" s="902" t="s">
        <v>1628</v>
      </c>
      <c r="B13" s="888" t="s">
        <v>274</v>
      </c>
      <c r="C13" s="889">
        <v>1.0584E-2</v>
      </c>
      <c r="E13" s="882" t="b">
        <v>0</v>
      </c>
      <c r="F13" s="882" t="b">
        <v>0</v>
      </c>
      <c r="G13" s="882" t="b">
        <v>1</v>
      </c>
      <c r="H13" s="882" t="b">
        <v>0</v>
      </c>
      <c r="I13" s="882" t="b">
        <v>0</v>
      </c>
      <c r="J13" s="882" t="b">
        <v>0</v>
      </c>
      <c r="K13" s="882" t="b">
        <v>0</v>
      </c>
      <c r="L13" s="882" t="b">
        <v>0</v>
      </c>
      <c r="M13" s="882" t="b">
        <v>0</v>
      </c>
      <c r="N13" s="882" t="b">
        <v>0</v>
      </c>
      <c r="O13" s="882" t="b">
        <v>0</v>
      </c>
      <c r="P13" s="882" t="b">
        <v>0</v>
      </c>
      <c r="Q13" s="890" t="s">
        <v>1534</v>
      </c>
    </row>
    <row r="14" spans="1:17" ht="24" customHeight="1">
      <c r="A14" s="902" t="s">
        <v>1628</v>
      </c>
      <c r="B14" s="888" t="s">
        <v>284</v>
      </c>
      <c r="C14" s="889">
        <v>122</v>
      </c>
      <c r="E14" s="882" t="b">
        <v>0</v>
      </c>
      <c r="F14" s="882" t="b">
        <v>0</v>
      </c>
      <c r="G14" s="882" t="b">
        <v>1</v>
      </c>
      <c r="H14" s="882" t="b">
        <v>0</v>
      </c>
      <c r="I14" s="882" t="b">
        <v>0</v>
      </c>
      <c r="J14" s="882" t="b">
        <v>0</v>
      </c>
      <c r="K14" s="882" t="b">
        <v>0</v>
      </c>
      <c r="L14" s="882" t="b">
        <v>0</v>
      </c>
      <c r="M14" s="882" t="b">
        <v>0</v>
      </c>
      <c r="N14" s="882" t="b">
        <v>0</v>
      </c>
      <c r="O14" s="882" t="b">
        <v>0</v>
      </c>
      <c r="P14" s="882" t="b">
        <v>0</v>
      </c>
      <c r="Q14" s="890" t="s">
        <v>1534</v>
      </c>
    </row>
    <row r="15" spans="1:17" ht="24" customHeight="1">
      <c r="A15" s="902" t="s">
        <v>1628</v>
      </c>
      <c r="B15" s="888" t="s">
        <v>285</v>
      </c>
      <c r="C15" s="889">
        <v>40</v>
      </c>
      <c r="E15" s="882" t="b">
        <v>0</v>
      </c>
      <c r="F15" s="882" t="b">
        <v>0</v>
      </c>
      <c r="G15" s="882" t="b">
        <v>1</v>
      </c>
      <c r="H15" s="882" t="b">
        <v>0</v>
      </c>
      <c r="I15" s="882" t="b">
        <v>0</v>
      </c>
      <c r="J15" s="882" t="b">
        <v>0</v>
      </c>
      <c r="K15" s="882" t="b">
        <v>0</v>
      </c>
      <c r="L15" s="882" t="b">
        <v>0</v>
      </c>
      <c r="M15" s="882" t="b">
        <v>0</v>
      </c>
      <c r="N15" s="882" t="b">
        <v>0</v>
      </c>
      <c r="O15" s="882" t="b">
        <v>0</v>
      </c>
      <c r="P15" s="882" t="b">
        <v>0</v>
      </c>
      <c r="Q15" s="890" t="s">
        <v>1534</v>
      </c>
    </row>
    <row r="16" spans="1:17" ht="24" customHeight="1">
      <c r="A16" s="902" t="s">
        <v>1628</v>
      </c>
      <c r="B16" s="888" t="s">
        <v>286</v>
      </c>
      <c r="C16" s="889">
        <v>51.92</v>
      </c>
      <c r="E16" s="882" t="b">
        <v>0</v>
      </c>
      <c r="F16" s="882" t="b">
        <v>0</v>
      </c>
      <c r="G16" s="882" t="b">
        <v>1</v>
      </c>
      <c r="H16" s="882" t="b">
        <v>0</v>
      </c>
      <c r="I16" s="882" t="b">
        <v>0</v>
      </c>
      <c r="J16" s="882" t="b">
        <v>0</v>
      </c>
      <c r="K16" s="882" t="b">
        <v>0</v>
      </c>
      <c r="L16" s="882" t="b">
        <v>0</v>
      </c>
      <c r="M16" s="882" t="b">
        <v>0</v>
      </c>
      <c r="N16" s="882" t="b">
        <v>0</v>
      </c>
      <c r="O16" s="882" t="b">
        <v>0</v>
      </c>
      <c r="P16" s="882" t="b">
        <v>0</v>
      </c>
      <c r="Q16" s="890" t="s">
        <v>1534</v>
      </c>
    </row>
    <row r="17" spans="1:17" ht="24" customHeight="1">
      <c r="A17" s="902" t="s">
        <v>1628</v>
      </c>
      <c r="B17" s="888" t="s">
        <v>287</v>
      </c>
      <c r="C17" s="889">
        <v>50.297499999999999</v>
      </c>
      <c r="E17" s="882" t="b">
        <v>0</v>
      </c>
      <c r="F17" s="882" t="b">
        <v>0</v>
      </c>
      <c r="G17" s="882" t="b">
        <v>1</v>
      </c>
      <c r="H17" s="882" t="b">
        <v>0</v>
      </c>
      <c r="I17" s="882" t="b">
        <v>0</v>
      </c>
      <c r="J17" s="882" t="b">
        <v>0</v>
      </c>
      <c r="K17" s="882" t="b">
        <v>0</v>
      </c>
      <c r="L17" s="882" t="b">
        <v>0</v>
      </c>
      <c r="M17" s="882" t="b">
        <v>0</v>
      </c>
      <c r="N17" s="882" t="b">
        <v>0</v>
      </c>
      <c r="O17" s="882" t="b">
        <v>0</v>
      </c>
      <c r="P17" s="882" t="b">
        <v>0</v>
      </c>
      <c r="Q17" s="890" t="s">
        <v>1534</v>
      </c>
    </row>
    <row r="18" spans="1:17" ht="24" customHeight="1">
      <c r="A18" s="902" t="s">
        <v>1628</v>
      </c>
      <c r="B18" s="888" t="s">
        <v>288</v>
      </c>
      <c r="C18" s="889">
        <v>63.293999999999997</v>
      </c>
      <c r="E18" s="882" t="b">
        <v>0</v>
      </c>
      <c r="F18" s="882" t="b">
        <v>0</v>
      </c>
      <c r="G18" s="882" t="b">
        <v>1</v>
      </c>
      <c r="H18" s="882" t="b">
        <v>0</v>
      </c>
      <c r="I18" s="882" t="b">
        <v>0</v>
      </c>
      <c r="J18" s="882" t="b">
        <v>0</v>
      </c>
      <c r="K18" s="882" t="b">
        <v>0</v>
      </c>
      <c r="L18" s="882" t="b">
        <v>0</v>
      </c>
      <c r="M18" s="882" t="b">
        <v>0</v>
      </c>
      <c r="N18" s="882" t="b">
        <v>0</v>
      </c>
      <c r="O18" s="882" t="b">
        <v>0</v>
      </c>
      <c r="P18" s="882" t="b">
        <v>0</v>
      </c>
      <c r="Q18" s="890" t="s">
        <v>1534</v>
      </c>
    </row>
    <row r="19" spans="1:17" ht="24" customHeight="1">
      <c r="A19" s="902" t="s">
        <v>1628</v>
      </c>
      <c r="B19" s="888" t="s">
        <v>289</v>
      </c>
      <c r="C19" s="889">
        <v>63.063000000000002</v>
      </c>
      <c r="E19" s="882" t="b">
        <v>0</v>
      </c>
      <c r="F19" s="882" t="b">
        <v>0</v>
      </c>
      <c r="G19" s="882" t="b">
        <v>1</v>
      </c>
      <c r="H19" s="882" t="b">
        <v>0</v>
      </c>
      <c r="I19" s="882" t="b">
        <v>0</v>
      </c>
      <c r="J19" s="882" t="b">
        <v>0</v>
      </c>
      <c r="K19" s="882" t="b">
        <v>0</v>
      </c>
      <c r="L19" s="882" t="b">
        <v>0</v>
      </c>
      <c r="M19" s="882" t="b">
        <v>0</v>
      </c>
      <c r="N19" s="882" t="b">
        <v>0</v>
      </c>
      <c r="O19" s="882" t="b">
        <v>0</v>
      </c>
      <c r="P19" s="882" t="b">
        <v>0</v>
      </c>
      <c r="Q19" s="890" t="s">
        <v>1534</v>
      </c>
    </row>
    <row r="20" spans="1:17" ht="24" customHeight="1">
      <c r="A20" s="902" t="s">
        <v>1628</v>
      </c>
      <c r="B20" s="888" t="s">
        <v>290</v>
      </c>
      <c r="C20" s="889">
        <v>144.80000000000001</v>
      </c>
      <c r="E20" s="882" t="b">
        <v>0</v>
      </c>
      <c r="F20" s="882" t="b">
        <v>0</v>
      </c>
      <c r="G20" s="882" t="b">
        <v>1</v>
      </c>
      <c r="H20" s="882" t="b">
        <v>0</v>
      </c>
      <c r="I20" s="882" t="b">
        <v>0</v>
      </c>
      <c r="J20" s="882" t="b">
        <v>0</v>
      </c>
      <c r="K20" s="882" t="b">
        <v>0</v>
      </c>
      <c r="L20" s="882" t="b">
        <v>0</v>
      </c>
      <c r="M20" s="882" t="b">
        <v>0</v>
      </c>
      <c r="N20" s="882" t="b">
        <v>0</v>
      </c>
      <c r="O20" s="882" t="b">
        <v>0</v>
      </c>
      <c r="P20" s="882" t="b">
        <v>0</v>
      </c>
      <c r="Q20" s="890" t="s">
        <v>1534</v>
      </c>
    </row>
    <row r="21" spans="1:17" ht="24" customHeight="1">
      <c r="A21" s="902" t="s">
        <v>1628</v>
      </c>
      <c r="B21" s="888" t="s">
        <v>291</v>
      </c>
      <c r="C21" s="889">
        <v>8.32</v>
      </c>
      <c r="E21" s="882" t="b">
        <v>0</v>
      </c>
      <c r="F21" s="882" t="b">
        <v>0</v>
      </c>
      <c r="G21" s="882" t="b">
        <v>1</v>
      </c>
      <c r="H21" s="882" t="b">
        <v>0</v>
      </c>
      <c r="I21" s="882" t="b">
        <v>0</v>
      </c>
      <c r="J21" s="882" t="b">
        <v>0</v>
      </c>
      <c r="K21" s="882" t="b">
        <v>0</v>
      </c>
      <c r="L21" s="882" t="b">
        <v>0</v>
      </c>
      <c r="M21" s="882" t="b">
        <v>0</v>
      </c>
      <c r="N21" s="882" t="b">
        <v>0</v>
      </c>
      <c r="O21" s="882" t="b">
        <v>0</v>
      </c>
      <c r="P21" s="882" t="b">
        <v>0</v>
      </c>
      <c r="Q21" s="890" t="s">
        <v>1534</v>
      </c>
    </row>
    <row r="22" spans="1:17" ht="24" customHeight="1">
      <c r="A22" s="902" t="s">
        <v>1628</v>
      </c>
      <c r="B22" s="888" t="s">
        <v>292</v>
      </c>
      <c r="C22" s="889">
        <v>6.4322049999999997</v>
      </c>
      <c r="E22" s="882" t="b">
        <v>0</v>
      </c>
      <c r="F22" s="882" t="b">
        <v>0</v>
      </c>
      <c r="G22" s="882" t="b">
        <v>1</v>
      </c>
      <c r="H22" s="882" t="b">
        <v>0</v>
      </c>
      <c r="I22" s="882" t="b">
        <v>0</v>
      </c>
      <c r="J22" s="882" t="b">
        <v>0</v>
      </c>
      <c r="K22" s="882" t="b">
        <v>0</v>
      </c>
      <c r="L22" s="882" t="b">
        <v>0</v>
      </c>
      <c r="M22" s="882" t="b">
        <v>0</v>
      </c>
      <c r="N22" s="882" t="b">
        <v>0</v>
      </c>
      <c r="O22" s="882" t="b">
        <v>0</v>
      </c>
      <c r="P22" s="882" t="b">
        <v>0</v>
      </c>
      <c r="Q22" s="890" t="s">
        <v>1534</v>
      </c>
    </row>
    <row r="23" spans="1:17" ht="24" customHeight="1">
      <c r="A23" s="902" t="s">
        <v>1628</v>
      </c>
      <c r="B23" s="888" t="s">
        <v>293</v>
      </c>
      <c r="C23" s="889">
        <v>2.2400000000000002</v>
      </c>
      <c r="E23" s="882" t="b">
        <v>0</v>
      </c>
      <c r="F23" s="882" t="b">
        <v>0</v>
      </c>
      <c r="G23" s="882" t="b">
        <v>1</v>
      </c>
      <c r="H23" s="882" t="b">
        <v>0</v>
      </c>
      <c r="I23" s="882" t="b">
        <v>0</v>
      </c>
      <c r="J23" s="882" t="b">
        <v>0</v>
      </c>
      <c r="K23" s="882" t="b">
        <v>0</v>
      </c>
      <c r="L23" s="882" t="b">
        <v>0</v>
      </c>
      <c r="M23" s="882" t="b">
        <v>0</v>
      </c>
      <c r="N23" s="882" t="b">
        <v>0</v>
      </c>
      <c r="O23" s="882" t="b">
        <v>0</v>
      </c>
      <c r="P23" s="882" t="b">
        <v>0</v>
      </c>
      <c r="Q23" s="890" t="s">
        <v>1534</v>
      </c>
    </row>
    <row r="24" spans="1:17" ht="24" customHeight="1">
      <c r="A24" s="902" t="s">
        <v>1628</v>
      </c>
      <c r="B24" s="888" t="s">
        <v>294</v>
      </c>
      <c r="C24" s="889">
        <v>0.4881875</v>
      </c>
      <c r="E24" s="882" t="b">
        <v>0</v>
      </c>
      <c r="F24" s="882" t="b">
        <v>0</v>
      </c>
      <c r="G24" s="882" t="b">
        <v>1</v>
      </c>
      <c r="H24" s="882" t="b">
        <v>0</v>
      </c>
      <c r="I24" s="882" t="b">
        <v>0</v>
      </c>
      <c r="J24" s="882" t="b">
        <v>0</v>
      </c>
      <c r="K24" s="882" t="b">
        <v>0</v>
      </c>
      <c r="L24" s="882" t="b">
        <v>0</v>
      </c>
      <c r="M24" s="882" t="b">
        <v>0</v>
      </c>
      <c r="N24" s="882" t="b">
        <v>0</v>
      </c>
      <c r="O24" s="882" t="b">
        <v>0</v>
      </c>
      <c r="P24" s="882" t="b">
        <v>0</v>
      </c>
      <c r="Q24" s="890" t="s">
        <v>1534</v>
      </c>
    </row>
    <row r="25" spans="1:17" ht="24" customHeight="1">
      <c r="A25" s="902" t="s">
        <v>1628</v>
      </c>
      <c r="B25" s="888" t="s">
        <v>295</v>
      </c>
      <c r="C25" s="889">
        <v>0.43799999999999994</v>
      </c>
      <c r="E25" s="882" t="b">
        <v>0</v>
      </c>
      <c r="F25" s="882" t="b">
        <v>0</v>
      </c>
      <c r="G25" s="882" t="b">
        <v>1</v>
      </c>
      <c r="H25" s="882" t="b">
        <v>0</v>
      </c>
      <c r="I25" s="882" t="b">
        <v>0</v>
      </c>
      <c r="J25" s="882" t="b">
        <v>0</v>
      </c>
      <c r="K25" s="882" t="b">
        <v>0</v>
      </c>
      <c r="L25" s="882" t="b">
        <v>0</v>
      </c>
      <c r="M25" s="882" t="b">
        <v>0</v>
      </c>
      <c r="N25" s="882" t="b">
        <v>0</v>
      </c>
      <c r="O25" s="882" t="b">
        <v>0</v>
      </c>
      <c r="P25" s="882" t="b">
        <v>0</v>
      </c>
      <c r="Q25" s="890" t="s">
        <v>1534</v>
      </c>
    </row>
    <row r="26" spans="1:17" ht="24" customHeight="1">
      <c r="A26" s="902" t="s">
        <v>1628</v>
      </c>
      <c r="B26" s="888" t="s">
        <v>296</v>
      </c>
      <c r="C26" s="889">
        <v>0.12775</v>
      </c>
      <c r="E26" s="882" t="b">
        <v>0</v>
      </c>
      <c r="F26" s="882" t="b">
        <v>0</v>
      </c>
      <c r="G26" s="882" t="b">
        <v>1</v>
      </c>
      <c r="H26" s="882" t="b">
        <v>0</v>
      </c>
      <c r="I26" s="882" t="b">
        <v>0</v>
      </c>
      <c r="J26" s="882" t="b">
        <v>0</v>
      </c>
      <c r="K26" s="882" t="b">
        <v>0</v>
      </c>
      <c r="L26" s="882" t="b">
        <v>0</v>
      </c>
      <c r="M26" s="882" t="b">
        <v>0</v>
      </c>
      <c r="N26" s="882" t="b">
        <v>0</v>
      </c>
      <c r="O26" s="882" t="b">
        <v>0</v>
      </c>
      <c r="P26" s="882" t="b">
        <v>0</v>
      </c>
      <c r="Q26" s="890" t="s">
        <v>1534</v>
      </c>
    </row>
    <row r="27" spans="1:17" ht="24" customHeight="1">
      <c r="A27" s="902" t="s">
        <v>1628</v>
      </c>
      <c r="B27" s="888" t="s">
        <v>297</v>
      </c>
      <c r="C27" s="889">
        <v>7.5599999999999999E-3</v>
      </c>
      <c r="E27" s="882" t="b">
        <v>0</v>
      </c>
      <c r="F27" s="882" t="b">
        <v>0</v>
      </c>
      <c r="G27" s="882" t="b">
        <v>1</v>
      </c>
      <c r="H27" s="882" t="b">
        <v>0</v>
      </c>
      <c r="I27" s="882" t="b">
        <v>0</v>
      </c>
      <c r="J27" s="882" t="b">
        <v>0</v>
      </c>
      <c r="K27" s="882" t="b">
        <v>0</v>
      </c>
      <c r="L27" s="882" t="b">
        <v>0</v>
      </c>
      <c r="M27" s="882" t="b">
        <v>0</v>
      </c>
      <c r="N27" s="882" t="b">
        <v>0</v>
      </c>
      <c r="O27" s="882" t="b">
        <v>0</v>
      </c>
      <c r="P27" s="882" t="b">
        <v>0</v>
      </c>
      <c r="Q27" s="890" t="s">
        <v>1534</v>
      </c>
    </row>
    <row r="28" spans="1:17" ht="24" customHeight="1">
      <c r="A28" s="902" t="s">
        <v>1628</v>
      </c>
      <c r="B28" s="888" t="s">
        <v>307</v>
      </c>
      <c r="C28" s="889">
        <v>48</v>
      </c>
      <c r="E28" s="882" t="b">
        <v>0</v>
      </c>
      <c r="F28" s="882" t="b">
        <v>0</v>
      </c>
      <c r="G28" s="882" t="b">
        <v>1</v>
      </c>
      <c r="H28" s="882" t="b">
        <v>0</v>
      </c>
      <c r="I28" s="882" t="b">
        <v>0</v>
      </c>
      <c r="J28" s="882" t="b">
        <v>0</v>
      </c>
      <c r="K28" s="882" t="b">
        <v>0</v>
      </c>
      <c r="L28" s="882" t="b">
        <v>0</v>
      </c>
      <c r="M28" s="882" t="b">
        <v>0</v>
      </c>
      <c r="N28" s="882" t="b">
        <v>0</v>
      </c>
      <c r="O28" s="882" t="b">
        <v>0</v>
      </c>
      <c r="P28" s="882" t="b">
        <v>0</v>
      </c>
      <c r="Q28" s="890" t="s">
        <v>1534</v>
      </c>
    </row>
    <row r="29" spans="1:17" ht="24" customHeight="1">
      <c r="A29" s="902" t="s">
        <v>1628</v>
      </c>
      <c r="B29" s="888" t="s">
        <v>308</v>
      </c>
      <c r="C29" s="889">
        <v>178</v>
      </c>
      <c r="E29" s="882" t="b">
        <v>0</v>
      </c>
      <c r="F29" s="882" t="b">
        <v>0</v>
      </c>
      <c r="G29" s="882" t="b">
        <v>1</v>
      </c>
      <c r="H29" s="882" t="b">
        <v>0</v>
      </c>
      <c r="I29" s="882" t="b">
        <v>0</v>
      </c>
      <c r="J29" s="882" t="b">
        <v>0</v>
      </c>
      <c r="K29" s="882" t="b">
        <v>0</v>
      </c>
      <c r="L29" s="882" t="b">
        <v>0</v>
      </c>
      <c r="M29" s="882" t="b">
        <v>0</v>
      </c>
      <c r="N29" s="882" t="b">
        <v>0</v>
      </c>
      <c r="O29" s="882" t="b">
        <v>0</v>
      </c>
      <c r="P29" s="882" t="b">
        <v>0</v>
      </c>
      <c r="Q29" s="890" t="s">
        <v>1534</v>
      </c>
    </row>
  </sheetData>
  <phoneticPr fontId="7"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36"/>
  <sheetViews>
    <sheetView topLeftCell="A13" zoomScale="70" zoomScaleNormal="70" workbookViewId="0">
      <selection activeCell="C36" sqref="C36"/>
    </sheetView>
  </sheetViews>
  <sheetFormatPr defaultRowHeight="23.25" customHeight="1"/>
  <cols>
    <col min="1" max="1" width="34.75" style="901" customWidth="1"/>
    <col min="2" max="2" width="23.625" style="891" customWidth="1"/>
    <col min="3" max="3" width="29" style="892" customWidth="1"/>
    <col min="4" max="4" width="9" style="882"/>
    <col min="5" max="16" width="9" style="882" hidden="1" customWidth="1"/>
    <col min="17" max="16384" width="9" style="882"/>
  </cols>
  <sheetData>
    <row r="1" spans="1:17" ht="78" customHeight="1">
      <c r="A1" s="897" t="s">
        <v>319</v>
      </c>
      <c r="B1" s="880"/>
      <c r="C1" s="881"/>
    </row>
    <row r="2" spans="1:17" s="885" customFormat="1" ht="23.25" customHeight="1">
      <c r="A2" s="900" t="s">
        <v>320</v>
      </c>
      <c r="B2" s="883" t="s">
        <v>321</v>
      </c>
      <c r="C2" s="884" t="s">
        <v>332</v>
      </c>
      <c r="E2" s="886">
        <v>1</v>
      </c>
      <c r="F2" s="886" t="s">
        <v>832</v>
      </c>
      <c r="G2" s="886">
        <v>2</v>
      </c>
      <c r="H2" s="886" t="s">
        <v>832</v>
      </c>
      <c r="I2" s="886">
        <v>3</v>
      </c>
      <c r="J2" s="886" t="s">
        <v>832</v>
      </c>
      <c r="K2" s="886">
        <v>4</v>
      </c>
      <c r="L2" s="886" t="s">
        <v>832</v>
      </c>
      <c r="M2" s="886">
        <v>5</v>
      </c>
      <c r="N2" s="886" t="s">
        <v>832</v>
      </c>
      <c r="O2" s="886">
        <v>6</v>
      </c>
      <c r="P2" s="893" t="s">
        <v>832</v>
      </c>
      <c r="Q2" s="887">
        <v>3</v>
      </c>
    </row>
    <row r="3" spans="1:17" s="885" customFormat="1" ht="23.25" customHeight="1">
      <c r="A3" s="900" t="s">
        <v>344</v>
      </c>
      <c r="B3" s="883" t="s">
        <v>345</v>
      </c>
      <c r="C3" s="884" t="s">
        <v>353</v>
      </c>
      <c r="Q3" s="894"/>
    </row>
    <row r="4" spans="1:17" ht="23.25" customHeight="1">
      <c r="A4" s="902" t="s">
        <v>1629</v>
      </c>
      <c r="B4" s="888" t="s">
        <v>263</v>
      </c>
      <c r="C4" s="889">
        <v>73.986000000000004</v>
      </c>
      <c r="E4" s="882" t="b">
        <v>0</v>
      </c>
      <c r="F4" s="882" t="b">
        <v>0</v>
      </c>
      <c r="G4" s="882" t="b">
        <v>0</v>
      </c>
      <c r="H4" s="882" t="b">
        <v>0</v>
      </c>
      <c r="I4" s="882" t="b">
        <v>1</v>
      </c>
      <c r="J4" s="882" t="b">
        <v>0</v>
      </c>
      <c r="K4" s="882" t="b">
        <v>0</v>
      </c>
      <c r="L4" s="882" t="b">
        <v>0</v>
      </c>
      <c r="M4" s="882" t="b">
        <v>0</v>
      </c>
      <c r="N4" s="882" t="b">
        <v>0</v>
      </c>
      <c r="O4" s="882" t="b">
        <v>0</v>
      </c>
      <c r="P4" s="882" t="b">
        <v>0</v>
      </c>
      <c r="Q4" s="890" t="s">
        <v>1534</v>
      </c>
    </row>
    <row r="5" spans="1:17" ht="23.25" customHeight="1">
      <c r="A5" s="902" t="s">
        <v>1629</v>
      </c>
      <c r="B5" s="888" t="s">
        <v>264</v>
      </c>
      <c r="C5" s="889">
        <v>72.039000000000001</v>
      </c>
      <c r="E5" s="882" t="b">
        <v>0</v>
      </c>
      <c r="F5" s="882" t="b">
        <v>0</v>
      </c>
      <c r="G5" s="882" t="b">
        <v>0</v>
      </c>
      <c r="H5" s="882" t="b">
        <v>0</v>
      </c>
      <c r="I5" s="882" t="b">
        <v>1</v>
      </c>
      <c r="J5" s="882" t="b">
        <v>0</v>
      </c>
      <c r="K5" s="882" t="b">
        <v>0</v>
      </c>
      <c r="L5" s="882" t="b">
        <v>0</v>
      </c>
      <c r="M5" s="882" t="b">
        <v>0</v>
      </c>
      <c r="N5" s="882" t="b">
        <v>0</v>
      </c>
      <c r="O5" s="882" t="b">
        <v>0</v>
      </c>
      <c r="P5" s="882" t="b">
        <v>0</v>
      </c>
      <c r="Q5" s="890" t="s">
        <v>1534</v>
      </c>
    </row>
    <row r="6" spans="1:17" ht="23.25" customHeight="1">
      <c r="A6" s="902" t="s">
        <v>1629</v>
      </c>
      <c r="B6" s="888" t="s">
        <v>265</v>
      </c>
      <c r="C6" s="889">
        <v>61.215000000000003</v>
      </c>
      <c r="E6" s="882" t="b">
        <v>0</v>
      </c>
      <c r="F6" s="882" t="b">
        <v>0</v>
      </c>
      <c r="G6" s="882" t="b">
        <v>0</v>
      </c>
      <c r="H6" s="882" t="b">
        <v>0</v>
      </c>
      <c r="I6" s="882" t="b">
        <v>1</v>
      </c>
      <c r="J6" s="882" t="b">
        <v>0</v>
      </c>
      <c r="K6" s="882" t="b">
        <v>0</v>
      </c>
      <c r="L6" s="882" t="b">
        <v>0</v>
      </c>
      <c r="M6" s="882" t="b">
        <v>0</v>
      </c>
      <c r="N6" s="882" t="b">
        <v>0</v>
      </c>
      <c r="O6" s="882" t="b">
        <v>0</v>
      </c>
      <c r="P6" s="882" t="b">
        <v>0</v>
      </c>
      <c r="Q6" s="890" t="s">
        <v>1534</v>
      </c>
    </row>
    <row r="7" spans="1:17" ht="23.25" customHeight="1">
      <c r="A7" s="902" t="s">
        <v>1629</v>
      </c>
      <c r="B7" s="888" t="s">
        <v>266</v>
      </c>
      <c r="C7" s="889">
        <v>64.218000000000004</v>
      </c>
      <c r="E7" s="882" t="b">
        <v>0</v>
      </c>
      <c r="F7" s="882" t="b">
        <v>0</v>
      </c>
      <c r="G7" s="882" t="b">
        <v>0</v>
      </c>
      <c r="H7" s="882" t="b">
        <v>0</v>
      </c>
      <c r="I7" s="882" t="b">
        <v>1</v>
      </c>
      <c r="J7" s="882" t="b">
        <v>0</v>
      </c>
      <c r="K7" s="882" t="b">
        <v>0</v>
      </c>
      <c r="L7" s="882" t="b">
        <v>0</v>
      </c>
      <c r="M7" s="882" t="b">
        <v>0</v>
      </c>
      <c r="N7" s="882" t="b">
        <v>0</v>
      </c>
      <c r="O7" s="882" t="b">
        <v>0</v>
      </c>
      <c r="P7" s="882" t="b">
        <v>0</v>
      </c>
      <c r="Q7" s="890" t="s">
        <v>1534</v>
      </c>
    </row>
    <row r="8" spans="1:17" ht="23.25" customHeight="1">
      <c r="A8" s="902" t="s">
        <v>1629</v>
      </c>
      <c r="B8" s="888" t="s">
        <v>267</v>
      </c>
      <c r="C8" s="889">
        <v>145.6</v>
      </c>
      <c r="E8" s="882" t="b">
        <v>0</v>
      </c>
      <c r="F8" s="882" t="b">
        <v>0</v>
      </c>
      <c r="G8" s="882" t="b">
        <v>0</v>
      </c>
      <c r="H8" s="882" t="b">
        <v>0</v>
      </c>
      <c r="I8" s="882" t="b">
        <v>1</v>
      </c>
      <c r="J8" s="882" t="b">
        <v>0</v>
      </c>
      <c r="K8" s="882" t="b">
        <v>0</v>
      </c>
      <c r="L8" s="882" t="b">
        <v>0</v>
      </c>
      <c r="M8" s="882" t="b">
        <v>0</v>
      </c>
      <c r="N8" s="882" t="b">
        <v>0</v>
      </c>
      <c r="O8" s="882" t="b">
        <v>0</v>
      </c>
      <c r="P8" s="882" t="b">
        <v>0</v>
      </c>
      <c r="Q8" s="890" t="s">
        <v>1534</v>
      </c>
    </row>
    <row r="9" spans="1:17" ht="23.25" customHeight="1">
      <c r="A9" s="902" t="s">
        <v>1629</v>
      </c>
      <c r="B9" s="888" t="s">
        <v>268</v>
      </c>
      <c r="C9" s="889">
        <v>11.18</v>
      </c>
      <c r="E9" s="882" t="b">
        <v>0</v>
      </c>
      <c r="F9" s="882" t="b">
        <v>0</v>
      </c>
      <c r="G9" s="882" t="b">
        <v>0</v>
      </c>
      <c r="H9" s="882" t="b">
        <v>0</v>
      </c>
      <c r="I9" s="882" t="b">
        <v>1</v>
      </c>
      <c r="J9" s="882" t="b">
        <v>0</v>
      </c>
      <c r="K9" s="882" t="b">
        <v>0</v>
      </c>
      <c r="L9" s="882" t="b">
        <v>0</v>
      </c>
      <c r="M9" s="882" t="b">
        <v>0</v>
      </c>
      <c r="N9" s="882" t="b">
        <v>0</v>
      </c>
      <c r="O9" s="882" t="b">
        <v>0</v>
      </c>
      <c r="P9" s="882" t="b">
        <v>0</v>
      </c>
      <c r="Q9" s="890" t="s">
        <v>1534</v>
      </c>
    </row>
    <row r="10" spans="1:17" ht="23.25" customHeight="1">
      <c r="A10" s="902" t="s">
        <v>1629</v>
      </c>
      <c r="B10" s="888" t="s">
        <v>269</v>
      </c>
      <c r="C10" s="889">
        <v>6.6652399999999998</v>
      </c>
      <c r="E10" s="882" t="b">
        <v>0</v>
      </c>
      <c r="F10" s="882" t="b">
        <v>0</v>
      </c>
      <c r="G10" s="882" t="b">
        <v>0</v>
      </c>
      <c r="H10" s="882" t="b">
        <v>0</v>
      </c>
      <c r="I10" s="882" t="b">
        <v>1</v>
      </c>
      <c r="J10" s="882" t="b">
        <v>0</v>
      </c>
      <c r="K10" s="882" t="b">
        <v>0</v>
      </c>
      <c r="L10" s="882" t="b">
        <v>0</v>
      </c>
      <c r="M10" s="882" t="b">
        <v>0</v>
      </c>
      <c r="N10" s="882" t="b">
        <v>0</v>
      </c>
      <c r="O10" s="882" t="b">
        <v>0</v>
      </c>
      <c r="P10" s="882" t="b">
        <v>0</v>
      </c>
      <c r="Q10" s="890" t="s">
        <v>1534</v>
      </c>
    </row>
    <row r="11" spans="1:17" ht="23.25" customHeight="1">
      <c r="A11" s="902" t="s">
        <v>1629</v>
      </c>
      <c r="B11" s="888" t="s">
        <v>270</v>
      </c>
      <c r="C11" s="889">
        <v>2.2999999999999998</v>
      </c>
      <c r="E11" s="882" t="b">
        <v>0</v>
      </c>
      <c r="F11" s="882" t="b">
        <v>0</v>
      </c>
      <c r="G11" s="882" t="b">
        <v>0</v>
      </c>
      <c r="H11" s="882" t="b">
        <v>0</v>
      </c>
      <c r="I11" s="882" t="b">
        <v>1</v>
      </c>
      <c r="J11" s="882" t="b">
        <v>0</v>
      </c>
      <c r="K11" s="882" t="b">
        <v>0</v>
      </c>
      <c r="L11" s="882" t="b">
        <v>0</v>
      </c>
      <c r="M11" s="882" t="b">
        <v>0</v>
      </c>
      <c r="N11" s="882" t="b">
        <v>0</v>
      </c>
      <c r="O11" s="882" t="b">
        <v>0</v>
      </c>
      <c r="P11" s="882" t="b">
        <v>0</v>
      </c>
      <c r="Q11" s="890" t="s">
        <v>1534</v>
      </c>
    </row>
    <row r="12" spans="1:17" ht="23.25" customHeight="1">
      <c r="A12" s="902" t="s">
        <v>1629</v>
      </c>
      <c r="B12" s="888" t="s">
        <v>271</v>
      </c>
      <c r="C12" s="889">
        <v>0.47335937500000008</v>
      </c>
      <c r="E12" s="882" t="b">
        <v>0</v>
      </c>
      <c r="F12" s="882" t="b">
        <v>0</v>
      </c>
      <c r="G12" s="882" t="b">
        <v>0</v>
      </c>
      <c r="H12" s="882" t="b">
        <v>0</v>
      </c>
      <c r="I12" s="882" t="b">
        <v>1</v>
      </c>
      <c r="J12" s="882" t="b">
        <v>0</v>
      </c>
      <c r="K12" s="882" t="b">
        <v>0</v>
      </c>
      <c r="L12" s="882" t="b">
        <v>0</v>
      </c>
      <c r="M12" s="882" t="b">
        <v>0</v>
      </c>
      <c r="N12" s="882" t="b">
        <v>0</v>
      </c>
      <c r="O12" s="882" t="b">
        <v>0</v>
      </c>
      <c r="P12" s="882" t="b">
        <v>0</v>
      </c>
      <c r="Q12" s="890" t="s">
        <v>1534</v>
      </c>
    </row>
    <row r="13" spans="1:17" ht="23.25" customHeight="1">
      <c r="A13" s="902" t="s">
        <v>1629</v>
      </c>
      <c r="B13" s="888" t="s">
        <v>274</v>
      </c>
      <c r="C13" s="889">
        <v>1.0331999999999999E-2</v>
      </c>
      <c r="E13" s="882" t="b">
        <v>0</v>
      </c>
      <c r="F13" s="882" t="b">
        <v>0</v>
      </c>
      <c r="G13" s="882" t="b">
        <v>0</v>
      </c>
      <c r="H13" s="882" t="b">
        <v>0</v>
      </c>
      <c r="I13" s="882" t="b">
        <v>1</v>
      </c>
      <c r="J13" s="882" t="b">
        <v>0</v>
      </c>
      <c r="K13" s="882" t="b">
        <v>0</v>
      </c>
      <c r="L13" s="882" t="b">
        <v>0</v>
      </c>
      <c r="M13" s="882" t="b">
        <v>0</v>
      </c>
      <c r="N13" s="882" t="b">
        <v>0</v>
      </c>
      <c r="O13" s="882" t="b">
        <v>0</v>
      </c>
      <c r="P13" s="882" t="b">
        <v>0</v>
      </c>
      <c r="Q13" s="890" t="s">
        <v>1534</v>
      </c>
    </row>
    <row r="14" spans="1:17" ht="23.25" customHeight="1">
      <c r="A14" s="902" t="s">
        <v>1629</v>
      </c>
      <c r="B14" s="888" t="s">
        <v>284</v>
      </c>
      <c r="C14" s="889">
        <v>115</v>
      </c>
      <c r="E14" s="882" t="b">
        <v>0</v>
      </c>
      <c r="F14" s="882" t="b">
        <v>0</v>
      </c>
      <c r="G14" s="882" t="b">
        <v>0</v>
      </c>
      <c r="H14" s="882" t="b">
        <v>0</v>
      </c>
      <c r="I14" s="882" t="b">
        <v>1</v>
      </c>
      <c r="J14" s="882" t="b">
        <v>0</v>
      </c>
      <c r="K14" s="882" t="b">
        <v>0</v>
      </c>
      <c r="L14" s="882" t="b">
        <v>0</v>
      </c>
      <c r="M14" s="882" t="b">
        <v>0</v>
      </c>
      <c r="N14" s="882" t="b">
        <v>0</v>
      </c>
      <c r="O14" s="882" t="b">
        <v>0</v>
      </c>
      <c r="P14" s="882" t="b">
        <v>0</v>
      </c>
      <c r="Q14" s="890" t="s">
        <v>1534</v>
      </c>
    </row>
    <row r="15" spans="1:17" ht="23.25" customHeight="1">
      <c r="A15" s="902" t="s">
        <v>1629</v>
      </c>
      <c r="B15" s="888" t="s">
        <v>285</v>
      </c>
      <c r="C15" s="889">
        <v>40</v>
      </c>
      <c r="E15" s="882" t="b">
        <v>0</v>
      </c>
      <c r="F15" s="882" t="b">
        <v>0</v>
      </c>
      <c r="G15" s="882" t="b">
        <v>0</v>
      </c>
      <c r="H15" s="882" t="b">
        <v>0</v>
      </c>
      <c r="I15" s="882" t="b">
        <v>1</v>
      </c>
      <c r="J15" s="882" t="b">
        <v>0</v>
      </c>
      <c r="K15" s="882" t="b">
        <v>0</v>
      </c>
      <c r="L15" s="882" t="b">
        <v>0</v>
      </c>
      <c r="M15" s="882" t="b">
        <v>0</v>
      </c>
      <c r="N15" s="882" t="b">
        <v>0</v>
      </c>
      <c r="O15" s="882" t="b">
        <v>0</v>
      </c>
      <c r="P15" s="882" t="b">
        <v>0</v>
      </c>
      <c r="Q15" s="890" t="s">
        <v>1534</v>
      </c>
    </row>
    <row r="16" spans="1:17" ht="23.25" customHeight="1">
      <c r="A16" s="902" t="s">
        <v>1629</v>
      </c>
      <c r="B16" s="888" t="s">
        <v>286</v>
      </c>
      <c r="C16" s="889">
        <v>51.595500000000001</v>
      </c>
      <c r="E16" s="882" t="b">
        <v>0</v>
      </c>
      <c r="F16" s="882" t="b">
        <v>0</v>
      </c>
      <c r="G16" s="882" t="b">
        <v>0</v>
      </c>
      <c r="H16" s="882" t="b">
        <v>0</v>
      </c>
      <c r="I16" s="882" t="b">
        <v>1</v>
      </c>
      <c r="J16" s="882" t="b">
        <v>0</v>
      </c>
      <c r="K16" s="882" t="b">
        <v>0</v>
      </c>
      <c r="L16" s="882" t="b">
        <v>0</v>
      </c>
      <c r="M16" s="882" t="b">
        <v>0</v>
      </c>
      <c r="N16" s="882" t="b">
        <v>0</v>
      </c>
      <c r="O16" s="882" t="b">
        <v>0</v>
      </c>
      <c r="P16" s="882" t="b">
        <v>0</v>
      </c>
      <c r="Q16" s="890" t="s">
        <v>1534</v>
      </c>
    </row>
    <row r="17" spans="1:17" ht="23.25" customHeight="1">
      <c r="A17" s="902" t="s">
        <v>1629</v>
      </c>
      <c r="B17" s="888" t="s">
        <v>287</v>
      </c>
      <c r="C17" s="889">
        <v>50.297499999999999</v>
      </c>
      <c r="E17" s="882" t="b">
        <v>0</v>
      </c>
      <c r="F17" s="882" t="b">
        <v>0</v>
      </c>
      <c r="G17" s="882" t="b">
        <v>0</v>
      </c>
      <c r="H17" s="882" t="b">
        <v>0</v>
      </c>
      <c r="I17" s="882" t="b">
        <v>1</v>
      </c>
      <c r="J17" s="882" t="b">
        <v>0</v>
      </c>
      <c r="K17" s="882" t="b">
        <v>0</v>
      </c>
      <c r="L17" s="882" t="b">
        <v>0</v>
      </c>
      <c r="M17" s="882" t="b">
        <v>0</v>
      </c>
      <c r="N17" s="882" t="b">
        <v>0</v>
      </c>
      <c r="O17" s="882" t="b">
        <v>0</v>
      </c>
      <c r="P17" s="882" t="b">
        <v>0</v>
      </c>
      <c r="Q17" s="890" t="s">
        <v>1534</v>
      </c>
    </row>
    <row r="18" spans="1:17" ht="23.25" customHeight="1">
      <c r="A18" s="902" t="s">
        <v>1629</v>
      </c>
      <c r="B18" s="888" t="s">
        <v>288</v>
      </c>
      <c r="C18" s="889">
        <v>61.908000000000001</v>
      </c>
      <c r="E18" s="882" t="b">
        <v>0</v>
      </c>
      <c r="F18" s="882" t="b">
        <v>0</v>
      </c>
      <c r="G18" s="882" t="b">
        <v>0</v>
      </c>
      <c r="H18" s="882" t="b">
        <v>0</v>
      </c>
      <c r="I18" s="882" t="b">
        <v>1</v>
      </c>
      <c r="J18" s="882" t="b">
        <v>0</v>
      </c>
      <c r="K18" s="882" t="b">
        <v>0</v>
      </c>
      <c r="L18" s="882" t="b">
        <v>0</v>
      </c>
      <c r="M18" s="882" t="b">
        <v>0</v>
      </c>
      <c r="N18" s="882" t="b">
        <v>0</v>
      </c>
      <c r="O18" s="882" t="b">
        <v>0</v>
      </c>
      <c r="P18" s="882" t="b">
        <v>0</v>
      </c>
      <c r="Q18" s="890" t="s">
        <v>1534</v>
      </c>
    </row>
    <row r="19" spans="1:17" ht="23.25" customHeight="1">
      <c r="A19" s="902" t="s">
        <v>1629</v>
      </c>
      <c r="B19" s="888" t="s">
        <v>289</v>
      </c>
      <c r="C19" s="889">
        <v>60.521999999999998</v>
      </c>
      <c r="E19" s="882" t="b">
        <v>0</v>
      </c>
      <c r="F19" s="882" t="b">
        <v>0</v>
      </c>
      <c r="G19" s="882" t="b">
        <v>0</v>
      </c>
      <c r="H19" s="882" t="b">
        <v>0</v>
      </c>
      <c r="I19" s="882" t="b">
        <v>1</v>
      </c>
      <c r="J19" s="882" t="b">
        <v>0</v>
      </c>
      <c r="K19" s="882" t="b">
        <v>0</v>
      </c>
      <c r="L19" s="882" t="b">
        <v>0</v>
      </c>
      <c r="M19" s="882" t="b">
        <v>0</v>
      </c>
      <c r="N19" s="882" t="b">
        <v>0</v>
      </c>
      <c r="O19" s="882" t="b">
        <v>0</v>
      </c>
      <c r="P19" s="882" t="b">
        <v>0</v>
      </c>
      <c r="Q19" s="890" t="s">
        <v>1534</v>
      </c>
    </row>
    <row r="20" spans="1:17" ht="23.25" customHeight="1">
      <c r="A20" s="902" t="s">
        <v>1629</v>
      </c>
      <c r="B20" s="888" t="s">
        <v>290</v>
      </c>
      <c r="C20" s="889">
        <v>143.19999999999999</v>
      </c>
      <c r="E20" s="882" t="b">
        <v>0</v>
      </c>
      <c r="F20" s="882" t="b">
        <v>0</v>
      </c>
      <c r="G20" s="882" t="b">
        <v>0</v>
      </c>
      <c r="H20" s="882" t="b">
        <v>0</v>
      </c>
      <c r="I20" s="882" t="b">
        <v>1</v>
      </c>
      <c r="J20" s="882" t="b">
        <v>0</v>
      </c>
      <c r="K20" s="882" t="b">
        <v>0</v>
      </c>
      <c r="L20" s="882" t="b">
        <v>0</v>
      </c>
      <c r="M20" s="882" t="b">
        <v>0</v>
      </c>
      <c r="N20" s="882" t="b">
        <v>0</v>
      </c>
      <c r="O20" s="882" t="b">
        <v>0</v>
      </c>
      <c r="P20" s="882" t="b">
        <v>0</v>
      </c>
      <c r="Q20" s="890" t="s">
        <v>1534</v>
      </c>
    </row>
    <row r="21" spans="1:17" ht="23.25" customHeight="1">
      <c r="A21" s="902" t="s">
        <v>1629</v>
      </c>
      <c r="B21" s="888" t="s">
        <v>291</v>
      </c>
      <c r="C21" s="889">
        <v>8.3849999999999998</v>
      </c>
      <c r="E21" s="882" t="b">
        <v>0</v>
      </c>
      <c r="F21" s="882" t="b">
        <v>0</v>
      </c>
      <c r="G21" s="882" t="b">
        <v>0</v>
      </c>
      <c r="H21" s="882" t="b">
        <v>0</v>
      </c>
      <c r="I21" s="882" t="b">
        <v>1</v>
      </c>
      <c r="J21" s="882" t="b">
        <v>0</v>
      </c>
      <c r="K21" s="882" t="b">
        <v>0</v>
      </c>
      <c r="L21" s="882" t="b">
        <v>0</v>
      </c>
      <c r="M21" s="882" t="b">
        <v>0</v>
      </c>
      <c r="N21" s="882" t="b">
        <v>0</v>
      </c>
      <c r="O21" s="882" t="b">
        <v>0</v>
      </c>
      <c r="P21" s="882" t="b">
        <v>0</v>
      </c>
      <c r="Q21" s="890" t="s">
        <v>1534</v>
      </c>
    </row>
    <row r="22" spans="1:17" ht="23.25" customHeight="1">
      <c r="A22" s="902" t="s">
        <v>1629</v>
      </c>
      <c r="B22" s="888" t="s">
        <v>292</v>
      </c>
      <c r="C22" s="889">
        <v>6.1568000000000005</v>
      </c>
      <c r="E22" s="882" t="b">
        <v>0</v>
      </c>
      <c r="F22" s="882" t="b">
        <v>0</v>
      </c>
      <c r="G22" s="882" t="b">
        <v>0</v>
      </c>
      <c r="H22" s="882" t="b">
        <v>0</v>
      </c>
      <c r="I22" s="882" t="b">
        <v>1</v>
      </c>
      <c r="J22" s="882" t="b">
        <v>0</v>
      </c>
      <c r="K22" s="882" t="b">
        <v>0</v>
      </c>
      <c r="L22" s="882" t="b">
        <v>0</v>
      </c>
      <c r="M22" s="882" t="b">
        <v>0</v>
      </c>
      <c r="N22" s="882" t="b">
        <v>0</v>
      </c>
      <c r="O22" s="882" t="b">
        <v>0</v>
      </c>
      <c r="P22" s="882" t="b">
        <v>0</v>
      </c>
      <c r="Q22" s="890" t="s">
        <v>1534</v>
      </c>
    </row>
    <row r="23" spans="1:17" ht="23.25" customHeight="1">
      <c r="A23" s="902" t="s">
        <v>1629</v>
      </c>
      <c r="B23" s="888" t="s">
        <v>293</v>
      </c>
      <c r="C23" s="889">
        <v>2.2999999999999998</v>
      </c>
      <c r="E23" s="882" t="b">
        <v>0</v>
      </c>
      <c r="F23" s="882" t="b">
        <v>0</v>
      </c>
      <c r="G23" s="882" t="b">
        <v>0</v>
      </c>
      <c r="H23" s="882" t="b">
        <v>0</v>
      </c>
      <c r="I23" s="882" t="b">
        <v>1</v>
      </c>
      <c r="J23" s="882" t="b">
        <v>0</v>
      </c>
      <c r="K23" s="882" t="b">
        <v>0</v>
      </c>
      <c r="L23" s="882" t="b">
        <v>0</v>
      </c>
      <c r="M23" s="882" t="b">
        <v>0</v>
      </c>
      <c r="N23" s="882" t="b">
        <v>0</v>
      </c>
      <c r="O23" s="882" t="b">
        <v>0</v>
      </c>
      <c r="P23" s="882" t="b">
        <v>0</v>
      </c>
      <c r="Q23" s="890" t="s">
        <v>1534</v>
      </c>
    </row>
    <row r="24" spans="1:17" ht="23.25" customHeight="1">
      <c r="A24" s="902" t="s">
        <v>1629</v>
      </c>
      <c r="B24" s="888" t="s">
        <v>294</v>
      </c>
      <c r="C24" s="889">
        <v>0.47906250000000006</v>
      </c>
      <c r="E24" s="882" t="b">
        <v>0</v>
      </c>
      <c r="F24" s="882" t="b">
        <v>0</v>
      </c>
      <c r="G24" s="882" t="b">
        <v>0</v>
      </c>
      <c r="H24" s="882" t="b">
        <v>0</v>
      </c>
      <c r="I24" s="882" t="b">
        <v>1</v>
      </c>
      <c r="J24" s="882" t="b">
        <v>0</v>
      </c>
      <c r="K24" s="882" t="b">
        <v>0</v>
      </c>
      <c r="L24" s="882" t="b">
        <v>0</v>
      </c>
      <c r="M24" s="882" t="b">
        <v>0</v>
      </c>
      <c r="N24" s="882" t="b">
        <v>0</v>
      </c>
      <c r="O24" s="882" t="b">
        <v>0</v>
      </c>
      <c r="P24" s="882" t="b">
        <v>0</v>
      </c>
      <c r="Q24" s="890" t="s">
        <v>1534</v>
      </c>
    </row>
    <row r="25" spans="1:17" ht="23.25" customHeight="1">
      <c r="A25" s="902" t="s">
        <v>1629</v>
      </c>
      <c r="B25" s="888" t="s">
        <v>295</v>
      </c>
      <c r="C25" s="889">
        <v>0.43343749999999998</v>
      </c>
      <c r="E25" s="882" t="b">
        <v>0</v>
      </c>
      <c r="F25" s="882" t="b">
        <v>0</v>
      </c>
      <c r="G25" s="882" t="b">
        <v>0</v>
      </c>
      <c r="H25" s="882" t="b">
        <v>0</v>
      </c>
      <c r="I25" s="882" t="b">
        <v>1</v>
      </c>
      <c r="J25" s="882" t="b">
        <v>0</v>
      </c>
      <c r="K25" s="882" t="b">
        <v>0</v>
      </c>
      <c r="L25" s="882" t="b">
        <v>0</v>
      </c>
      <c r="M25" s="882" t="b">
        <v>0</v>
      </c>
      <c r="N25" s="882" t="b">
        <v>0</v>
      </c>
      <c r="O25" s="882" t="b">
        <v>0</v>
      </c>
      <c r="P25" s="882" t="b">
        <v>0</v>
      </c>
      <c r="Q25" s="890" t="s">
        <v>1534</v>
      </c>
    </row>
    <row r="26" spans="1:17" ht="23.25" customHeight="1">
      <c r="A26" s="902" t="s">
        <v>1629</v>
      </c>
      <c r="B26" s="888" t="s">
        <v>296</v>
      </c>
      <c r="C26" s="889">
        <v>0.1323125</v>
      </c>
      <c r="E26" s="882" t="b">
        <v>0</v>
      </c>
      <c r="F26" s="882" t="b">
        <v>0</v>
      </c>
      <c r="G26" s="882" t="b">
        <v>0</v>
      </c>
      <c r="H26" s="882" t="b">
        <v>0</v>
      </c>
      <c r="I26" s="882" t="b">
        <v>1</v>
      </c>
      <c r="J26" s="882" t="b">
        <v>0</v>
      </c>
      <c r="K26" s="882" t="b">
        <v>0</v>
      </c>
      <c r="L26" s="882" t="b">
        <v>0</v>
      </c>
      <c r="M26" s="882" t="b">
        <v>0</v>
      </c>
      <c r="N26" s="882" t="b">
        <v>0</v>
      </c>
      <c r="O26" s="882" t="b">
        <v>0</v>
      </c>
      <c r="P26" s="882" t="b">
        <v>0</v>
      </c>
      <c r="Q26" s="890" t="s">
        <v>1534</v>
      </c>
    </row>
    <row r="27" spans="1:17" ht="23.25" customHeight="1">
      <c r="A27" s="902" t="s">
        <v>1629</v>
      </c>
      <c r="B27" s="888" t="s">
        <v>297</v>
      </c>
      <c r="C27" s="889">
        <v>7.4340000000000005E-3</v>
      </c>
      <c r="E27" s="882" t="b">
        <v>0</v>
      </c>
      <c r="F27" s="882" t="b">
        <v>0</v>
      </c>
      <c r="G27" s="882" t="b">
        <v>0</v>
      </c>
      <c r="H27" s="882" t="b">
        <v>0</v>
      </c>
      <c r="I27" s="882" t="b">
        <v>1</v>
      </c>
      <c r="J27" s="882" t="b">
        <v>0</v>
      </c>
      <c r="K27" s="882" t="b">
        <v>0</v>
      </c>
      <c r="L27" s="882" t="b">
        <v>0</v>
      </c>
      <c r="M27" s="882" t="b">
        <v>0</v>
      </c>
      <c r="N27" s="882" t="b">
        <v>0</v>
      </c>
      <c r="O27" s="882" t="b">
        <v>0</v>
      </c>
      <c r="P27" s="882" t="b">
        <v>0</v>
      </c>
      <c r="Q27" s="890" t="s">
        <v>1534</v>
      </c>
    </row>
    <row r="28" spans="1:17" ht="23.25" customHeight="1">
      <c r="A28" s="902" t="s">
        <v>1629</v>
      </c>
      <c r="B28" s="888" t="s">
        <v>307</v>
      </c>
      <c r="C28" s="889">
        <v>50</v>
      </c>
      <c r="E28" s="882" t="b">
        <v>0</v>
      </c>
      <c r="F28" s="882" t="b">
        <v>0</v>
      </c>
      <c r="G28" s="882" t="b">
        <v>0</v>
      </c>
      <c r="H28" s="882" t="b">
        <v>0</v>
      </c>
      <c r="I28" s="882" t="b">
        <v>1</v>
      </c>
      <c r="J28" s="882" t="b">
        <v>0</v>
      </c>
      <c r="K28" s="882" t="b">
        <v>0</v>
      </c>
      <c r="L28" s="882" t="b">
        <v>0</v>
      </c>
      <c r="M28" s="882" t="b">
        <v>0</v>
      </c>
      <c r="N28" s="882" t="b">
        <v>0</v>
      </c>
      <c r="O28" s="882" t="b">
        <v>0</v>
      </c>
      <c r="P28" s="882" t="b">
        <v>0</v>
      </c>
      <c r="Q28" s="890" t="s">
        <v>1534</v>
      </c>
    </row>
    <row r="29" spans="1:17" ht="23.25" customHeight="1">
      <c r="A29" s="902" t="s">
        <v>1629</v>
      </c>
      <c r="B29" s="888" t="s">
        <v>308</v>
      </c>
      <c r="C29" s="889">
        <v>180</v>
      </c>
      <c r="E29" s="882" t="b">
        <v>0</v>
      </c>
      <c r="F29" s="882" t="b">
        <v>0</v>
      </c>
      <c r="G29" s="882" t="b">
        <v>0</v>
      </c>
      <c r="H29" s="882" t="b">
        <v>0</v>
      </c>
      <c r="I29" s="882" t="b">
        <v>1</v>
      </c>
      <c r="J29" s="882" t="b">
        <v>0</v>
      </c>
      <c r="K29" s="882" t="b">
        <v>0</v>
      </c>
      <c r="L29" s="882" t="b">
        <v>0</v>
      </c>
      <c r="M29" s="882" t="b">
        <v>0</v>
      </c>
      <c r="N29" s="882" t="b">
        <v>0</v>
      </c>
      <c r="O29" s="882" t="b">
        <v>0</v>
      </c>
      <c r="P29" s="882" t="b">
        <v>0</v>
      </c>
      <c r="Q29" s="890" t="s">
        <v>1534</v>
      </c>
    </row>
    <row r="30" spans="1:17" ht="23.25" customHeight="1">
      <c r="A30" s="902" t="s">
        <v>1629</v>
      </c>
      <c r="B30" s="888" t="s">
        <v>872</v>
      </c>
      <c r="C30" s="889">
        <v>48</v>
      </c>
      <c r="E30" s="882" t="b">
        <v>0</v>
      </c>
      <c r="F30" s="882" t="b">
        <v>0</v>
      </c>
      <c r="G30" s="882" t="b">
        <v>0</v>
      </c>
      <c r="H30" s="882" t="b">
        <v>0</v>
      </c>
      <c r="I30" s="882" t="b">
        <v>1</v>
      </c>
      <c r="J30" s="882" t="b">
        <v>0</v>
      </c>
      <c r="K30" s="882" t="b">
        <v>0</v>
      </c>
      <c r="L30" s="882" t="b">
        <v>0</v>
      </c>
      <c r="M30" s="882" t="b">
        <v>0</v>
      </c>
      <c r="N30" s="882" t="b">
        <v>0</v>
      </c>
      <c r="O30" s="882" t="b">
        <v>0</v>
      </c>
      <c r="P30" s="882" t="b">
        <v>0</v>
      </c>
      <c r="Q30" s="890" t="s">
        <v>1534</v>
      </c>
    </row>
    <row r="31" spans="1:17" ht="23.25" customHeight="1">
      <c r="A31" s="902" t="s">
        <v>1629</v>
      </c>
      <c r="B31" s="888" t="s">
        <v>871</v>
      </c>
      <c r="C31" s="889">
        <v>11.315000000000001</v>
      </c>
      <c r="E31" s="882" t="b">
        <v>0</v>
      </c>
      <c r="F31" s="882" t="b">
        <v>0</v>
      </c>
      <c r="G31" s="882" t="b">
        <v>0</v>
      </c>
      <c r="H31" s="882" t="b">
        <v>0</v>
      </c>
      <c r="I31" s="882" t="b">
        <v>1</v>
      </c>
      <c r="J31" s="882" t="b">
        <v>0</v>
      </c>
      <c r="K31" s="882" t="b">
        <v>0</v>
      </c>
      <c r="L31" s="882" t="b">
        <v>0</v>
      </c>
      <c r="M31" s="882" t="b">
        <v>0</v>
      </c>
      <c r="N31" s="882" t="b">
        <v>0</v>
      </c>
      <c r="O31" s="882" t="b">
        <v>0</v>
      </c>
      <c r="P31" s="882" t="b">
        <v>0</v>
      </c>
      <c r="Q31" s="890" t="s">
        <v>1534</v>
      </c>
    </row>
    <row r="32" spans="1:17" ht="23.25" customHeight="1">
      <c r="A32" s="902" t="s">
        <v>1629</v>
      </c>
      <c r="B32" s="888" t="s">
        <v>873</v>
      </c>
      <c r="C32" s="889">
        <v>49</v>
      </c>
      <c r="E32" s="882" t="b">
        <v>0</v>
      </c>
      <c r="F32" s="882" t="b">
        <v>0</v>
      </c>
      <c r="G32" s="882" t="b">
        <v>0</v>
      </c>
      <c r="H32" s="882" t="b">
        <v>0</v>
      </c>
      <c r="I32" s="882" t="b">
        <v>1</v>
      </c>
      <c r="J32" s="882" t="b">
        <v>0</v>
      </c>
      <c r="K32" s="882" t="b">
        <v>0</v>
      </c>
      <c r="L32" s="882" t="b">
        <v>0</v>
      </c>
      <c r="M32" s="882" t="b">
        <v>0</v>
      </c>
      <c r="N32" s="882" t="b">
        <v>0</v>
      </c>
      <c r="O32" s="882" t="b">
        <v>0</v>
      </c>
      <c r="P32" s="882" t="b">
        <v>0</v>
      </c>
      <c r="Q32" s="890" t="s">
        <v>1534</v>
      </c>
    </row>
    <row r="33" spans="1:17" ht="23.25" customHeight="1">
      <c r="A33" s="902" t="s">
        <v>1629</v>
      </c>
      <c r="B33" s="888" t="s">
        <v>874</v>
      </c>
      <c r="C33" s="889">
        <v>9.8000000000000007</v>
      </c>
      <c r="E33" s="882" t="b">
        <v>0</v>
      </c>
      <c r="F33" s="882" t="b">
        <v>0</v>
      </c>
      <c r="G33" s="882" t="b">
        <v>0</v>
      </c>
      <c r="H33" s="882" t="b">
        <v>0</v>
      </c>
      <c r="I33" s="882" t="b">
        <v>1</v>
      </c>
      <c r="J33" s="882" t="b">
        <v>0</v>
      </c>
      <c r="K33" s="882" t="b">
        <v>0</v>
      </c>
      <c r="L33" s="882" t="b">
        <v>0</v>
      </c>
      <c r="M33" s="882" t="b">
        <v>0</v>
      </c>
      <c r="N33" s="882" t="b">
        <v>0</v>
      </c>
      <c r="O33" s="882" t="b">
        <v>0</v>
      </c>
      <c r="P33" s="882" t="b">
        <v>0</v>
      </c>
      <c r="Q33" s="890" t="s">
        <v>1534</v>
      </c>
    </row>
    <row r="34" spans="1:17" ht="23.25" customHeight="1">
      <c r="A34" s="902" t="s">
        <v>1629</v>
      </c>
      <c r="B34" s="888" t="s">
        <v>875</v>
      </c>
      <c r="C34" s="889">
        <v>0.42</v>
      </c>
      <c r="E34" s="882" t="b">
        <v>0</v>
      </c>
      <c r="F34" s="882" t="b">
        <v>0</v>
      </c>
      <c r="G34" s="882" t="b">
        <v>0</v>
      </c>
      <c r="H34" s="882" t="b">
        <v>0</v>
      </c>
      <c r="I34" s="882" t="b">
        <v>1</v>
      </c>
      <c r="J34" s="882" t="b">
        <v>0</v>
      </c>
      <c r="K34" s="882" t="b">
        <v>0</v>
      </c>
      <c r="L34" s="882" t="b">
        <v>0</v>
      </c>
      <c r="M34" s="882" t="b">
        <v>0</v>
      </c>
      <c r="N34" s="882" t="b">
        <v>0</v>
      </c>
      <c r="O34" s="882" t="b">
        <v>0</v>
      </c>
      <c r="P34" s="882" t="b">
        <v>0</v>
      </c>
      <c r="Q34" s="890" t="s">
        <v>1534</v>
      </c>
    </row>
    <row r="35" spans="1:17" ht="23.25" customHeight="1">
      <c r="A35" s="902" t="s">
        <v>1629</v>
      </c>
      <c r="B35" s="888" t="s">
        <v>876</v>
      </c>
      <c r="C35" s="889">
        <v>0.95</v>
      </c>
      <c r="E35" s="882" t="b">
        <v>0</v>
      </c>
      <c r="F35" s="882" t="b">
        <v>0</v>
      </c>
      <c r="G35" s="882" t="b">
        <v>0</v>
      </c>
      <c r="H35" s="882" t="b">
        <v>0</v>
      </c>
      <c r="I35" s="882" t="b">
        <v>1</v>
      </c>
      <c r="J35" s="882" t="b">
        <v>0</v>
      </c>
      <c r="K35" s="882" t="b">
        <v>0</v>
      </c>
      <c r="L35" s="882" t="b">
        <v>0</v>
      </c>
      <c r="M35" s="882" t="b">
        <v>0</v>
      </c>
      <c r="N35" s="882" t="b">
        <v>0</v>
      </c>
      <c r="O35" s="882" t="b">
        <v>0</v>
      </c>
      <c r="P35" s="882" t="b">
        <v>0</v>
      </c>
      <c r="Q35" s="890" t="s">
        <v>1534</v>
      </c>
    </row>
    <row r="36" spans="1:17" ht="23.25" customHeight="1">
      <c r="A36" s="902" t="s">
        <v>1629</v>
      </c>
      <c r="B36" s="888" t="s">
        <v>877</v>
      </c>
      <c r="C36" s="889">
        <v>10</v>
      </c>
      <c r="E36" s="882" t="b">
        <v>0</v>
      </c>
      <c r="F36" s="882" t="b">
        <v>0</v>
      </c>
      <c r="G36" s="882" t="b">
        <v>0</v>
      </c>
      <c r="H36" s="882" t="b">
        <v>0</v>
      </c>
      <c r="I36" s="882" t="b">
        <v>1</v>
      </c>
      <c r="J36" s="882" t="b">
        <v>0</v>
      </c>
      <c r="K36" s="882" t="b">
        <v>0</v>
      </c>
      <c r="L36" s="882" t="b">
        <v>0</v>
      </c>
      <c r="M36" s="882" t="b">
        <v>0</v>
      </c>
      <c r="N36" s="882" t="b">
        <v>0</v>
      </c>
      <c r="O36" s="882" t="b">
        <v>0</v>
      </c>
      <c r="P36" s="882" t="b">
        <v>0</v>
      </c>
      <c r="Q36" s="890" t="s">
        <v>1534</v>
      </c>
    </row>
  </sheetData>
  <phoneticPr fontId="7"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11"/>
  <sheetViews>
    <sheetView zoomScale="55" zoomScaleNormal="55" workbookViewId="0">
      <selection activeCell="Q24" sqref="Q24"/>
    </sheetView>
  </sheetViews>
  <sheetFormatPr defaultRowHeight="23.25" customHeight="1"/>
  <cols>
    <col min="1" max="1" width="34.75" style="901" customWidth="1"/>
    <col min="2" max="2" width="23.625" style="891" customWidth="1"/>
    <col min="3" max="3" width="29" style="892" customWidth="1"/>
    <col min="4" max="4" width="9" style="882"/>
    <col min="5" max="16" width="9" style="882" hidden="1" customWidth="1"/>
    <col min="17" max="16384" width="9" style="882"/>
  </cols>
  <sheetData>
    <row r="1" spans="1:17" ht="78" customHeight="1">
      <c r="A1" s="897" t="s">
        <v>319</v>
      </c>
      <c r="B1" s="880"/>
      <c r="C1" s="881"/>
    </row>
    <row r="2" spans="1:17" s="885" customFormat="1" ht="23.25" customHeight="1">
      <c r="A2" s="900" t="s">
        <v>320</v>
      </c>
      <c r="B2" s="883" t="s">
        <v>321</v>
      </c>
      <c r="C2" s="884" t="s">
        <v>332</v>
      </c>
      <c r="E2" s="886">
        <v>1</v>
      </c>
      <c r="F2" s="886" t="s">
        <v>832</v>
      </c>
      <c r="G2" s="886">
        <v>2</v>
      </c>
      <c r="H2" s="886" t="s">
        <v>832</v>
      </c>
      <c r="I2" s="886">
        <v>3</v>
      </c>
      <c r="J2" s="886" t="s">
        <v>832</v>
      </c>
      <c r="K2" s="886">
        <v>4</v>
      </c>
      <c r="L2" s="886" t="s">
        <v>832</v>
      </c>
      <c r="M2" s="886">
        <v>5</v>
      </c>
      <c r="N2" s="886" t="s">
        <v>832</v>
      </c>
      <c r="O2" s="886">
        <v>6</v>
      </c>
      <c r="P2" s="893" t="s">
        <v>832</v>
      </c>
      <c r="Q2" s="887">
        <v>3</v>
      </c>
    </row>
    <row r="3" spans="1:17" s="885" customFormat="1" ht="23.25" customHeight="1">
      <c r="A3" s="900" t="s">
        <v>344</v>
      </c>
      <c r="B3" s="883" t="s">
        <v>345</v>
      </c>
      <c r="C3" s="884" t="s">
        <v>353</v>
      </c>
      <c r="Q3" s="894"/>
    </row>
    <row r="4" spans="1:17" ht="23.25" customHeight="1">
      <c r="A4" s="902" t="s">
        <v>1630</v>
      </c>
      <c r="B4" s="888" t="s">
        <v>872</v>
      </c>
      <c r="C4" s="889">
        <v>46</v>
      </c>
      <c r="E4" s="882" t="b">
        <v>0</v>
      </c>
      <c r="F4" s="882" t="b">
        <v>0</v>
      </c>
      <c r="G4" s="882" t="b">
        <v>0</v>
      </c>
      <c r="H4" s="882" t="b">
        <v>0</v>
      </c>
      <c r="I4" s="882" t="b">
        <v>1</v>
      </c>
      <c r="J4" s="882" t="b">
        <v>0</v>
      </c>
      <c r="K4" s="882" t="b">
        <v>0</v>
      </c>
      <c r="L4" s="882" t="b">
        <v>0</v>
      </c>
      <c r="M4" s="882" t="b">
        <v>0</v>
      </c>
      <c r="N4" s="882" t="b">
        <v>0</v>
      </c>
      <c r="O4" s="882" t="b">
        <v>0</v>
      </c>
      <c r="P4" s="882" t="b">
        <v>0</v>
      </c>
      <c r="Q4" s="890" t="s">
        <v>1534</v>
      </c>
    </row>
    <row r="5" spans="1:17" ht="23.25" customHeight="1">
      <c r="A5" s="902" t="s">
        <v>1630</v>
      </c>
      <c r="B5" s="888" t="s">
        <v>871</v>
      </c>
      <c r="C5" s="889">
        <v>10.219999999999999</v>
      </c>
      <c r="E5" s="882" t="b">
        <v>0</v>
      </c>
      <c r="F5" s="882" t="b">
        <v>0</v>
      </c>
      <c r="G5" s="882" t="b">
        <v>0</v>
      </c>
      <c r="H5" s="882" t="b">
        <v>0</v>
      </c>
      <c r="I5" s="882" t="b">
        <v>1</v>
      </c>
      <c r="J5" s="882" t="b">
        <v>0</v>
      </c>
      <c r="K5" s="882" t="b">
        <v>0</v>
      </c>
      <c r="L5" s="882" t="b">
        <v>0</v>
      </c>
      <c r="M5" s="882" t="b">
        <v>0</v>
      </c>
      <c r="N5" s="882" t="b">
        <v>0</v>
      </c>
      <c r="O5" s="882" t="b">
        <v>0</v>
      </c>
      <c r="P5" s="882" t="b">
        <v>0</v>
      </c>
      <c r="Q5" s="890" t="s">
        <v>1534</v>
      </c>
    </row>
    <row r="6" spans="1:17" ht="23.25" customHeight="1">
      <c r="A6" s="902" t="s">
        <v>1630</v>
      </c>
      <c r="B6" s="888" t="s">
        <v>873</v>
      </c>
      <c r="C6" s="889">
        <v>51</v>
      </c>
      <c r="E6" s="882" t="b">
        <v>0</v>
      </c>
      <c r="F6" s="882" t="b">
        <v>0</v>
      </c>
      <c r="G6" s="882" t="b">
        <v>0</v>
      </c>
      <c r="H6" s="882" t="b">
        <v>0</v>
      </c>
      <c r="I6" s="882" t="b">
        <v>1</v>
      </c>
      <c r="J6" s="882" t="b">
        <v>0</v>
      </c>
      <c r="K6" s="882" t="b">
        <v>0</v>
      </c>
      <c r="L6" s="882" t="b">
        <v>0</v>
      </c>
      <c r="M6" s="882" t="b">
        <v>0</v>
      </c>
      <c r="N6" s="882" t="b">
        <v>0</v>
      </c>
      <c r="O6" s="882" t="b">
        <v>0</v>
      </c>
      <c r="P6" s="882" t="b">
        <v>0</v>
      </c>
      <c r="Q6" s="890" t="s">
        <v>1534</v>
      </c>
    </row>
    <row r="7" spans="1:17" ht="23.25" customHeight="1">
      <c r="A7" s="902" t="s">
        <v>1630</v>
      </c>
      <c r="B7" s="888" t="s">
        <v>874</v>
      </c>
      <c r="C7" s="889">
        <v>10.199999999999999</v>
      </c>
      <c r="E7" s="882" t="b">
        <v>0</v>
      </c>
      <c r="F7" s="882" t="b">
        <v>0</v>
      </c>
      <c r="G7" s="882" t="b">
        <v>0</v>
      </c>
      <c r="H7" s="882" t="b">
        <v>0</v>
      </c>
      <c r="I7" s="882" t="b">
        <v>1</v>
      </c>
      <c r="J7" s="882" t="b">
        <v>0</v>
      </c>
      <c r="K7" s="882" t="b">
        <v>0</v>
      </c>
      <c r="L7" s="882" t="b">
        <v>0</v>
      </c>
      <c r="M7" s="882" t="b">
        <v>0</v>
      </c>
      <c r="N7" s="882" t="b">
        <v>0</v>
      </c>
      <c r="O7" s="882" t="b">
        <v>0</v>
      </c>
      <c r="P7" s="882" t="b">
        <v>0</v>
      </c>
      <c r="Q7" s="890" t="s">
        <v>1534</v>
      </c>
    </row>
    <row r="8" spans="1:17" ht="23.25" customHeight="1">
      <c r="A8" s="902" t="s">
        <v>1630</v>
      </c>
      <c r="B8" s="888" t="s">
        <v>875</v>
      </c>
      <c r="C8" s="889">
        <v>0.72</v>
      </c>
      <c r="E8" s="882" t="b">
        <v>0</v>
      </c>
      <c r="F8" s="882" t="b">
        <v>0</v>
      </c>
      <c r="G8" s="882" t="b">
        <v>0</v>
      </c>
      <c r="H8" s="882" t="b">
        <v>0</v>
      </c>
      <c r="I8" s="882" t="b">
        <v>1</v>
      </c>
      <c r="J8" s="882" t="b">
        <v>0</v>
      </c>
      <c r="K8" s="882" t="b">
        <v>0</v>
      </c>
      <c r="L8" s="882" t="b">
        <v>0</v>
      </c>
      <c r="M8" s="882" t="b">
        <v>0</v>
      </c>
      <c r="N8" s="882" t="b">
        <v>0</v>
      </c>
      <c r="O8" s="882" t="b">
        <v>0</v>
      </c>
      <c r="P8" s="882" t="b">
        <v>0</v>
      </c>
      <c r="Q8" s="890" t="s">
        <v>1534</v>
      </c>
    </row>
    <row r="9" spans="1:17" ht="23.25" customHeight="1">
      <c r="A9" s="902" t="s">
        <v>1630</v>
      </c>
      <c r="B9" s="888" t="s">
        <v>876</v>
      </c>
      <c r="C9" s="889">
        <v>0.9</v>
      </c>
      <c r="E9" s="882" t="b">
        <v>0</v>
      </c>
      <c r="F9" s="882" t="b">
        <v>0</v>
      </c>
      <c r="G9" s="882" t="b">
        <v>0</v>
      </c>
      <c r="H9" s="882" t="b">
        <v>0</v>
      </c>
      <c r="I9" s="882" t="b">
        <v>1</v>
      </c>
      <c r="J9" s="882" t="b">
        <v>0</v>
      </c>
      <c r="K9" s="882" t="b">
        <v>0</v>
      </c>
      <c r="L9" s="882" t="b">
        <v>0</v>
      </c>
      <c r="M9" s="882" t="b">
        <v>0</v>
      </c>
      <c r="N9" s="882" t="b">
        <v>0</v>
      </c>
      <c r="O9" s="882" t="b">
        <v>0</v>
      </c>
      <c r="P9" s="882" t="b">
        <v>0</v>
      </c>
      <c r="Q9" s="890" t="s">
        <v>1534</v>
      </c>
    </row>
    <row r="10" spans="1:17" ht="23.25" customHeight="1">
      <c r="A10" s="902" t="s">
        <v>1630</v>
      </c>
      <c r="B10" s="888" t="s">
        <v>877</v>
      </c>
      <c r="C10" s="889">
        <v>10</v>
      </c>
      <c r="E10" s="882" t="b">
        <v>0</v>
      </c>
      <c r="F10" s="882" t="b">
        <v>0</v>
      </c>
      <c r="G10" s="882" t="b">
        <v>0</v>
      </c>
      <c r="H10" s="882" t="b">
        <v>0</v>
      </c>
      <c r="I10" s="882" t="b">
        <v>1</v>
      </c>
      <c r="J10" s="882" t="b">
        <v>0</v>
      </c>
      <c r="K10" s="882" t="b">
        <v>0</v>
      </c>
      <c r="L10" s="882" t="b">
        <v>0</v>
      </c>
      <c r="M10" s="882" t="b">
        <v>0</v>
      </c>
      <c r="N10" s="882" t="b">
        <v>0</v>
      </c>
      <c r="O10" s="882" t="b">
        <v>0</v>
      </c>
      <c r="P10" s="882" t="b">
        <v>0</v>
      </c>
      <c r="Q10" s="890" t="s">
        <v>1534</v>
      </c>
    </row>
    <row r="11" spans="1:17" ht="23.25" customHeight="1">
      <c r="A11" s="908" t="s">
        <v>1630</v>
      </c>
      <c r="B11" s="909" t="s">
        <v>496</v>
      </c>
      <c r="C11" s="889">
        <v>5.6</v>
      </c>
      <c r="D11" s="910"/>
      <c r="E11" s="910" t="b">
        <v>0</v>
      </c>
      <c r="F11" s="910" t="b">
        <v>0</v>
      </c>
      <c r="G11" s="910" t="b">
        <v>0</v>
      </c>
      <c r="H11" s="910" t="b">
        <v>0</v>
      </c>
      <c r="I11" s="910" t="b">
        <v>1</v>
      </c>
      <c r="J11" s="910" t="b">
        <v>0</v>
      </c>
      <c r="K11" s="910" t="b">
        <v>0</v>
      </c>
      <c r="L11" s="910" t="b">
        <v>0</v>
      </c>
      <c r="M11" s="910" t="b">
        <v>0</v>
      </c>
      <c r="N11" s="910" t="b">
        <v>0</v>
      </c>
      <c r="O11" s="910" t="b">
        <v>0</v>
      </c>
      <c r="P11" s="910" t="b">
        <v>0</v>
      </c>
      <c r="Q11" s="909" t="s">
        <v>1534</v>
      </c>
    </row>
  </sheetData>
  <phoneticPr fontId="7"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35"/>
  <sheetViews>
    <sheetView zoomScale="70" zoomScaleNormal="70" workbookViewId="0">
      <selection activeCell="A36" sqref="A36:XFD49"/>
    </sheetView>
  </sheetViews>
  <sheetFormatPr defaultRowHeight="21" customHeight="1"/>
  <cols>
    <col min="1" max="1" width="24.75" style="904" customWidth="1"/>
    <col min="2" max="2" width="26.875" style="324" customWidth="1"/>
    <col min="3" max="3" width="27.125" style="818" customWidth="1"/>
    <col min="4" max="4" width="9" style="321"/>
    <col min="5" max="16" width="9" style="321" hidden="1" customWidth="1"/>
    <col min="17" max="16384" width="9" style="321"/>
  </cols>
  <sheetData>
    <row r="1" spans="1:17" ht="50.25" customHeight="1">
      <c r="A1" s="877" t="s">
        <v>319</v>
      </c>
      <c r="B1" s="796"/>
      <c r="C1" s="814"/>
    </row>
    <row r="2" spans="1:17" s="326" customFormat="1" ht="21" customHeight="1">
      <c r="A2" s="903" t="s">
        <v>320</v>
      </c>
      <c r="B2" s="323" t="s">
        <v>321</v>
      </c>
      <c r="C2" s="815" t="s">
        <v>335</v>
      </c>
      <c r="E2" s="809">
        <v>1</v>
      </c>
      <c r="F2" s="809" t="s">
        <v>832</v>
      </c>
      <c r="G2" s="809">
        <v>2</v>
      </c>
      <c r="H2" s="809" t="s">
        <v>832</v>
      </c>
      <c r="I2" s="809">
        <v>3</v>
      </c>
      <c r="J2" s="809" t="s">
        <v>832</v>
      </c>
      <c r="K2" s="809">
        <v>4</v>
      </c>
      <c r="L2" s="809" t="s">
        <v>832</v>
      </c>
      <c r="M2" s="809">
        <v>5</v>
      </c>
      <c r="N2" s="809" t="s">
        <v>832</v>
      </c>
      <c r="O2" s="809">
        <v>6</v>
      </c>
      <c r="P2" s="809" t="s">
        <v>832</v>
      </c>
      <c r="Q2" s="826">
        <v>4</v>
      </c>
    </row>
    <row r="3" spans="1:17" s="326" customFormat="1" ht="21" customHeight="1">
      <c r="A3" s="903" t="s">
        <v>344</v>
      </c>
      <c r="B3" s="323" t="s">
        <v>345</v>
      </c>
      <c r="C3" s="815" t="s">
        <v>354</v>
      </c>
      <c r="Q3" s="879"/>
    </row>
    <row r="4" spans="1:17" s="328" customFormat="1" ht="21" customHeight="1">
      <c r="A4" s="902" t="s">
        <v>1631</v>
      </c>
      <c r="B4" s="327" t="s">
        <v>263</v>
      </c>
      <c r="C4" s="812">
        <v>74.635000000000005</v>
      </c>
      <c r="E4" s="328" t="b">
        <v>0</v>
      </c>
      <c r="F4" s="328" t="b">
        <v>0</v>
      </c>
      <c r="G4" s="328" t="b">
        <v>0</v>
      </c>
      <c r="H4" s="328" t="b">
        <v>0</v>
      </c>
      <c r="I4" s="328" t="b">
        <v>0</v>
      </c>
      <c r="J4" s="328" t="b">
        <v>0</v>
      </c>
      <c r="K4" s="328" t="b">
        <v>1</v>
      </c>
      <c r="L4" s="328" t="b">
        <v>0</v>
      </c>
      <c r="M4" s="328" t="b">
        <v>0</v>
      </c>
      <c r="N4" s="328" t="b">
        <v>0</v>
      </c>
      <c r="O4" s="328" t="b">
        <v>0</v>
      </c>
      <c r="P4" s="328" t="b">
        <v>0</v>
      </c>
      <c r="Q4" s="878" t="s">
        <v>1534</v>
      </c>
    </row>
    <row r="5" spans="1:17" s="328" customFormat="1" ht="21" customHeight="1">
      <c r="A5" s="902" t="s">
        <v>1631</v>
      </c>
      <c r="B5" s="327" t="s">
        <v>264</v>
      </c>
      <c r="C5" s="812">
        <v>71.39</v>
      </c>
      <c r="E5" s="328" t="b">
        <v>0</v>
      </c>
      <c r="F5" s="328" t="b">
        <v>0</v>
      </c>
      <c r="G5" s="328" t="b">
        <v>0</v>
      </c>
      <c r="H5" s="328" t="b">
        <v>0</v>
      </c>
      <c r="I5" s="328" t="b">
        <v>0</v>
      </c>
      <c r="J5" s="328" t="b">
        <v>0</v>
      </c>
      <c r="K5" s="328" t="b">
        <v>1</v>
      </c>
      <c r="L5" s="328" t="b">
        <v>0</v>
      </c>
      <c r="M5" s="328" t="b">
        <v>0</v>
      </c>
      <c r="N5" s="328" t="b">
        <v>0</v>
      </c>
      <c r="O5" s="328" t="b">
        <v>0</v>
      </c>
      <c r="P5" s="328" t="b">
        <v>0</v>
      </c>
      <c r="Q5" s="878" t="s">
        <v>1534</v>
      </c>
    </row>
    <row r="6" spans="1:17" s="328" customFormat="1" ht="21" customHeight="1">
      <c r="A6" s="902" t="s">
        <v>1631</v>
      </c>
      <c r="B6" s="327" t="s">
        <v>265</v>
      </c>
      <c r="C6" s="812">
        <v>62.832000000000001</v>
      </c>
      <c r="E6" s="328" t="b">
        <v>0</v>
      </c>
      <c r="F6" s="328" t="b">
        <v>0</v>
      </c>
      <c r="G6" s="328" t="b">
        <v>0</v>
      </c>
      <c r="H6" s="328" t="b">
        <v>0</v>
      </c>
      <c r="I6" s="328" t="b">
        <v>0</v>
      </c>
      <c r="J6" s="328" t="b">
        <v>0</v>
      </c>
      <c r="K6" s="328" t="b">
        <v>1</v>
      </c>
      <c r="L6" s="328" t="b">
        <v>0</v>
      </c>
      <c r="M6" s="328" t="b">
        <v>0</v>
      </c>
      <c r="N6" s="328" t="b">
        <v>0</v>
      </c>
      <c r="O6" s="328" t="b">
        <v>0</v>
      </c>
      <c r="P6" s="328" t="b">
        <v>0</v>
      </c>
      <c r="Q6" s="878" t="s">
        <v>1534</v>
      </c>
    </row>
    <row r="7" spans="1:17" s="328" customFormat="1" ht="21" customHeight="1">
      <c r="A7" s="902" t="s">
        <v>1631</v>
      </c>
      <c r="B7" s="327" t="s">
        <v>266</v>
      </c>
      <c r="C7" s="812">
        <v>61.908000000000001</v>
      </c>
      <c r="E7" s="328" t="b">
        <v>0</v>
      </c>
      <c r="F7" s="328" t="b">
        <v>0</v>
      </c>
      <c r="G7" s="328" t="b">
        <v>0</v>
      </c>
      <c r="H7" s="328" t="b">
        <v>0</v>
      </c>
      <c r="I7" s="328" t="b">
        <v>0</v>
      </c>
      <c r="J7" s="328" t="b">
        <v>0</v>
      </c>
      <c r="K7" s="328" t="b">
        <v>1</v>
      </c>
      <c r="L7" s="328" t="b">
        <v>0</v>
      </c>
      <c r="M7" s="328" t="b">
        <v>0</v>
      </c>
      <c r="N7" s="328" t="b">
        <v>0</v>
      </c>
      <c r="O7" s="328" t="b">
        <v>0</v>
      </c>
      <c r="P7" s="328" t="b">
        <v>0</v>
      </c>
      <c r="Q7" s="878" t="s">
        <v>1534</v>
      </c>
    </row>
    <row r="8" spans="1:17" s="328" customFormat="1" ht="21" customHeight="1">
      <c r="A8" s="902" t="s">
        <v>1631</v>
      </c>
      <c r="B8" s="327" t="s">
        <v>267</v>
      </c>
      <c r="C8" s="812">
        <v>145.6</v>
      </c>
      <c r="E8" s="328" t="b">
        <v>0</v>
      </c>
      <c r="F8" s="328" t="b">
        <v>0</v>
      </c>
      <c r="G8" s="328" t="b">
        <v>0</v>
      </c>
      <c r="H8" s="328" t="b">
        <v>0</v>
      </c>
      <c r="I8" s="328" t="b">
        <v>0</v>
      </c>
      <c r="J8" s="328" t="b">
        <v>0</v>
      </c>
      <c r="K8" s="328" t="b">
        <v>1</v>
      </c>
      <c r="L8" s="328" t="b">
        <v>0</v>
      </c>
      <c r="M8" s="328" t="b">
        <v>0</v>
      </c>
      <c r="N8" s="328" t="b">
        <v>0</v>
      </c>
      <c r="O8" s="328" t="b">
        <v>0</v>
      </c>
      <c r="P8" s="328" t="b">
        <v>0</v>
      </c>
      <c r="Q8" s="878" t="s">
        <v>1534</v>
      </c>
    </row>
    <row r="9" spans="1:17" s="328" customFormat="1" ht="21" customHeight="1">
      <c r="A9" s="902" t="s">
        <v>1631</v>
      </c>
      <c r="B9" s="327" t="s">
        <v>268</v>
      </c>
      <c r="C9" s="812">
        <v>11.18</v>
      </c>
      <c r="E9" s="328" t="b">
        <v>0</v>
      </c>
      <c r="F9" s="328" t="b">
        <v>0</v>
      </c>
      <c r="G9" s="328" t="b">
        <v>0</v>
      </c>
      <c r="H9" s="328" t="b">
        <v>0</v>
      </c>
      <c r="I9" s="328" t="b">
        <v>0</v>
      </c>
      <c r="J9" s="328" t="b">
        <v>0</v>
      </c>
      <c r="K9" s="328" t="b">
        <v>1</v>
      </c>
      <c r="L9" s="328" t="b">
        <v>0</v>
      </c>
      <c r="M9" s="328" t="b">
        <v>0</v>
      </c>
      <c r="N9" s="328" t="b">
        <v>0</v>
      </c>
      <c r="O9" s="328" t="b">
        <v>0</v>
      </c>
      <c r="P9" s="328" t="b">
        <v>0</v>
      </c>
      <c r="Q9" s="878" t="s">
        <v>1534</v>
      </c>
    </row>
    <row r="10" spans="1:17" s="328" customFormat="1" ht="21" customHeight="1">
      <c r="A10" s="902" t="s">
        <v>1631</v>
      </c>
      <c r="B10" s="327" t="s">
        <v>269</v>
      </c>
      <c r="C10" s="812">
        <v>6.9194600000000008</v>
      </c>
      <c r="E10" s="328" t="b">
        <v>0</v>
      </c>
      <c r="F10" s="328" t="b">
        <v>0</v>
      </c>
      <c r="G10" s="328" t="b">
        <v>0</v>
      </c>
      <c r="H10" s="328" t="b">
        <v>0</v>
      </c>
      <c r="I10" s="328" t="b">
        <v>0</v>
      </c>
      <c r="J10" s="328" t="b">
        <v>0</v>
      </c>
      <c r="K10" s="328" t="b">
        <v>1</v>
      </c>
      <c r="L10" s="328" t="b">
        <v>0</v>
      </c>
      <c r="M10" s="328" t="b">
        <v>0</v>
      </c>
      <c r="N10" s="328" t="b">
        <v>0</v>
      </c>
      <c r="O10" s="328" t="b">
        <v>0</v>
      </c>
      <c r="P10" s="328" t="b">
        <v>0</v>
      </c>
      <c r="Q10" s="878" t="s">
        <v>1534</v>
      </c>
    </row>
    <row r="11" spans="1:17" s="328" customFormat="1" ht="21" customHeight="1">
      <c r="A11" s="902" t="s">
        <v>1631</v>
      </c>
      <c r="B11" s="327" t="s">
        <v>270</v>
      </c>
      <c r="C11" s="812">
        <v>2.2000000000000002</v>
      </c>
      <c r="E11" s="328" t="b">
        <v>0</v>
      </c>
      <c r="F11" s="328" t="b">
        <v>0</v>
      </c>
      <c r="G11" s="328" t="b">
        <v>0</v>
      </c>
      <c r="H11" s="328" t="b">
        <v>0</v>
      </c>
      <c r="I11" s="328" t="b">
        <v>0</v>
      </c>
      <c r="J11" s="328" t="b">
        <v>0</v>
      </c>
      <c r="K11" s="328" t="b">
        <v>1</v>
      </c>
      <c r="L11" s="328" t="b">
        <v>0</v>
      </c>
      <c r="M11" s="328" t="b">
        <v>0</v>
      </c>
      <c r="N11" s="328" t="b">
        <v>0</v>
      </c>
      <c r="O11" s="328" t="b">
        <v>0</v>
      </c>
      <c r="P11" s="328" t="b">
        <v>0</v>
      </c>
      <c r="Q11" s="878" t="s">
        <v>1534</v>
      </c>
    </row>
    <row r="12" spans="1:17" s="328" customFormat="1" ht="21" customHeight="1">
      <c r="A12" s="902" t="s">
        <v>1631</v>
      </c>
      <c r="B12" s="327" t="s">
        <v>271</v>
      </c>
      <c r="C12" s="812">
        <v>0.45624999999999999</v>
      </c>
      <c r="E12" s="328" t="b">
        <v>0</v>
      </c>
      <c r="F12" s="328" t="b">
        <v>0</v>
      </c>
      <c r="G12" s="328" t="b">
        <v>0</v>
      </c>
      <c r="H12" s="328" t="b">
        <v>0</v>
      </c>
      <c r="I12" s="328" t="b">
        <v>0</v>
      </c>
      <c r="J12" s="328" t="b">
        <v>0</v>
      </c>
      <c r="K12" s="328" t="b">
        <v>1</v>
      </c>
      <c r="L12" s="328" t="b">
        <v>0</v>
      </c>
      <c r="M12" s="328" t="b">
        <v>0</v>
      </c>
      <c r="N12" s="328" t="b">
        <v>0</v>
      </c>
      <c r="O12" s="328" t="b">
        <v>0</v>
      </c>
      <c r="P12" s="328" t="b">
        <v>0</v>
      </c>
      <c r="Q12" s="878" t="s">
        <v>1534</v>
      </c>
    </row>
    <row r="13" spans="1:17" s="328" customFormat="1" ht="21" customHeight="1">
      <c r="A13" s="902" t="s">
        <v>1631</v>
      </c>
      <c r="B13" s="327" t="s">
        <v>284</v>
      </c>
      <c r="C13" s="812">
        <v>115</v>
      </c>
      <c r="E13" s="328" t="b">
        <v>0</v>
      </c>
      <c r="F13" s="328" t="b">
        <v>0</v>
      </c>
      <c r="G13" s="328" t="b">
        <v>0</v>
      </c>
      <c r="H13" s="328" t="b">
        <v>0</v>
      </c>
      <c r="I13" s="328" t="b">
        <v>0</v>
      </c>
      <c r="J13" s="328" t="b">
        <v>0</v>
      </c>
      <c r="K13" s="328" t="b">
        <v>1</v>
      </c>
      <c r="L13" s="328" t="b">
        <v>0</v>
      </c>
      <c r="M13" s="328" t="b">
        <v>0</v>
      </c>
      <c r="N13" s="328" t="b">
        <v>0</v>
      </c>
      <c r="O13" s="328" t="b">
        <v>0</v>
      </c>
      <c r="P13" s="328" t="b">
        <v>0</v>
      </c>
      <c r="Q13" s="878" t="s">
        <v>1534</v>
      </c>
    </row>
    <row r="14" spans="1:17" s="328" customFormat="1" ht="21" customHeight="1">
      <c r="A14" s="902" t="s">
        <v>1631</v>
      </c>
      <c r="B14" s="327" t="s">
        <v>285</v>
      </c>
      <c r="C14" s="812">
        <v>42</v>
      </c>
      <c r="E14" s="328" t="b">
        <v>0</v>
      </c>
      <c r="F14" s="328" t="b">
        <v>0</v>
      </c>
      <c r="G14" s="328" t="b">
        <v>0</v>
      </c>
      <c r="H14" s="328" t="b">
        <v>0</v>
      </c>
      <c r="I14" s="328" t="b">
        <v>0</v>
      </c>
      <c r="J14" s="328" t="b">
        <v>0</v>
      </c>
      <c r="K14" s="328" t="b">
        <v>1</v>
      </c>
      <c r="L14" s="328" t="b">
        <v>0</v>
      </c>
      <c r="M14" s="328" t="b">
        <v>0</v>
      </c>
      <c r="N14" s="328" t="b">
        <v>0</v>
      </c>
      <c r="O14" s="328" t="b">
        <v>0</v>
      </c>
      <c r="P14" s="328" t="b">
        <v>0</v>
      </c>
      <c r="Q14" s="878" t="s">
        <v>1534</v>
      </c>
    </row>
    <row r="15" spans="1:17" s="328" customFormat="1" ht="21" customHeight="1">
      <c r="A15" s="902" t="s">
        <v>1631</v>
      </c>
      <c r="B15" s="327" t="s">
        <v>286</v>
      </c>
      <c r="C15" s="812">
        <v>51.92</v>
      </c>
      <c r="E15" s="328" t="b">
        <v>0</v>
      </c>
      <c r="F15" s="328" t="b">
        <v>0</v>
      </c>
      <c r="G15" s="328" t="b">
        <v>0</v>
      </c>
      <c r="H15" s="328" t="b">
        <v>0</v>
      </c>
      <c r="I15" s="328" t="b">
        <v>0</v>
      </c>
      <c r="J15" s="328" t="b">
        <v>0</v>
      </c>
      <c r="K15" s="328" t="b">
        <v>1</v>
      </c>
      <c r="L15" s="328" t="b">
        <v>0</v>
      </c>
      <c r="M15" s="328" t="b">
        <v>0</v>
      </c>
      <c r="N15" s="328" t="b">
        <v>0</v>
      </c>
      <c r="O15" s="328" t="b">
        <v>0</v>
      </c>
      <c r="P15" s="328" t="b">
        <v>0</v>
      </c>
      <c r="Q15" s="878" t="s">
        <v>1534</v>
      </c>
    </row>
    <row r="16" spans="1:17" s="328" customFormat="1" ht="21" customHeight="1">
      <c r="A16" s="902" t="s">
        <v>1631</v>
      </c>
      <c r="B16" s="327" t="s">
        <v>287</v>
      </c>
      <c r="C16" s="812">
        <v>50.622</v>
      </c>
      <c r="E16" s="328" t="b">
        <v>0</v>
      </c>
      <c r="F16" s="328" t="b">
        <v>0</v>
      </c>
      <c r="G16" s="328" t="b">
        <v>0</v>
      </c>
      <c r="H16" s="328" t="b">
        <v>0</v>
      </c>
      <c r="I16" s="328" t="b">
        <v>0</v>
      </c>
      <c r="J16" s="328" t="b">
        <v>0</v>
      </c>
      <c r="K16" s="328" t="b">
        <v>1</v>
      </c>
      <c r="L16" s="328" t="b">
        <v>0</v>
      </c>
      <c r="M16" s="328" t="b">
        <v>0</v>
      </c>
      <c r="N16" s="328" t="b">
        <v>0</v>
      </c>
      <c r="O16" s="328" t="b">
        <v>0</v>
      </c>
      <c r="P16" s="328" t="b">
        <v>0</v>
      </c>
      <c r="Q16" s="878" t="s">
        <v>1534</v>
      </c>
    </row>
    <row r="17" spans="1:17" s="328" customFormat="1" ht="21" customHeight="1">
      <c r="A17" s="902" t="s">
        <v>1631</v>
      </c>
      <c r="B17" s="327" t="s">
        <v>288</v>
      </c>
      <c r="C17" s="812">
        <v>61.908000000000001</v>
      </c>
      <c r="E17" s="328" t="b">
        <v>0</v>
      </c>
      <c r="F17" s="328" t="b">
        <v>0</v>
      </c>
      <c r="G17" s="328" t="b">
        <v>0</v>
      </c>
      <c r="H17" s="328" t="b">
        <v>0</v>
      </c>
      <c r="I17" s="328" t="b">
        <v>0</v>
      </c>
      <c r="J17" s="328" t="b">
        <v>0</v>
      </c>
      <c r="K17" s="328" t="b">
        <v>1</v>
      </c>
      <c r="L17" s="328" t="b">
        <v>0</v>
      </c>
      <c r="M17" s="328" t="b">
        <v>0</v>
      </c>
      <c r="N17" s="328" t="b">
        <v>0</v>
      </c>
      <c r="O17" s="328" t="b">
        <v>0</v>
      </c>
      <c r="P17" s="328" t="b">
        <v>0</v>
      </c>
      <c r="Q17" s="878" t="s">
        <v>1534</v>
      </c>
    </row>
    <row r="18" spans="1:17" s="328" customFormat="1" ht="21" customHeight="1">
      <c r="A18" s="902" t="s">
        <v>1631</v>
      </c>
      <c r="B18" s="327" t="s">
        <v>289</v>
      </c>
      <c r="C18" s="812">
        <v>60.06</v>
      </c>
      <c r="E18" s="328" t="b">
        <v>0</v>
      </c>
      <c r="F18" s="328" t="b">
        <v>0</v>
      </c>
      <c r="G18" s="328" t="b">
        <v>0</v>
      </c>
      <c r="H18" s="328" t="b">
        <v>0</v>
      </c>
      <c r="I18" s="328" t="b">
        <v>0</v>
      </c>
      <c r="J18" s="328" t="b">
        <v>0</v>
      </c>
      <c r="K18" s="328" t="b">
        <v>1</v>
      </c>
      <c r="L18" s="328" t="b">
        <v>0</v>
      </c>
      <c r="M18" s="328" t="b">
        <v>0</v>
      </c>
      <c r="N18" s="328" t="b">
        <v>0</v>
      </c>
      <c r="O18" s="328" t="b">
        <v>0</v>
      </c>
      <c r="P18" s="328" t="b">
        <v>0</v>
      </c>
      <c r="Q18" s="878" t="s">
        <v>1534</v>
      </c>
    </row>
    <row r="19" spans="1:17" s="328" customFormat="1" ht="21" customHeight="1">
      <c r="A19" s="902" t="s">
        <v>1631</v>
      </c>
      <c r="B19" s="327" t="s">
        <v>290</v>
      </c>
      <c r="C19" s="812">
        <v>142.4</v>
      </c>
      <c r="E19" s="328" t="b">
        <v>0</v>
      </c>
      <c r="F19" s="328" t="b">
        <v>0</v>
      </c>
      <c r="G19" s="328" t="b">
        <v>0</v>
      </c>
      <c r="H19" s="328" t="b">
        <v>0</v>
      </c>
      <c r="I19" s="328" t="b">
        <v>0</v>
      </c>
      <c r="J19" s="328" t="b">
        <v>0</v>
      </c>
      <c r="K19" s="328" t="b">
        <v>1</v>
      </c>
      <c r="L19" s="328" t="b">
        <v>0</v>
      </c>
      <c r="M19" s="328" t="b">
        <v>0</v>
      </c>
      <c r="N19" s="328" t="b">
        <v>0</v>
      </c>
      <c r="O19" s="328" t="b">
        <v>0</v>
      </c>
      <c r="P19" s="328" t="b">
        <v>0</v>
      </c>
      <c r="Q19" s="878" t="s">
        <v>1534</v>
      </c>
    </row>
    <row r="20" spans="1:17" s="328" customFormat="1" ht="21" customHeight="1">
      <c r="A20" s="902" t="s">
        <v>1631</v>
      </c>
      <c r="B20" s="327" t="s">
        <v>291</v>
      </c>
      <c r="C20" s="812">
        <v>8.4500000000000011</v>
      </c>
      <c r="E20" s="328" t="b">
        <v>0</v>
      </c>
      <c r="F20" s="328" t="b">
        <v>0</v>
      </c>
      <c r="G20" s="328" t="b">
        <v>0</v>
      </c>
      <c r="H20" s="328" t="b">
        <v>0</v>
      </c>
      <c r="I20" s="328" t="b">
        <v>0</v>
      </c>
      <c r="J20" s="328" t="b">
        <v>0</v>
      </c>
      <c r="K20" s="328" t="b">
        <v>1</v>
      </c>
      <c r="L20" s="328" t="b">
        <v>0</v>
      </c>
      <c r="M20" s="328" t="b">
        <v>0</v>
      </c>
      <c r="N20" s="328" t="b">
        <v>0</v>
      </c>
      <c r="O20" s="328" t="b">
        <v>0</v>
      </c>
      <c r="P20" s="328" t="b">
        <v>0</v>
      </c>
      <c r="Q20" s="878" t="s">
        <v>1534</v>
      </c>
    </row>
    <row r="21" spans="1:17" s="328" customFormat="1" ht="21" customHeight="1">
      <c r="A21" s="902" t="s">
        <v>1631</v>
      </c>
      <c r="B21" s="327" t="s">
        <v>292</v>
      </c>
      <c r="C21" s="812">
        <v>6.7076100000000007</v>
      </c>
      <c r="E21" s="328" t="b">
        <v>0</v>
      </c>
      <c r="F21" s="328" t="b">
        <v>0</v>
      </c>
      <c r="G21" s="328" t="b">
        <v>0</v>
      </c>
      <c r="H21" s="328" t="b">
        <v>0</v>
      </c>
      <c r="I21" s="328" t="b">
        <v>0</v>
      </c>
      <c r="J21" s="328" t="b">
        <v>0</v>
      </c>
      <c r="K21" s="328" t="b">
        <v>1</v>
      </c>
      <c r="L21" s="328" t="b">
        <v>0</v>
      </c>
      <c r="M21" s="328" t="b">
        <v>0</v>
      </c>
      <c r="N21" s="328" t="b">
        <v>0</v>
      </c>
      <c r="O21" s="328" t="b">
        <v>0</v>
      </c>
      <c r="P21" s="328" t="b">
        <v>0</v>
      </c>
      <c r="Q21" s="878" t="s">
        <v>1534</v>
      </c>
    </row>
    <row r="22" spans="1:17" s="328" customFormat="1" ht="21" customHeight="1">
      <c r="A22" s="902" t="s">
        <v>1631</v>
      </c>
      <c r="B22" s="327" t="s">
        <v>293</v>
      </c>
      <c r="C22" s="812">
        <v>2.2000000000000002</v>
      </c>
      <c r="E22" s="328" t="b">
        <v>0</v>
      </c>
      <c r="F22" s="328" t="b">
        <v>0</v>
      </c>
      <c r="G22" s="328" t="b">
        <v>0</v>
      </c>
      <c r="H22" s="328" t="b">
        <v>0</v>
      </c>
      <c r="I22" s="328" t="b">
        <v>0</v>
      </c>
      <c r="J22" s="328" t="b">
        <v>0</v>
      </c>
      <c r="K22" s="328" t="b">
        <v>1</v>
      </c>
      <c r="L22" s="328" t="b">
        <v>0</v>
      </c>
      <c r="M22" s="328" t="b">
        <v>0</v>
      </c>
      <c r="N22" s="328" t="b">
        <v>0</v>
      </c>
      <c r="O22" s="328" t="b">
        <v>0</v>
      </c>
      <c r="P22" s="328" t="b">
        <v>0</v>
      </c>
      <c r="Q22" s="878" t="s">
        <v>1534</v>
      </c>
    </row>
    <row r="23" spans="1:17" s="328" customFormat="1" ht="21" customHeight="1">
      <c r="A23" s="902" t="s">
        <v>1631</v>
      </c>
      <c r="B23" s="327" t="s">
        <v>294</v>
      </c>
      <c r="C23" s="812">
        <v>0.49731250000000005</v>
      </c>
      <c r="E23" s="328" t="b">
        <v>0</v>
      </c>
      <c r="F23" s="328" t="b">
        <v>0</v>
      </c>
      <c r="G23" s="328" t="b">
        <v>0</v>
      </c>
      <c r="H23" s="328" t="b">
        <v>0</v>
      </c>
      <c r="I23" s="328" t="b">
        <v>0</v>
      </c>
      <c r="J23" s="328" t="b">
        <v>0</v>
      </c>
      <c r="K23" s="328" t="b">
        <v>1</v>
      </c>
      <c r="L23" s="328" t="b">
        <v>0</v>
      </c>
      <c r="M23" s="328" t="b">
        <v>0</v>
      </c>
      <c r="N23" s="328" t="b">
        <v>0</v>
      </c>
      <c r="O23" s="328" t="b">
        <v>0</v>
      </c>
      <c r="P23" s="328" t="b">
        <v>0</v>
      </c>
      <c r="Q23" s="878" t="s">
        <v>1534</v>
      </c>
    </row>
    <row r="24" spans="1:17" s="328" customFormat="1" ht="21" customHeight="1">
      <c r="A24" s="902" t="s">
        <v>1631</v>
      </c>
      <c r="B24" s="327" t="s">
        <v>295</v>
      </c>
      <c r="C24" s="812">
        <v>0.45168749999999996</v>
      </c>
      <c r="E24" s="328" t="b">
        <v>0</v>
      </c>
      <c r="F24" s="328" t="b">
        <v>0</v>
      </c>
      <c r="G24" s="328" t="b">
        <v>0</v>
      </c>
      <c r="H24" s="328" t="b">
        <v>0</v>
      </c>
      <c r="I24" s="328" t="b">
        <v>0</v>
      </c>
      <c r="J24" s="328" t="b">
        <v>0</v>
      </c>
      <c r="K24" s="328" t="b">
        <v>1</v>
      </c>
      <c r="L24" s="328" t="b">
        <v>0</v>
      </c>
      <c r="M24" s="328" t="b">
        <v>0</v>
      </c>
      <c r="N24" s="328" t="b">
        <v>0</v>
      </c>
      <c r="O24" s="328" t="b">
        <v>0</v>
      </c>
      <c r="P24" s="328" t="b">
        <v>0</v>
      </c>
      <c r="Q24" s="878" t="s">
        <v>1534</v>
      </c>
    </row>
    <row r="25" spans="1:17" s="328" customFormat="1" ht="21" customHeight="1">
      <c r="A25" s="902" t="s">
        <v>1631</v>
      </c>
      <c r="B25" s="327" t="s">
        <v>296</v>
      </c>
      <c r="C25" s="812">
        <v>0.1323125</v>
      </c>
      <c r="E25" s="328" t="b">
        <v>0</v>
      </c>
      <c r="F25" s="328" t="b">
        <v>0</v>
      </c>
      <c r="G25" s="328" t="b">
        <v>0</v>
      </c>
      <c r="H25" s="328" t="b">
        <v>0</v>
      </c>
      <c r="I25" s="328" t="b">
        <v>0</v>
      </c>
      <c r="J25" s="328" t="b">
        <v>0</v>
      </c>
      <c r="K25" s="328" t="b">
        <v>1</v>
      </c>
      <c r="L25" s="328" t="b">
        <v>0</v>
      </c>
      <c r="M25" s="328" t="b">
        <v>0</v>
      </c>
      <c r="N25" s="328" t="b">
        <v>0</v>
      </c>
      <c r="O25" s="328" t="b">
        <v>0</v>
      </c>
      <c r="P25" s="328" t="b">
        <v>0</v>
      </c>
      <c r="Q25" s="878" t="s">
        <v>1534</v>
      </c>
    </row>
    <row r="26" spans="1:17" s="328" customFormat="1" ht="21" customHeight="1">
      <c r="A26" s="902" t="s">
        <v>1631</v>
      </c>
      <c r="B26" s="327" t="s">
        <v>297</v>
      </c>
      <c r="C26" s="812">
        <v>7.1820000000000009E-3</v>
      </c>
      <c r="E26" s="328" t="b">
        <v>0</v>
      </c>
      <c r="F26" s="328" t="b">
        <v>0</v>
      </c>
      <c r="G26" s="328" t="b">
        <v>0</v>
      </c>
      <c r="H26" s="328" t="b">
        <v>0</v>
      </c>
      <c r="I26" s="328" t="b">
        <v>0</v>
      </c>
      <c r="J26" s="328" t="b">
        <v>0</v>
      </c>
      <c r="K26" s="328" t="b">
        <v>1</v>
      </c>
      <c r="L26" s="328" t="b">
        <v>0</v>
      </c>
      <c r="M26" s="328" t="b">
        <v>0</v>
      </c>
      <c r="N26" s="328" t="b">
        <v>0</v>
      </c>
      <c r="O26" s="328" t="b">
        <v>0</v>
      </c>
      <c r="P26" s="328" t="b">
        <v>0</v>
      </c>
      <c r="Q26" s="878" t="s">
        <v>1534</v>
      </c>
    </row>
    <row r="27" spans="1:17" s="328" customFormat="1" ht="21" customHeight="1">
      <c r="A27" s="902" t="s">
        <v>1631</v>
      </c>
      <c r="B27" s="327" t="s">
        <v>307</v>
      </c>
      <c r="C27" s="812">
        <v>48</v>
      </c>
      <c r="E27" s="328" t="b">
        <v>0</v>
      </c>
      <c r="F27" s="328" t="b">
        <v>0</v>
      </c>
      <c r="G27" s="328" t="b">
        <v>0</v>
      </c>
      <c r="H27" s="328" t="b">
        <v>0</v>
      </c>
      <c r="I27" s="328" t="b">
        <v>0</v>
      </c>
      <c r="J27" s="328" t="b">
        <v>0</v>
      </c>
      <c r="K27" s="328" t="b">
        <v>1</v>
      </c>
      <c r="L27" s="328" t="b">
        <v>0</v>
      </c>
      <c r="M27" s="328" t="b">
        <v>0</v>
      </c>
      <c r="N27" s="328" t="b">
        <v>0</v>
      </c>
      <c r="O27" s="328" t="b">
        <v>0</v>
      </c>
      <c r="P27" s="328" t="b">
        <v>0</v>
      </c>
      <c r="Q27" s="878" t="s">
        <v>1534</v>
      </c>
    </row>
    <row r="28" spans="1:17" s="328" customFormat="1" ht="21" customHeight="1">
      <c r="A28" s="902" t="s">
        <v>1631</v>
      </c>
      <c r="B28" s="327" t="s">
        <v>308</v>
      </c>
      <c r="C28" s="812">
        <v>175</v>
      </c>
      <c r="E28" s="328" t="b">
        <v>0</v>
      </c>
      <c r="F28" s="328" t="b">
        <v>0</v>
      </c>
      <c r="G28" s="328" t="b">
        <v>0</v>
      </c>
      <c r="H28" s="328" t="b">
        <v>0</v>
      </c>
      <c r="I28" s="328" t="b">
        <v>0</v>
      </c>
      <c r="J28" s="328" t="b">
        <v>0</v>
      </c>
      <c r="K28" s="328" t="b">
        <v>1</v>
      </c>
      <c r="L28" s="328" t="b">
        <v>0</v>
      </c>
      <c r="M28" s="328" t="b">
        <v>0</v>
      </c>
      <c r="N28" s="328" t="b">
        <v>0</v>
      </c>
      <c r="O28" s="328" t="b">
        <v>0</v>
      </c>
      <c r="P28" s="328" t="b">
        <v>0</v>
      </c>
      <c r="Q28" s="878" t="s">
        <v>1534</v>
      </c>
    </row>
    <row r="29" spans="1:17" ht="21" customHeight="1">
      <c r="A29" s="902" t="s">
        <v>1631</v>
      </c>
      <c r="B29" s="327" t="s">
        <v>872</v>
      </c>
      <c r="C29" s="812">
        <v>45</v>
      </c>
      <c r="E29" s="328" t="b">
        <v>0</v>
      </c>
      <c r="F29" s="328" t="b">
        <v>0</v>
      </c>
      <c r="G29" s="328" t="b">
        <v>0</v>
      </c>
      <c r="H29" s="328" t="b">
        <v>0</v>
      </c>
      <c r="I29" s="328" t="b">
        <v>0</v>
      </c>
      <c r="J29" s="328" t="b">
        <v>0</v>
      </c>
      <c r="K29" s="328" t="b">
        <v>1</v>
      </c>
      <c r="L29" s="328" t="b">
        <v>0</v>
      </c>
      <c r="M29" s="328" t="b">
        <v>0</v>
      </c>
      <c r="N29" s="328" t="b">
        <v>0</v>
      </c>
      <c r="O29" s="328" t="b">
        <v>0</v>
      </c>
      <c r="P29" s="328" t="b">
        <v>0</v>
      </c>
      <c r="Q29" s="878" t="s">
        <v>1534</v>
      </c>
    </row>
    <row r="30" spans="1:17" ht="21" customHeight="1">
      <c r="A30" s="902" t="s">
        <v>1631</v>
      </c>
      <c r="B30" s="327" t="s">
        <v>871</v>
      </c>
      <c r="C30" s="812">
        <v>10.584999999999999</v>
      </c>
      <c r="E30" s="328" t="b">
        <v>0</v>
      </c>
      <c r="F30" s="328" t="b">
        <v>0</v>
      </c>
      <c r="G30" s="328" t="b">
        <v>0</v>
      </c>
      <c r="H30" s="328" t="b">
        <v>0</v>
      </c>
      <c r="I30" s="328" t="b">
        <v>0</v>
      </c>
      <c r="J30" s="328" t="b">
        <v>0</v>
      </c>
      <c r="K30" s="328" t="b">
        <v>1</v>
      </c>
      <c r="L30" s="328" t="b">
        <v>0</v>
      </c>
      <c r="M30" s="328" t="b">
        <v>0</v>
      </c>
      <c r="N30" s="328" t="b">
        <v>0</v>
      </c>
      <c r="O30" s="328" t="b">
        <v>0</v>
      </c>
      <c r="P30" s="328" t="b">
        <v>0</v>
      </c>
      <c r="Q30" s="878" t="s">
        <v>1534</v>
      </c>
    </row>
    <row r="31" spans="1:17" ht="21" customHeight="1">
      <c r="A31" s="902" t="s">
        <v>1631</v>
      </c>
      <c r="B31" s="327" t="s">
        <v>873</v>
      </c>
      <c r="C31" s="812">
        <v>50</v>
      </c>
      <c r="E31" s="328" t="b">
        <v>0</v>
      </c>
      <c r="F31" s="328" t="b">
        <v>0</v>
      </c>
      <c r="G31" s="328" t="b">
        <v>0</v>
      </c>
      <c r="H31" s="328" t="b">
        <v>0</v>
      </c>
      <c r="I31" s="328" t="b">
        <v>0</v>
      </c>
      <c r="J31" s="328" t="b">
        <v>0</v>
      </c>
      <c r="K31" s="328" t="b">
        <v>1</v>
      </c>
      <c r="L31" s="328" t="b">
        <v>0</v>
      </c>
      <c r="M31" s="328" t="b">
        <v>0</v>
      </c>
      <c r="N31" s="328" t="b">
        <v>0</v>
      </c>
      <c r="O31" s="328" t="b">
        <v>0</v>
      </c>
      <c r="P31" s="328" t="b">
        <v>0</v>
      </c>
      <c r="Q31" s="878" t="s">
        <v>1534</v>
      </c>
    </row>
    <row r="32" spans="1:17" ht="21" customHeight="1">
      <c r="A32" s="902" t="s">
        <v>1631</v>
      </c>
      <c r="B32" s="327" t="s">
        <v>874</v>
      </c>
      <c r="C32" s="812">
        <v>9.615384615384615</v>
      </c>
      <c r="E32" s="328" t="b">
        <v>0</v>
      </c>
      <c r="F32" s="328" t="b">
        <v>0</v>
      </c>
      <c r="G32" s="328" t="b">
        <v>0</v>
      </c>
      <c r="H32" s="328" t="b">
        <v>0</v>
      </c>
      <c r="I32" s="328" t="b">
        <v>0</v>
      </c>
      <c r="J32" s="328" t="b">
        <v>0</v>
      </c>
      <c r="K32" s="328" t="b">
        <v>1</v>
      </c>
      <c r="L32" s="328" t="b">
        <v>0</v>
      </c>
      <c r="M32" s="328" t="b">
        <v>0</v>
      </c>
      <c r="N32" s="328" t="b">
        <v>0</v>
      </c>
      <c r="O32" s="328" t="b">
        <v>0</v>
      </c>
      <c r="P32" s="328" t="b">
        <v>0</v>
      </c>
      <c r="Q32" s="878" t="s">
        <v>1534</v>
      </c>
    </row>
    <row r="33" spans="1:17" ht="21" customHeight="1">
      <c r="A33" s="902" t="s">
        <v>1631</v>
      </c>
      <c r="B33" s="327" t="s">
        <v>875</v>
      </c>
      <c r="C33" s="812">
        <v>0.56000000000000005</v>
      </c>
      <c r="E33" s="328" t="b">
        <v>0</v>
      </c>
      <c r="F33" s="328" t="b">
        <v>0</v>
      </c>
      <c r="G33" s="328" t="b">
        <v>0</v>
      </c>
      <c r="H33" s="328" t="b">
        <v>0</v>
      </c>
      <c r="I33" s="328" t="b">
        <v>0</v>
      </c>
      <c r="J33" s="328" t="b">
        <v>0</v>
      </c>
      <c r="K33" s="328" t="b">
        <v>1</v>
      </c>
      <c r="L33" s="328" t="b">
        <v>0</v>
      </c>
      <c r="M33" s="328" t="b">
        <v>0</v>
      </c>
      <c r="N33" s="328" t="b">
        <v>0</v>
      </c>
      <c r="O33" s="328" t="b">
        <v>0</v>
      </c>
      <c r="P33" s="328" t="b">
        <v>0</v>
      </c>
      <c r="Q33" s="878" t="s">
        <v>1534</v>
      </c>
    </row>
    <row r="34" spans="1:17" ht="21" customHeight="1">
      <c r="A34" s="902" t="s">
        <v>1631</v>
      </c>
      <c r="B34" s="327" t="s">
        <v>876</v>
      </c>
      <c r="C34" s="812">
        <v>0.95</v>
      </c>
      <c r="E34" s="328" t="b">
        <v>0</v>
      </c>
      <c r="F34" s="328" t="b">
        <v>0</v>
      </c>
      <c r="G34" s="328" t="b">
        <v>0</v>
      </c>
      <c r="H34" s="328" t="b">
        <v>0</v>
      </c>
      <c r="I34" s="328" t="b">
        <v>0</v>
      </c>
      <c r="J34" s="328" t="b">
        <v>0</v>
      </c>
      <c r="K34" s="328" t="b">
        <v>1</v>
      </c>
      <c r="L34" s="328" t="b">
        <v>0</v>
      </c>
      <c r="M34" s="328" t="b">
        <v>0</v>
      </c>
      <c r="N34" s="328" t="b">
        <v>0</v>
      </c>
      <c r="O34" s="328" t="b">
        <v>0</v>
      </c>
      <c r="P34" s="328" t="b">
        <v>0</v>
      </c>
      <c r="Q34" s="878" t="s">
        <v>1534</v>
      </c>
    </row>
    <row r="35" spans="1:17" ht="21" customHeight="1">
      <c r="A35" s="902" t="s">
        <v>1631</v>
      </c>
      <c r="B35" s="327" t="s">
        <v>877</v>
      </c>
      <c r="C35" s="812">
        <v>9.5</v>
      </c>
      <c r="E35" s="328" t="b">
        <v>0</v>
      </c>
      <c r="F35" s="328" t="b">
        <v>0</v>
      </c>
      <c r="G35" s="328" t="b">
        <v>0</v>
      </c>
      <c r="H35" s="328" t="b">
        <v>0</v>
      </c>
      <c r="I35" s="328" t="b">
        <v>0</v>
      </c>
      <c r="J35" s="328" t="b">
        <v>0</v>
      </c>
      <c r="K35" s="328" t="b">
        <v>1</v>
      </c>
      <c r="L35" s="328" t="b">
        <v>0</v>
      </c>
      <c r="M35" s="328" t="b">
        <v>0</v>
      </c>
      <c r="N35" s="328" t="b">
        <v>0</v>
      </c>
      <c r="O35" s="328" t="b">
        <v>0</v>
      </c>
      <c r="P35" s="328" t="b">
        <v>0</v>
      </c>
      <c r="Q35" s="878" t="s">
        <v>1534</v>
      </c>
    </row>
  </sheetData>
  <phoneticPr fontId="7"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45"/>
  <sheetViews>
    <sheetView zoomScale="55" zoomScaleNormal="55" workbookViewId="0">
      <selection activeCell="C4" sqref="C4:C45"/>
    </sheetView>
  </sheetViews>
  <sheetFormatPr defaultRowHeight="27" customHeight="1"/>
  <cols>
    <col min="1" max="1" width="27.5" style="901" customWidth="1"/>
    <col min="2" max="2" width="21.625" style="891" customWidth="1"/>
    <col min="3" max="3" width="25.125" style="892" customWidth="1"/>
    <col min="4" max="4" width="9" style="882"/>
    <col min="5" max="16" width="9" style="882" hidden="1" customWidth="1"/>
    <col min="17" max="16384" width="9" style="882"/>
  </cols>
  <sheetData>
    <row r="1" spans="1:17" ht="57" customHeight="1">
      <c r="A1" s="897" t="s">
        <v>319</v>
      </c>
      <c r="B1" s="880"/>
      <c r="C1" s="881"/>
    </row>
    <row r="2" spans="1:17" s="885" customFormat="1" ht="27" customHeight="1">
      <c r="A2" s="900" t="s">
        <v>320</v>
      </c>
      <c r="B2" s="883" t="s">
        <v>321</v>
      </c>
      <c r="C2" s="884" t="s">
        <v>338</v>
      </c>
      <c r="E2" s="886">
        <v>1</v>
      </c>
      <c r="F2" s="886" t="s">
        <v>832</v>
      </c>
      <c r="G2" s="886">
        <v>2</v>
      </c>
      <c r="H2" s="886" t="s">
        <v>832</v>
      </c>
      <c r="I2" s="886">
        <v>3</v>
      </c>
      <c r="J2" s="886" t="s">
        <v>832</v>
      </c>
      <c r="K2" s="886">
        <v>4</v>
      </c>
      <c r="L2" s="886" t="s">
        <v>832</v>
      </c>
      <c r="M2" s="886">
        <v>5</v>
      </c>
      <c r="N2" s="886" t="s">
        <v>832</v>
      </c>
      <c r="O2" s="886">
        <v>6</v>
      </c>
      <c r="P2" s="886" t="s">
        <v>832</v>
      </c>
      <c r="Q2" s="887">
        <v>5</v>
      </c>
    </row>
    <row r="3" spans="1:17" s="885" customFormat="1" ht="27" customHeight="1">
      <c r="A3" s="900" t="s">
        <v>344</v>
      </c>
      <c r="B3" s="883" t="s">
        <v>345</v>
      </c>
      <c r="C3" s="884" t="s">
        <v>355</v>
      </c>
      <c r="Q3" s="894"/>
    </row>
    <row r="4" spans="1:17" ht="27" customHeight="1">
      <c r="A4" s="899">
        <f>MENU!Y21</f>
        <v>45300.989583333336</v>
      </c>
      <c r="B4" s="888" t="s">
        <v>240</v>
      </c>
      <c r="C4" s="889">
        <f t="shared" ref="C4:C45" si="0">IFERROR(VLOOKUP($B4,_XM_XT_THUCTE,37,0),"")</f>
        <v>0</v>
      </c>
      <c r="E4" s="882" t="b">
        <f>ISNUMBER(#REF!)</f>
        <v>0</v>
      </c>
      <c r="F4" s="882" t="b">
        <f>ISNUMBER(#REF!)</f>
        <v>0</v>
      </c>
      <c r="G4" s="882" t="b">
        <f>ISNUMBER(#REF!)</f>
        <v>0</v>
      </c>
      <c r="H4" s="882" t="b">
        <f>ISNUMBER(#REF!)</f>
        <v>0</v>
      </c>
      <c r="I4" s="882" t="b">
        <f>ISNUMBER(#REF!)</f>
        <v>0</v>
      </c>
      <c r="J4" s="882" t="b">
        <f>ISNUMBER(#REF!)</f>
        <v>0</v>
      </c>
      <c r="K4" s="882" t="b">
        <f>ISNUMBER(#REF!)</f>
        <v>0</v>
      </c>
      <c r="L4" s="882" t="b">
        <f>ISNUMBER(#REF!)</f>
        <v>0</v>
      </c>
      <c r="M4" s="882" t="b">
        <f t="shared" ref="M4:M35" si="1">ISNUMBER(C4)</f>
        <v>1</v>
      </c>
      <c r="N4" s="882" t="b">
        <f>ISNUMBER(#REF!)</f>
        <v>0</v>
      </c>
      <c r="O4" s="882" t="b">
        <f>ISNUMBER(#REF!)</f>
        <v>0</v>
      </c>
      <c r="P4" s="882" t="b">
        <f>ISNUMBER(#REF!)</f>
        <v>0</v>
      </c>
      <c r="Q4" s="890" t="str">
        <f t="shared" ref="Q4:Q35" si="2">IF(M4=TRUE,"",1)</f>
        <v/>
      </c>
    </row>
    <row r="5" spans="1:17" ht="27" customHeight="1">
      <c r="A5" s="902">
        <f>IF(B5="","",$A$4)</f>
        <v>45300.989583333336</v>
      </c>
      <c r="B5" s="888" t="s">
        <v>241</v>
      </c>
      <c r="C5" s="889">
        <f t="shared" si="0"/>
        <v>0</v>
      </c>
      <c r="E5" s="882" t="b">
        <f>ISNUMBER(#REF!)</f>
        <v>0</v>
      </c>
      <c r="F5" s="882" t="b">
        <f>ISNUMBER(#REF!)</f>
        <v>0</v>
      </c>
      <c r="G5" s="882" t="b">
        <f>ISNUMBER(#REF!)</f>
        <v>0</v>
      </c>
      <c r="H5" s="882" t="b">
        <f>ISNUMBER(#REF!)</f>
        <v>0</v>
      </c>
      <c r="I5" s="882" t="b">
        <f>ISNUMBER(#REF!)</f>
        <v>0</v>
      </c>
      <c r="J5" s="882" t="b">
        <f>ISNUMBER(#REF!)</f>
        <v>0</v>
      </c>
      <c r="K5" s="882" t="b">
        <f>ISNUMBER(#REF!)</f>
        <v>0</v>
      </c>
      <c r="L5" s="882" t="b">
        <f>ISNUMBER(#REF!)</f>
        <v>0</v>
      </c>
      <c r="M5" s="882" t="b">
        <f t="shared" si="1"/>
        <v>1</v>
      </c>
      <c r="N5" s="882" t="b">
        <f>ISNUMBER(#REF!)</f>
        <v>0</v>
      </c>
      <c r="O5" s="882" t="b">
        <f>ISNUMBER(#REF!)</f>
        <v>0</v>
      </c>
      <c r="P5" s="882" t="b">
        <f>ISNUMBER(#REF!)</f>
        <v>0</v>
      </c>
      <c r="Q5" s="890" t="str">
        <f t="shared" si="2"/>
        <v/>
      </c>
    </row>
    <row r="6" spans="1:17" ht="27" customHeight="1">
      <c r="A6" s="902">
        <f t="shared" ref="A6:A45" si="3">IF(B6="","",$A$4)</f>
        <v>45300.989583333336</v>
      </c>
      <c r="B6" s="888" t="s">
        <v>242</v>
      </c>
      <c r="C6" s="889">
        <f t="shared" si="0"/>
        <v>0</v>
      </c>
      <c r="E6" s="882" t="b">
        <f>ISNUMBER(#REF!)</f>
        <v>0</v>
      </c>
      <c r="F6" s="882" t="b">
        <f>ISNUMBER(#REF!)</f>
        <v>0</v>
      </c>
      <c r="G6" s="882" t="b">
        <f>ISNUMBER(#REF!)</f>
        <v>0</v>
      </c>
      <c r="H6" s="882" t="b">
        <f>ISNUMBER(#REF!)</f>
        <v>0</v>
      </c>
      <c r="I6" s="882" t="b">
        <f>ISNUMBER(#REF!)</f>
        <v>0</v>
      </c>
      <c r="J6" s="882" t="b">
        <f>ISNUMBER(#REF!)</f>
        <v>0</v>
      </c>
      <c r="K6" s="882" t="b">
        <f>ISNUMBER(#REF!)</f>
        <v>0</v>
      </c>
      <c r="L6" s="882" t="b">
        <f>ISNUMBER(#REF!)</f>
        <v>0</v>
      </c>
      <c r="M6" s="882" t="b">
        <f t="shared" si="1"/>
        <v>1</v>
      </c>
      <c r="N6" s="882" t="b">
        <f>ISNUMBER(#REF!)</f>
        <v>0</v>
      </c>
      <c r="O6" s="882" t="b">
        <f>ISNUMBER(#REF!)</f>
        <v>0</v>
      </c>
      <c r="P6" s="882" t="b">
        <f>ISNUMBER(#REF!)</f>
        <v>0</v>
      </c>
      <c r="Q6" s="890" t="str">
        <f t="shared" si="2"/>
        <v/>
      </c>
    </row>
    <row r="7" spans="1:17" ht="27" customHeight="1">
      <c r="A7" s="902">
        <f t="shared" si="3"/>
        <v>45300.989583333336</v>
      </c>
      <c r="B7" s="888" t="s">
        <v>243</v>
      </c>
      <c r="C7" s="889">
        <f t="shared" si="0"/>
        <v>0</v>
      </c>
      <c r="E7" s="882" t="b">
        <f>ISNUMBER(#REF!)</f>
        <v>0</v>
      </c>
      <c r="F7" s="882" t="b">
        <f>ISNUMBER(#REF!)</f>
        <v>0</v>
      </c>
      <c r="G7" s="882" t="b">
        <f>ISNUMBER(#REF!)</f>
        <v>0</v>
      </c>
      <c r="H7" s="882" t="b">
        <f>ISNUMBER(#REF!)</f>
        <v>0</v>
      </c>
      <c r="I7" s="882" t="b">
        <f>ISNUMBER(#REF!)</f>
        <v>0</v>
      </c>
      <c r="J7" s="882" t="b">
        <f>ISNUMBER(#REF!)</f>
        <v>0</v>
      </c>
      <c r="K7" s="882" t="b">
        <f>ISNUMBER(#REF!)</f>
        <v>0</v>
      </c>
      <c r="L7" s="882" t="b">
        <f>ISNUMBER(#REF!)</f>
        <v>0</v>
      </c>
      <c r="M7" s="882" t="b">
        <f t="shared" si="1"/>
        <v>1</v>
      </c>
      <c r="N7" s="882" t="b">
        <f>ISNUMBER(#REF!)</f>
        <v>0</v>
      </c>
      <c r="O7" s="882" t="b">
        <f>ISNUMBER(#REF!)</f>
        <v>0</v>
      </c>
      <c r="P7" s="882" t="b">
        <f>ISNUMBER(#REF!)</f>
        <v>0</v>
      </c>
      <c r="Q7" s="890" t="str">
        <f t="shared" si="2"/>
        <v/>
      </c>
    </row>
    <row r="8" spans="1:17" ht="27" customHeight="1">
      <c r="A8" s="902">
        <f t="shared" si="3"/>
        <v>45300.989583333336</v>
      </c>
      <c r="B8" s="888" t="s">
        <v>244</v>
      </c>
      <c r="C8" s="889">
        <f t="shared" si="0"/>
        <v>0</v>
      </c>
      <c r="E8" s="882" t="b">
        <f>ISNUMBER(#REF!)</f>
        <v>0</v>
      </c>
      <c r="F8" s="882" t="b">
        <f>ISNUMBER(#REF!)</f>
        <v>0</v>
      </c>
      <c r="G8" s="882" t="b">
        <f>ISNUMBER(#REF!)</f>
        <v>0</v>
      </c>
      <c r="H8" s="882" t="b">
        <f>ISNUMBER(#REF!)</f>
        <v>0</v>
      </c>
      <c r="I8" s="882" t="b">
        <f>ISNUMBER(#REF!)</f>
        <v>0</v>
      </c>
      <c r="J8" s="882" t="b">
        <f>ISNUMBER(#REF!)</f>
        <v>0</v>
      </c>
      <c r="K8" s="882" t="b">
        <f>ISNUMBER(#REF!)</f>
        <v>0</v>
      </c>
      <c r="L8" s="882" t="b">
        <f>ISNUMBER(#REF!)</f>
        <v>0</v>
      </c>
      <c r="M8" s="882" t="b">
        <f t="shared" si="1"/>
        <v>1</v>
      </c>
      <c r="N8" s="882" t="b">
        <f>ISNUMBER(#REF!)</f>
        <v>0</v>
      </c>
      <c r="O8" s="882" t="b">
        <f>ISNUMBER(#REF!)</f>
        <v>0</v>
      </c>
      <c r="P8" s="882" t="b">
        <f>ISNUMBER(#REF!)</f>
        <v>0</v>
      </c>
      <c r="Q8" s="890" t="str">
        <f t="shared" si="2"/>
        <v/>
      </c>
    </row>
    <row r="9" spans="1:17" ht="27" customHeight="1">
      <c r="A9" s="902">
        <f t="shared" si="3"/>
        <v>45300.989583333336</v>
      </c>
      <c r="B9" s="888" t="s">
        <v>245</v>
      </c>
      <c r="C9" s="889">
        <f t="shared" si="0"/>
        <v>0</v>
      </c>
      <c r="E9" s="882" t="b">
        <f>ISNUMBER(#REF!)</f>
        <v>0</v>
      </c>
      <c r="F9" s="882" t="b">
        <f>ISNUMBER(#REF!)</f>
        <v>0</v>
      </c>
      <c r="G9" s="882" t="b">
        <f>ISNUMBER(#REF!)</f>
        <v>0</v>
      </c>
      <c r="H9" s="882" t="b">
        <f>ISNUMBER(#REF!)</f>
        <v>0</v>
      </c>
      <c r="I9" s="882" t="b">
        <f>ISNUMBER(#REF!)</f>
        <v>0</v>
      </c>
      <c r="J9" s="882" t="b">
        <f>ISNUMBER(#REF!)</f>
        <v>0</v>
      </c>
      <c r="K9" s="882" t="b">
        <f>ISNUMBER(#REF!)</f>
        <v>0</v>
      </c>
      <c r="L9" s="882" t="b">
        <f>ISNUMBER(#REF!)</f>
        <v>0</v>
      </c>
      <c r="M9" s="882" t="b">
        <f t="shared" si="1"/>
        <v>1</v>
      </c>
      <c r="N9" s="882" t="b">
        <f>ISNUMBER(#REF!)</f>
        <v>0</v>
      </c>
      <c r="O9" s="882" t="b">
        <f>ISNUMBER(#REF!)</f>
        <v>0</v>
      </c>
      <c r="P9" s="882" t="b">
        <f>ISNUMBER(#REF!)</f>
        <v>0</v>
      </c>
      <c r="Q9" s="890" t="str">
        <f t="shared" si="2"/>
        <v/>
      </c>
    </row>
    <row r="10" spans="1:17" ht="27" customHeight="1">
      <c r="A10" s="902">
        <f t="shared" si="3"/>
        <v>45300.989583333336</v>
      </c>
      <c r="B10" s="888" t="s">
        <v>251</v>
      </c>
      <c r="C10" s="889">
        <f t="shared" si="0"/>
        <v>0</v>
      </c>
      <c r="E10" s="882" t="b">
        <f>ISNUMBER(#REF!)</f>
        <v>0</v>
      </c>
      <c r="F10" s="882" t="b">
        <f>ISNUMBER(#REF!)</f>
        <v>0</v>
      </c>
      <c r="G10" s="882" t="b">
        <f>ISNUMBER(#REF!)</f>
        <v>0</v>
      </c>
      <c r="H10" s="882" t="b">
        <f>ISNUMBER(#REF!)</f>
        <v>0</v>
      </c>
      <c r="I10" s="882" t="b">
        <f>ISNUMBER(#REF!)</f>
        <v>0</v>
      </c>
      <c r="J10" s="882" t="b">
        <f>ISNUMBER(#REF!)</f>
        <v>0</v>
      </c>
      <c r="K10" s="882" t="b">
        <f>ISNUMBER(#REF!)</f>
        <v>0</v>
      </c>
      <c r="L10" s="882" t="b">
        <f>ISNUMBER(#REF!)</f>
        <v>0</v>
      </c>
      <c r="M10" s="882" t="b">
        <f t="shared" si="1"/>
        <v>1</v>
      </c>
      <c r="N10" s="882" t="b">
        <f>ISNUMBER(#REF!)</f>
        <v>0</v>
      </c>
      <c r="O10" s="882" t="b">
        <f>ISNUMBER(#REF!)</f>
        <v>0</v>
      </c>
      <c r="P10" s="882" t="b">
        <f>ISNUMBER(#REF!)</f>
        <v>0</v>
      </c>
      <c r="Q10" s="890" t="str">
        <f t="shared" si="2"/>
        <v/>
      </c>
    </row>
    <row r="11" spans="1:17" ht="27" customHeight="1">
      <c r="A11" s="902">
        <f t="shared" si="3"/>
        <v>45300.989583333336</v>
      </c>
      <c r="B11" s="888" t="s">
        <v>253</v>
      </c>
      <c r="C11" s="889">
        <f t="shared" si="0"/>
        <v>0</v>
      </c>
      <c r="E11" s="882" t="b">
        <f>ISNUMBER(#REF!)</f>
        <v>0</v>
      </c>
      <c r="F11" s="882" t="b">
        <f>ISNUMBER(#REF!)</f>
        <v>0</v>
      </c>
      <c r="G11" s="882" t="b">
        <f>ISNUMBER(#REF!)</f>
        <v>0</v>
      </c>
      <c r="H11" s="882" t="b">
        <f>ISNUMBER(#REF!)</f>
        <v>0</v>
      </c>
      <c r="I11" s="882" t="b">
        <f>ISNUMBER(#REF!)</f>
        <v>0</v>
      </c>
      <c r="J11" s="882" t="b">
        <f>ISNUMBER(#REF!)</f>
        <v>0</v>
      </c>
      <c r="K11" s="882" t="b">
        <f>ISNUMBER(#REF!)</f>
        <v>0</v>
      </c>
      <c r="L11" s="882" t="b">
        <f>ISNUMBER(#REF!)</f>
        <v>0</v>
      </c>
      <c r="M11" s="882" t="b">
        <f t="shared" si="1"/>
        <v>1</v>
      </c>
      <c r="N11" s="882" t="b">
        <f>ISNUMBER(#REF!)</f>
        <v>0</v>
      </c>
      <c r="O11" s="882" t="b">
        <f>ISNUMBER(#REF!)</f>
        <v>0</v>
      </c>
      <c r="P11" s="882" t="b">
        <f>ISNUMBER(#REF!)</f>
        <v>0</v>
      </c>
      <c r="Q11" s="890" t="str">
        <f t="shared" si="2"/>
        <v/>
      </c>
    </row>
    <row r="12" spans="1:17" ht="27" customHeight="1">
      <c r="A12" s="902">
        <f t="shared" si="3"/>
        <v>45300.989583333336</v>
      </c>
      <c r="B12" s="888" t="s">
        <v>246</v>
      </c>
      <c r="C12" s="889">
        <f t="shared" si="0"/>
        <v>0</v>
      </c>
      <c r="E12" s="882" t="b">
        <f>ISNUMBER(#REF!)</f>
        <v>0</v>
      </c>
      <c r="F12" s="882" t="b">
        <f>ISNUMBER(#REF!)</f>
        <v>0</v>
      </c>
      <c r="G12" s="882" t="b">
        <f>ISNUMBER(#REF!)</f>
        <v>0</v>
      </c>
      <c r="H12" s="882" t="b">
        <f>ISNUMBER(#REF!)</f>
        <v>0</v>
      </c>
      <c r="I12" s="882" t="b">
        <f>ISNUMBER(#REF!)</f>
        <v>0</v>
      </c>
      <c r="J12" s="882" t="b">
        <f>ISNUMBER(#REF!)</f>
        <v>0</v>
      </c>
      <c r="K12" s="882" t="b">
        <f>ISNUMBER(#REF!)</f>
        <v>0</v>
      </c>
      <c r="L12" s="882" t="b">
        <f>ISNUMBER(#REF!)</f>
        <v>0</v>
      </c>
      <c r="M12" s="882" t="b">
        <f t="shared" si="1"/>
        <v>1</v>
      </c>
      <c r="N12" s="882" t="b">
        <f>ISNUMBER(#REF!)</f>
        <v>0</v>
      </c>
      <c r="O12" s="882" t="b">
        <f>ISNUMBER(#REF!)</f>
        <v>0</v>
      </c>
      <c r="P12" s="882" t="b">
        <f>ISNUMBER(#REF!)</f>
        <v>0</v>
      </c>
      <c r="Q12" s="890" t="str">
        <f t="shared" si="2"/>
        <v/>
      </c>
    </row>
    <row r="13" spans="1:17" ht="27" customHeight="1">
      <c r="A13" s="902">
        <f t="shared" si="3"/>
        <v>45300.989583333336</v>
      </c>
      <c r="B13" s="888" t="s">
        <v>247</v>
      </c>
      <c r="C13" s="889">
        <f t="shared" si="0"/>
        <v>0</v>
      </c>
      <c r="E13" s="882" t="b">
        <f>ISNUMBER(#REF!)</f>
        <v>0</v>
      </c>
      <c r="F13" s="882" t="b">
        <f>ISNUMBER(#REF!)</f>
        <v>0</v>
      </c>
      <c r="G13" s="882" t="b">
        <f>ISNUMBER(#REF!)</f>
        <v>0</v>
      </c>
      <c r="H13" s="882" t="b">
        <f>ISNUMBER(#REF!)</f>
        <v>0</v>
      </c>
      <c r="I13" s="882" t="b">
        <f>ISNUMBER(#REF!)</f>
        <v>0</v>
      </c>
      <c r="J13" s="882" t="b">
        <f>ISNUMBER(#REF!)</f>
        <v>0</v>
      </c>
      <c r="K13" s="882" t="b">
        <f>ISNUMBER(#REF!)</f>
        <v>0</v>
      </c>
      <c r="L13" s="882" t="b">
        <f>ISNUMBER(#REF!)</f>
        <v>0</v>
      </c>
      <c r="M13" s="882" t="b">
        <f t="shared" si="1"/>
        <v>1</v>
      </c>
      <c r="N13" s="882" t="b">
        <f>ISNUMBER(#REF!)</f>
        <v>0</v>
      </c>
      <c r="O13" s="882" t="b">
        <f>ISNUMBER(#REF!)</f>
        <v>0</v>
      </c>
      <c r="P13" s="882" t="b">
        <f>ISNUMBER(#REF!)</f>
        <v>0</v>
      </c>
      <c r="Q13" s="890" t="str">
        <f t="shared" si="2"/>
        <v/>
      </c>
    </row>
    <row r="14" spans="1:17" ht="27" customHeight="1">
      <c r="A14" s="902">
        <f t="shared" si="3"/>
        <v>45300.989583333336</v>
      </c>
      <c r="B14" s="888" t="s">
        <v>248</v>
      </c>
      <c r="C14" s="889">
        <f t="shared" si="0"/>
        <v>0</v>
      </c>
      <c r="E14" s="882" t="b">
        <f>ISNUMBER(#REF!)</f>
        <v>0</v>
      </c>
      <c r="F14" s="882" t="b">
        <f>ISNUMBER(#REF!)</f>
        <v>0</v>
      </c>
      <c r="G14" s="882" t="b">
        <f>ISNUMBER(#REF!)</f>
        <v>0</v>
      </c>
      <c r="H14" s="882" t="b">
        <f>ISNUMBER(#REF!)</f>
        <v>0</v>
      </c>
      <c r="I14" s="882" t="b">
        <f>ISNUMBER(#REF!)</f>
        <v>0</v>
      </c>
      <c r="J14" s="882" t="b">
        <f>ISNUMBER(#REF!)</f>
        <v>0</v>
      </c>
      <c r="K14" s="882" t="b">
        <f>ISNUMBER(#REF!)</f>
        <v>0</v>
      </c>
      <c r="L14" s="882" t="b">
        <f>ISNUMBER(#REF!)</f>
        <v>0</v>
      </c>
      <c r="M14" s="882" t="b">
        <f t="shared" si="1"/>
        <v>1</v>
      </c>
      <c r="N14" s="882" t="b">
        <f>ISNUMBER(#REF!)</f>
        <v>0</v>
      </c>
      <c r="O14" s="882" t="b">
        <f>ISNUMBER(#REF!)</f>
        <v>0</v>
      </c>
      <c r="P14" s="882" t="b">
        <f>ISNUMBER(#REF!)</f>
        <v>0</v>
      </c>
      <c r="Q14" s="890" t="str">
        <f t="shared" si="2"/>
        <v/>
      </c>
    </row>
    <row r="15" spans="1:17" ht="27" customHeight="1">
      <c r="A15" s="902">
        <f t="shared" si="3"/>
        <v>45300.989583333336</v>
      </c>
      <c r="B15" s="888" t="s">
        <v>249</v>
      </c>
      <c r="C15" s="889">
        <f t="shared" si="0"/>
        <v>0</v>
      </c>
      <c r="E15" s="882" t="b">
        <f>ISNUMBER(#REF!)</f>
        <v>0</v>
      </c>
      <c r="F15" s="882" t="b">
        <f>ISNUMBER(#REF!)</f>
        <v>0</v>
      </c>
      <c r="G15" s="882" t="b">
        <f>ISNUMBER(#REF!)</f>
        <v>0</v>
      </c>
      <c r="H15" s="882" t="b">
        <f>ISNUMBER(#REF!)</f>
        <v>0</v>
      </c>
      <c r="I15" s="882" t="b">
        <f>ISNUMBER(#REF!)</f>
        <v>0</v>
      </c>
      <c r="J15" s="882" t="b">
        <f>ISNUMBER(#REF!)</f>
        <v>0</v>
      </c>
      <c r="K15" s="882" t="b">
        <f>ISNUMBER(#REF!)</f>
        <v>0</v>
      </c>
      <c r="L15" s="882" t="b">
        <f>ISNUMBER(#REF!)</f>
        <v>0</v>
      </c>
      <c r="M15" s="882" t="b">
        <f t="shared" si="1"/>
        <v>1</v>
      </c>
      <c r="N15" s="882" t="b">
        <f>ISNUMBER(#REF!)</f>
        <v>0</v>
      </c>
      <c r="O15" s="882" t="b">
        <f>ISNUMBER(#REF!)</f>
        <v>0</v>
      </c>
      <c r="P15" s="882" t="b">
        <f>ISNUMBER(#REF!)</f>
        <v>0</v>
      </c>
      <c r="Q15" s="890" t="str">
        <f t="shared" si="2"/>
        <v/>
      </c>
    </row>
    <row r="16" spans="1:17" ht="27" customHeight="1">
      <c r="A16" s="902">
        <f t="shared" si="3"/>
        <v>45300.989583333336</v>
      </c>
      <c r="B16" s="888" t="s">
        <v>261</v>
      </c>
      <c r="C16" s="889">
        <f t="shared" si="0"/>
        <v>0</v>
      </c>
      <c r="E16" s="882" t="b">
        <f>ISNUMBER(#REF!)</f>
        <v>0</v>
      </c>
      <c r="F16" s="882" t="b">
        <f>ISNUMBER(#REF!)</f>
        <v>0</v>
      </c>
      <c r="G16" s="882" t="b">
        <f>ISNUMBER(#REF!)</f>
        <v>0</v>
      </c>
      <c r="H16" s="882" t="b">
        <f>ISNUMBER(#REF!)</f>
        <v>0</v>
      </c>
      <c r="I16" s="882" t="b">
        <f>ISNUMBER(#REF!)</f>
        <v>0</v>
      </c>
      <c r="J16" s="882" t="b">
        <f>ISNUMBER(#REF!)</f>
        <v>0</v>
      </c>
      <c r="K16" s="882" t="b">
        <f>ISNUMBER(#REF!)</f>
        <v>0</v>
      </c>
      <c r="L16" s="882" t="b">
        <f>ISNUMBER(#REF!)</f>
        <v>0</v>
      </c>
      <c r="M16" s="882" t="b">
        <f t="shared" si="1"/>
        <v>1</v>
      </c>
      <c r="N16" s="882" t="b">
        <f>ISNUMBER(#REF!)</f>
        <v>0</v>
      </c>
      <c r="O16" s="882" t="b">
        <f>ISNUMBER(#REF!)</f>
        <v>0</v>
      </c>
      <c r="P16" s="882" t="b">
        <f>ISNUMBER(#REF!)</f>
        <v>0</v>
      </c>
      <c r="Q16" s="890" t="str">
        <f t="shared" si="2"/>
        <v/>
      </c>
    </row>
    <row r="17" spans="1:17" ht="27" customHeight="1">
      <c r="A17" s="902">
        <f t="shared" si="3"/>
        <v>45300.989583333336</v>
      </c>
      <c r="B17" s="888" t="s">
        <v>262</v>
      </c>
      <c r="C17" s="889">
        <f t="shared" si="0"/>
        <v>0</v>
      </c>
      <c r="E17" s="882" t="b">
        <f>ISNUMBER(#REF!)</f>
        <v>0</v>
      </c>
      <c r="F17" s="882" t="b">
        <f>ISNUMBER(#REF!)</f>
        <v>0</v>
      </c>
      <c r="G17" s="882" t="b">
        <f>ISNUMBER(#REF!)</f>
        <v>0</v>
      </c>
      <c r="H17" s="882" t="b">
        <f>ISNUMBER(#REF!)</f>
        <v>0</v>
      </c>
      <c r="I17" s="882" t="b">
        <f>ISNUMBER(#REF!)</f>
        <v>0</v>
      </c>
      <c r="J17" s="882" t="b">
        <f>ISNUMBER(#REF!)</f>
        <v>0</v>
      </c>
      <c r="K17" s="882" t="b">
        <f>ISNUMBER(#REF!)</f>
        <v>0</v>
      </c>
      <c r="L17" s="882" t="b">
        <f>ISNUMBER(#REF!)</f>
        <v>0</v>
      </c>
      <c r="M17" s="882" t="b">
        <f t="shared" si="1"/>
        <v>1</v>
      </c>
      <c r="N17" s="882" t="b">
        <f>ISNUMBER(#REF!)</f>
        <v>0</v>
      </c>
      <c r="O17" s="882" t="b">
        <f>ISNUMBER(#REF!)</f>
        <v>0</v>
      </c>
      <c r="P17" s="882" t="b">
        <f>ISNUMBER(#REF!)</f>
        <v>0</v>
      </c>
      <c r="Q17" s="890" t="str">
        <f t="shared" si="2"/>
        <v/>
      </c>
    </row>
    <row r="18" spans="1:17" ht="27" customHeight="1">
      <c r="A18" s="902">
        <f t="shared" si="3"/>
        <v>45300.989583333336</v>
      </c>
      <c r="B18" s="888" t="s">
        <v>263</v>
      </c>
      <c r="C18" s="889">
        <f t="shared" si="0"/>
        <v>0</v>
      </c>
      <c r="E18" s="882" t="b">
        <f>ISNUMBER(#REF!)</f>
        <v>0</v>
      </c>
      <c r="F18" s="882" t="b">
        <f>ISNUMBER(#REF!)</f>
        <v>0</v>
      </c>
      <c r="G18" s="882" t="b">
        <f>ISNUMBER(#REF!)</f>
        <v>0</v>
      </c>
      <c r="H18" s="882" t="b">
        <f>ISNUMBER(#REF!)</f>
        <v>0</v>
      </c>
      <c r="I18" s="882" t="b">
        <f>ISNUMBER(#REF!)</f>
        <v>0</v>
      </c>
      <c r="J18" s="882" t="b">
        <f>ISNUMBER(#REF!)</f>
        <v>0</v>
      </c>
      <c r="K18" s="882" t="b">
        <f>ISNUMBER(#REF!)</f>
        <v>0</v>
      </c>
      <c r="L18" s="882" t="b">
        <f>ISNUMBER(#REF!)</f>
        <v>0</v>
      </c>
      <c r="M18" s="882" t="b">
        <f t="shared" si="1"/>
        <v>1</v>
      </c>
      <c r="N18" s="882" t="b">
        <f>ISNUMBER(#REF!)</f>
        <v>0</v>
      </c>
      <c r="O18" s="882" t="b">
        <f>ISNUMBER(#REF!)</f>
        <v>0</v>
      </c>
      <c r="P18" s="882" t="b">
        <f>ISNUMBER(#REF!)</f>
        <v>0</v>
      </c>
      <c r="Q18" s="890" t="str">
        <f t="shared" si="2"/>
        <v/>
      </c>
    </row>
    <row r="19" spans="1:17" ht="27" customHeight="1">
      <c r="A19" s="902">
        <f t="shared" si="3"/>
        <v>45300.989583333336</v>
      </c>
      <c r="B19" s="888" t="s">
        <v>264</v>
      </c>
      <c r="C19" s="889">
        <f t="shared" si="0"/>
        <v>0</v>
      </c>
      <c r="E19" s="882" t="b">
        <f>ISNUMBER(#REF!)</f>
        <v>0</v>
      </c>
      <c r="F19" s="882" t="b">
        <f>ISNUMBER(#REF!)</f>
        <v>0</v>
      </c>
      <c r="G19" s="882" t="b">
        <f>ISNUMBER(#REF!)</f>
        <v>0</v>
      </c>
      <c r="H19" s="882" t="b">
        <f>ISNUMBER(#REF!)</f>
        <v>0</v>
      </c>
      <c r="I19" s="882" t="b">
        <f>ISNUMBER(#REF!)</f>
        <v>0</v>
      </c>
      <c r="J19" s="882" t="b">
        <f>ISNUMBER(#REF!)</f>
        <v>0</v>
      </c>
      <c r="K19" s="882" t="b">
        <f>ISNUMBER(#REF!)</f>
        <v>0</v>
      </c>
      <c r="L19" s="882" t="b">
        <f>ISNUMBER(#REF!)</f>
        <v>0</v>
      </c>
      <c r="M19" s="882" t="b">
        <f t="shared" si="1"/>
        <v>1</v>
      </c>
      <c r="N19" s="882" t="b">
        <f>ISNUMBER(#REF!)</f>
        <v>0</v>
      </c>
      <c r="O19" s="882" t="b">
        <f>ISNUMBER(#REF!)</f>
        <v>0</v>
      </c>
      <c r="P19" s="882" t="b">
        <f>ISNUMBER(#REF!)</f>
        <v>0</v>
      </c>
      <c r="Q19" s="890" t="str">
        <f t="shared" si="2"/>
        <v/>
      </c>
    </row>
    <row r="20" spans="1:17" ht="27" customHeight="1">
      <c r="A20" s="902">
        <f t="shared" si="3"/>
        <v>45300.989583333336</v>
      </c>
      <c r="B20" s="888" t="s">
        <v>265</v>
      </c>
      <c r="C20" s="889">
        <f t="shared" si="0"/>
        <v>0</v>
      </c>
      <c r="E20" s="882" t="b">
        <f>ISNUMBER(#REF!)</f>
        <v>0</v>
      </c>
      <c r="F20" s="882" t="b">
        <f>ISNUMBER(#REF!)</f>
        <v>0</v>
      </c>
      <c r="G20" s="882" t="b">
        <f>ISNUMBER(#REF!)</f>
        <v>0</v>
      </c>
      <c r="H20" s="882" t="b">
        <f>ISNUMBER(#REF!)</f>
        <v>0</v>
      </c>
      <c r="I20" s="882" t="b">
        <f>ISNUMBER(#REF!)</f>
        <v>0</v>
      </c>
      <c r="J20" s="882" t="b">
        <f>ISNUMBER(#REF!)</f>
        <v>0</v>
      </c>
      <c r="K20" s="882" t="b">
        <f>ISNUMBER(#REF!)</f>
        <v>0</v>
      </c>
      <c r="L20" s="882" t="b">
        <f>ISNUMBER(#REF!)</f>
        <v>0</v>
      </c>
      <c r="M20" s="882" t="b">
        <f t="shared" si="1"/>
        <v>1</v>
      </c>
      <c r="N20" s="882" t="b">
        <f>ISNUMBER(#REF!)</f>
        <v>0</v>
      </c>
      <c r="O20" s="882" t="b">
        <f>ISNUMBER(#REF!)</f>
        <v>0</v>
      </c>
      <c r="P20" s="882" t="b">
        <f>ISNUMBER(#REF!)</f>
        <v>0</v>
      </c>
      <c r="Q20" s="890" t="str">
        <f t="shared" si="2"/>
        <v/>
      </c>
    </row>
    <row r="21" spans="1:17" ht="27" customHeight="1">
      <c r="A21" s="902">
        <f t="shared" si="3"/>
        <v>45300.989583333336</v>
      </c>
      <c r="B21" s="888" t="s">
        <v>266</v>
      </c>
      <c r="C21" s="889">
        <f t="shared" si="0"/>
        <v>0</v>
      </c>
      <c r="E21" s="882" t="b">
        <f>ISNUMBER(#REF!)</f>
        <v>0</v>
      </c>
      <c r="F21" s="882" t="b">
        <f>ISNUMBER(#REF!)</f>
        <v>0</v>
      </c>
      <c r="G21" s="882" t="b">
        <f>ISNUMBER(#REF!)</f>
        <v>0</v>
      </c>
      <c r="H21" s="882" t="b">
        <f>ISNUMBER(#REF!)</f>
        <v>0</v>
      </c>
      <c r="I21" s="882" t="b">
        <f>ISNUMBER(#REF!)</f>
        <v>0</v>
      </c>
      <c r="J21" s="882" t="b">
        <f>ISNUMBER(#REF!)</f>
        <v>0</v>
      </c>
      <c r="K21" s="882" t="b">
        <f>ISNUMBER(#REF!)</f>
        <v>0</v>
      </c>
      <c r="L21" s="882" t="b">
        <f>ISNUMBER(#REF!)</f>
        <v>0</v>
      </c>
      <c r="M21" s="882" t="b">
        <f t="shared" si="1"/>
        <v>1</v>
      </c>
      <c r="N21" s="882" t="b">
        <f>ISNUMBER(#REF!)</f>
        <v>0</v>
      </c>
      <c r="O21" s="882" t="b">
        <f>ISNUMBER(#REF!)</f>
        <v>0</v>
      </c>
      <c r="P21" s="882" t="b">
        <f>ISNUMBER(#REF!)</f>
        <v>0</v>
      </c>
      <c r="Q21" s="890" t="str">
        <f t="shared" si="2"/>
        <v/>
      </c>
    </row>
    <row r="22" spans="1:17" ht="27" customHeight="1">
      <c r="A22" s="902">
        <f t="shared" si="3"/>
        <v>45300.989583333336</v>
      </c>
      <c r="B22" s="888" t="s">
        <v>267</v>
      </c>
      <c r="C22" s="889">
        <f t="shared" si="0"/>
        <v>0</v>
      </c>
      <c r="E22" s="882" t="b">
        <f>ISNUMBER(#REF!)</f>
        <v>0</v>
      </c>
      <c r="F22" s="882" t="b">
        <f>ISNUMBER(#REF!)</f>
        <v>0</v>
      </c>
      <c r="G22" s="882" t="b">
        <f>ISNUMBER(#REF!)</f>
        <v>0</v>
      </c>
      <c r="H22" s="882" t="b">
        <f>ISNUMBER(#REF!)</f>
        <v>0</v>
      </c>
      <c r="I22" s="882" t="b">
        <f>ISNUMBER(#REF!)</f>
        <v>0</v>
      </c>
      <c r="J22" s="882" t="b">
        <f>ISNUMBER(#REF!)</f>
        <v>0</v>
      </c>
      <c r="K22" s="882" t="b">
        <f>ISNUMBER(#REF!)</f>
        <v>0</v>
      </c>
      <c r="L22" s="882" t="b">
        <f>ISNUMBER(#REF!)</f>
        <v>0</v>
      </c>
      <c r="M22" s="882" t="b">
        <f t="shared" si="1"/>
        <v>1</v>
      </c>
      <c r="N22" s="882" t="b">
        <f>ISNUMBER(#REF!)</f>
        <v>0</v>
      </c>
      <c r="O22" s="882" t="b">
        <f>ISNUMBER(#REF!)</f>
        <v>0</v>
      </c>
      <c r="P22" s="882" t="b">
        <f>ISNUMBER(#REF!)</f>
        <v>0</v>
      </c>
      <c r="Q22" s="890" t="str">
        <f t="shared" si="2"/>
        <v/>
      </c>
    </row>
    <row r="23" spans="1:17" ht="27" customHeight="1">
      <c r="A23" s="902">
        <f t="shared" si="3"/>
        <v>45300.989583333336</v>
      </c>
      <c r="B23" s="888" t="s">
        <v>268</v>
      </c>
      <c r="C23" s="889">
        <f t="shared" si="0"/>
        <v>0</v>
      </c>
      <c r="E23" s="882" t="b">
        <f>ISNUMBER(#REF!)</f>
        <v>0</v>
      </c>
      <c r="F23" s="882" t="b">
        <f>ISNUMBER(#REF!)</f>
        <v>0</v>
      </c>
      <c r="G23" s="882" t="b">
        <f>ISNUMBER(#REF!)</f>
        <v>0</v>
      </c>
      <c r="H23" s="882" t="b">
        <f>ISNUMBER(#REF!)</f>
        <v>0</v>
      </c>
      <c r="I23" s="882" t="b">
        <f>ISNUMBER(#REF!)</f>
        <v>0</v>
      </c>
      <c r="J23" s="882" t="b">
        <f>ISNUMBER(#REF!)</f>
        <v>0</v>
      </c>
      <c r="K23" s="882" t="b">
        <f>ISNUMBER(#REF!)</f>
        <v>0</v>
      </c>
      <c r="L23" s="882" t="b">
        <f>ISNUMBER(#REF!)</f>
        <v>0</v>
      </c>
      <c r="M23" s="882" t="b">
        <f t="shared" si="1"/>
        <v>1</v>
      </c>
      <c r="N23" s="882" t="b">
        <f>ISNUMBER(#REF!)</f>
        <v>0</v>
      </c>
      <c r="O23" s="882" t="b">
        <f>ISNUMBER(#REF!)</f>
        <v>0</v>
      </c>
      <c r="P23" s="882" t="b">
        <f>ISNUMBER(#REF!)</f>
        <v>0</v>
      </c>
      <c r="Q23" s="890" t="str">
        <f t="shared" si="2"/>
        <v/>
      </c>
    </row>
    <row r="24" spans="1:17" ht="27" customHeight="1">
      <c r="A24" s="902">
        <f t="shared" si="3"/>
        <v>45300.989583333336</v>
      </c>
      <c r="B24" s="888" t="s">
        <v>269</v>
      </c>
      <c r="C24" s="889">
        <f t="shared" si="0"/>
        <v>-1.0461</v>
      </c>
      <c r="E24" s="882" t="b">
        <f>ISNUMBER(#REF!)</f>
        <v>0</v>
      </c>
      <c r="F24" s="882" t="b">
        <f>ISNUMBER(#REF!)</f>
        <v>0</v>
      </c>
      <c r="G24" s="882" t="b">
        <f>ISNUMBER(#REF!)</f>
        <v>0</v>
      </c>
      <c r="H24" s="882" t="b">
        <f>ISNUMBER(#REF!)</f>
        <v>0</v>
      </c>
      <c r="I24" s="882" t="b">
        <f>ISNUMBER(#REF!)</f>
        <v>0</v>
      </c>
      <c r="J24" s="882" t="b">
        <f>ISNUMBER(#REF!)</f>
        <v>0</v>
      </c>
      <c r="K24" s="882" t="b">
        <f>ISNUMBER(#REF!)</f>
        <v>0</v>
      </c>
      <c r="L24" s="882" t="b">
        <f>ISNUMBER(#REF!)</f>
        <v>0</v>
      </c>
      <c r="M24" s="882" t="b">
        <f t="shared" si="1"/>
        <v>1</v>
      </c>
      <c r="N24" s="882" t="b">
        <f>ISNUMBER(#REF!)</f>
        <v>0</v>
      </c>
      <c r="O24" s="882" t="b">
        <f>ISNUMBER(#REF!)</f>
        <v>0</v>
      </c>
      <c r="P24" s="882" t="b">
        <f>ISNUMBER(#REF!)</f>
        <v>0</v>
      </c>
      <c r="Q24" s="890" t="str">
        <f t="shared" si="2"/>
        <v/>
      </c>
    </row>
    <row r="25" spans="1:17" ht="27" customHeight="1">
      <c r="A25" s="902">
        <f t="shared" si="3"/>
        <v>45300.989583333336</v>
      </c>
      <c r="B25" s="888" t="s">
        <v>270</v>
      </c>
      <c r="C25" s="889">
        <f t="shared" si="0"/>
        <v>0</v>
      </c>
      <c r="E25" s="882" t="b">
        <f>ISNUMBER(#REF!)</f>
        <v>0</v>
      </c>
      <c r="F25" s="882" t="b">
        <f>ISNUMBER(#REF!)</f>
        <v>0</v>
      </c>
      <c r="G25" s="882" t="b">
        <f>ISNUMBER(#REF!)</f>
        <v>0</v>
      </c>
      <c r="H25" s="882" t="b">
        <f>ISNUMBER(#REF!)</f>
        <v>0</v>
      </c>
      <c r="I25" s="882" t="b">
        <f>ISNUMBER(#REF!)</f>
        <v>0</v>
      </c>
      <c r="J25" s="882" t="b">
        <f>ISNUMBER(#REF!)</f>
        <v>0</v>
      </c>
      <c r="K25" s="882" t="b">
        <f>ISNUMBER(#REF!)</f>
        <v>0</v>
      </c>
      <c r="L25" s="882" t="b">
        <f>ISNUMBER(#REF!)</f>
        <v>0</v>
      </c>
      <c r="M25" s="882" t="b">
        <f t="shared" si="1"/>
        <v>1</v>
      </c>
      <c r="N25" s="882" t="b">
        <f>ISNUMBER(#REF!)</f>
        <v>0</v>
      </c>
      <c r="O25" s="882" t="b">
        <f>ISNUMBER(#REF!)</f>
        <v>0</v>
      </c>
      <c r="P25" s="882" t="b">
        <f>ISNUMBER(#REF!)</f>
        <v>0</v>
      </c>
      <c r="Q25" s="890" t="str">
        <f t="shared" si="2"/>
        <v/>
      </c>
    </row>
    <row r="26" spans="1:17" ht="27" customHeight="1">
      <c r="A26" s="902">
        <f t="shared" si="3"/>
        <v>45300.989583333336</v>
      </c>
      <c r="B26" s="888" t="s">
        <v>271</v>
      </c>
      <c r="C26" s="889">
        <f t="shared" si="0"/>
        <v>0</v>
      </c>
      <c r="E26" s="882" t="b">
        <f>ISNUMBER(#REF!)</f>
        <v>0</v>
      </c>
      <c r="F26" s="882" t="b">
        <f>ISNUMBER(#REF!)</f>
        <v>0</v>
      </c>
      <c r="G26" s="882" t="b">
        <f>ISNUMBER(#REF!)</f>
        <v>0</v>
      </c>
      <c r="H26" s="882" t="b">
        <f>ISNUMBER(#REF!)</f>
        <v>0</v>
      </c>
      <c r="I26" s="882" t="b">
        <f>ISNUMBER(#REF!)</f>
        <v>0</v>
      </c>
      <c r="J26" s="882" t="b">
        <f>ISNUMBER(#REF!)</f>
        <v>0</v>
      </c>
      <c r="K26" s="882" t="b">
        <f>ISNUMBER(#REF!)</f>
        <v>0</v>
      </c>
      <c r="L26" s="882" t="b">
        <f>ISNUMBER(#REF!)</f>
        <v>0</v>
      </c>
      <c r="M26" s="882" t="b">
        <f t="shared" si="1"/>
        <v>1</v>
      </c>
      <c r="N26" s="882" t="b">
        <f>ISNUMBER(#REF!)</f>
        <v>0</v>
      </c>
      <c r="O26" s="882" t="b">
        <f>ISNUMBER(#REF!)</f>
        <v>0</v>
      </c>
      <c r="P26" s="882" t="b">
        <f>ISNUMBER(#REF!)</f>
        <v>0</v>
      </c>
      <c r="Q26" s="890" t="str">
        <f t="shared" si="2"/>
        <v/>
      </c>
    </row>
    <row r="27" spans="1:17" ht="27" customHeight="1">
      <c r="A27" s="902">
        <f t="shared" si="3"/>
        <v>45300.989583333336</v>
      </c>
      <c r="B27" s="888" t="s">
        <v>272</v>
      </c>
      <c r="C27" s="889">
        <f t="shared" si="0"/>
        <v>0</v>
      </c>
      <c r="E27" s="882" t="b">
        <f>ISNUMBER(#REF!)</f>
        <v>0</v>
      </c>
      <c r="F27" s="882" t="b">
        <f>ISNUMBER(#REF!)</f>
        <v>0</v>
      </c>
      <c r="G27" s="882" t="b">
        <f>ISNUMBER(#REF!)</f>
        <v>0</v>
      </c>
      <c r="H27" s="882" t="b">
        <f>ISNUMBER(#REF!)</f>
        <v>0</v>
      </c>
      <c r="I27" s="882" t="b">
        <f>ISNUMBER(#REF!)</f>
        <v>0</v>
      </c>
      <c r="J27" s="882" t="b">
        <f>ISNUMBER(#REF!)</f>
        <v>0</v>
      </c>
      <c r="K27" s="882" t="b">
        <f>ISNUMBER(#REF!)</f>
        <v>0</v>
      </c>
      <c r="L27" s="882" t="b">
        <f>ISNUMBER(#REF!)</f>
        <v>0</v>
      </c>
      <c r="M27" s="882" t="b">
        <f t="shared" si="1"/>
        <v>1</v>
      </c>
      <c r="N27" s="882" t="b">
        <f>ISNUMBER(#REF!)</f>
        <v>0</v>
      </c>
      <c r="O27" s="882" t="b">
        <f>ISNUMBER(#REF!)</f>
        <v>0</v>
      </c>
      <c r="P27" s="882" t="b">
        <f>ISNUMBER(#REF!)</f>
        <v>0</v>
      </c>
      <c r="Q27" s="890" t="str">
        <f t="shared" si="2"/>
        <v/>
      </c>
    </row>
    <row r="28" spans="1:17" ht="27" customHeight="1">
      <c r="A28" s="902">
        <f t="shared" si="3"/>
        <v>45300.989583333336</v>
      </c>
      <c r="B28" s="888" t="s">
        <v>273</v>
      </c>
      <c r="C28" s="889">
        <f t="shared" si="0"/>
        <v>0</v>
      </c>
      <c r="E28" s="882" t="b">
        <f>ISNUMBER(#REF!)</f>
        <v>0</v>
      </c>
      <c r="F28" s="882" t="b">
        <f>ISNUMBER(#REF!)</f>
        <v>0</v>
      </c>
      <c r="G28" s="882" t="b">
        <f>ISNUMBER(#REF!)</f>
        <v>0</v>
      </c>
      <c r="H28" s="882" t="b">
        <f>ISNUMBER(#REF!)</f>
        <v>0</v>
      </c>
      <c r="I28" s="882" t="b">
        <f>ISNUMBER(#REF!)</f>
        <v>0</v>
      </c>
      <c r="J28" s="882" t="b">
        <f>ISNUMBER(#REF!)</f>
        <v>0</v>
      </c>
      <c r="K28" s="882" t="b">
        <f>ISNUMBER(#REF!)</f>
        <v>0</v>
      </c>
      <c r="L28" s="882" t="b">
        <f>ISNUMBER(#REF!)</f>
        <v>0</v>
      </c>
      <c r="M28" s="882" t="b">
        <f t="shared" si="1"/>
        <v>1</v>
      </c>
      <c r="N28" s="882" t="b">
        <f>ISNUMBER(#REF!)</f>
        <v>0</v>
      </c>
      <c r="O28" s="882" t="b">
        <f>ISNUMBER(#REF!)</f>
        <v>0</v>
      </c>
      <c r="P28" s="882" t="b">
        <f>ISNUMBER(#REF!)</f>
        <v>0</v>
      </c>
      <c r="Q28" s="890" t="str">
        <f t="shared" si="2"/>
        <v/>
      </c>
    </row>
    <row r="29" spans="1:17" ht="27" customHeight="1">
      <c r="A29" s="902">
        <f t="shared" si="3"/>
        <v>45300.989583333336</v>
      </c>
      <c r="B29" s="888" t="s">
        <v>274</v>
      </c>
      <c r="C29" s="889">
        <f t="shared" si="0"/>
        <v>0</v>
      </c>
      <c r="E29" s="882" t="b">
        <f>ISNUMBER(#REF!)</f>
        <v>0</v>
      </c>
      <c r="F29" s="882" t="b">
        <f>ISNUMBER(#REF!)</f>
        <v>0</v>
      </c>
      <c r="G29" s="882" t="b">
        <f>ISNUMBER(#REF!)</f>
        <v>0</v>
      </c>
      <c r="H29" s="882" t="b">
        <f>ISNUMBER(#REF!)</f>
        <v>0</v>
      </c>
      <c r="I29" s="882" t="b">
        <f>ISNUMBER(#REF!)</f>
        <v>0</v>
      </c>
      <c r="J29" s="882" t="b">
        <f>ISNUMBER(#REF!)</f>
        <v>0</v>
      </c>
      <c r="K29" s="882" t="b">
        <f>ISNUMBER(#REF!)</f>
        <v>0</v>
      </c>
      <c r="L29" s="882" t="b">
        <f>ISNUMBER(#REF!)</f>
        <v>0</v>
      </c>
      <c r="M29" s="882" t="b">
        <f t="shared" si="1"/>
        <v>1</v>
      </c>
      <c r="N29" s="882" t="b">
        <f>ISNUMBER(#REF!)</f>
        <v>0</v>
      </c>
      <c r="O29" s="882" t="b">
        <f>ISNUMBER(#REF!)</f>
        <v>0</v>
      </c>
      <c r="P29" s="882" t="b">
        <f>ISNUMBER(#REF!)</f>
        <v>0</v>
      </c>
      <c r="Q29" s="890" t="str">
        <f t="shared" si="2"/>
        <v/>
      </c>
    </row>
    <row r="30" spans="1:17" ht="27" customHeight="1">
      <c r="A30" s="902">
        <f t="shared" si="3"/>
        <v>45300.989583333336</v>
      </c>
      <c r="B30" s="888" t="s">
        <v>284</v>
      </c>
      <c r="C30" s="889">
        <f t="shared" si="0"/>
        <v>0</v>
      </c>
      <c r="E30" s="882" t="b">
        <f>ISNUMBER(#REF!)</f>
        <v>0</v>
      </c>
      <c r="F30" s="882" t="b">
        <f>ISNUMBER(#REF!)</f>
        <v>0</v>
      </c>
      <c r="G30" s="882" t="b">
        <f>ISNUMBER(#REF!)</f>
        <v>0</v>
      </c>
      <c r="H30" s="882" t="b">
        <f>ISNUMBER(#REF!)</f>
        <v>0</v>
      </c>
      <c r="I30" s="882" t="b">
        <f>ISNUMBER(#REF!)</f>
        <v>0</v>
      </c>
      <c r="J30" s="882" t="b">
        <f>ISNUMBER(#REF!)</f>
        <v>0</v>
      </c>
      <c r="K30" s="882" t="b">
        <f>ISNUMBER(#REF!)</f>
        <v>0</v>
      </c>
      <c r="L30" s="882" t="b">
        <f>ISNUMBER(#REF!)</f>
        <v>0</v>
      </c>
      <c r="M30" s="882" t="b">
        <f t="shared" si="1"/>
        <v>1</v>
      </c>
      <c r="N30" s="882" t="b">
        <f>ISNUMBER(#REF!)</f>
        <v>0</v>
      </c>
      <c r="O30" s="882" t="b">
        <f>ISNUMBER(#REF!)</f>
        <v>0</v>
      </c>
      <c r="P30" s="882" t="b">
        <f>ISNUMBER(#REF!)</f>
        <v>0</v>
      </c>
      <c r="Q30" s="890" t="str">
        <f t="shared" si="2"/>
        <v/>
      </c>
    </row>
    <row r="31" spans="1:17" ht="27" customHeight="1">
      <c r="A31" s="902">
        <f t="shared" si="3"/>
        <v>45300.989583333336</v>
      </c>
      <c r="B31" s="888" t="s">
        <v>285</v>
      </c>
      <c r="C31" s="889">
        <f t="shared" si="0"/>
        <v>0</v>
      </c>
      <c r="E31" s="882" t="b">
        <f>ISNUMBER(#REF!)</f>
        <v>0</v>
      </c>
      <c r="F31" s="882" t="b">
        <f>ISNUMBER(#REF!)</f>
        <v>0</v>
      </c>
      <c r="G31" s="882" t="b">
        <f>ISNUMBER(#REF!)</f>
        <v>0</v>
      </c>
      <c r="H31" s="882" t="b">
        <f>ISNUMBER(#REF!)</f>
        <v>0</v>
      </c>
      <c r="I31" s="882" t="b">
        <f>ISNUMBER(#REF!)</f>
        <v>0</v>
      </c>
      <c r="J31" s="882" t="b">
        <f>ISNUMBER(#REF!)</f>
        <v>0</v>
      </c>
      <c r="K31" s="882" t="b">
        <f>ISNUMBER(#REF!)</f>
        <v>0</v>
      </c>
      <c r="L31" s="882" t="b">
        <f>ISNUMBER(#REF!)</f>
        <v>0</v>
      </c>
      <c r="M31" s="882" t="b">
        <f t="shared" si="1"/>
        <v>1</v>
      </c>
      <c r="N31" s="882" t="b">
        <f>ISNUMBER(#REF!)</f>
        <v>0</v>
      </c>
      <c r="O31" s="882" t="b">
        <f>ISNUMBER(#REF!)</f>
        <v>0</v>
      </c>
      <c r="P31" s="882" t="b">
        <f>ISNUMBER(#REF!)</f>
        <v>0</v>
      </c>
      <c r="Q31" s="890" t="str">
        <f t="shared" si="2"/>
        <v/>
      </c>
    </row>
    <row r="32" spans="1:17" ht="27" customHeight="1">
      <c r="A32" s="902">
        <f t="shared" si="3"/>
        <v>45300.989583333336</v>
      </c>
      <c r="B32" s="888" t="s">
        <v>286</v>
      </c>
      <c r="C32" s="889">
        <f t="shared" si="0"/>
        <v>0</v>
      </c>
      <c r="E32" s="882" t="b">
        <f>ISNUMBER(#REF!)</f>
        <v>0</v>
      </c>
      <c r="F32" s="882" t="b">
        <f>ISNUMBER(#REF!)</f>
        <v>0</v>
      </c>
      <c r="G32" s="882" t="b">
        <f>ISNUMBER(#REF!)</f>
        <v>0</v>
      </c>
      <c r="H32" s="882" t="b">
        <f>ISNUMBER(#REF!)</f>
        <v>0</v>
      </c>
      <c r="I32" s="882" t="b">
        <f>ISNUMBER(#REF!)</f>
        <v>0</v>
      </c>
      <c r="J32" s="882" t="b">
        <f>ISNUMBER(#REF!)</f>
        <v>0</v>
      </c>
      <c r="K32" s="882" t="b">
        <f>ISNUMBER(#REF!)</f>
        <v>0</v>
      </c>
      <c r="L32" s="882" t="b">
        <f>ISNUMBER(#REF!)</f>
        <v>0</v>
      </c>
      <c r="M32" s="882" t="b">
        <f t="shared" si="1"/>
        <v>1</v>
      </c>
      <c r="N32" s="882" t="b">
        <f>ISNUMBER(#REF!)</f>
        <v>0</v>
      </c>
      <c r="O32" s="882" t="b">
        <f>ISNUMBER(#REF!)</f>
        <v>0</v>
      </c>
      <c r="P32" s="882" t="b">
        <f>ISNUMBER(#REF!)</f>
        <v>0</v>
      </c>
      <c r="Q32" s="890" t="str">
        <f t="shared" si="2"/>
        <v/>
      </c>
    </row>
    <row r="33" spans="1:17" ht="27" customHeight="1">
      <c r="A33" s="902">
        <f t="shared" si="3"/>
        <v>45300.989583333336</v>
      </c>
      <c r="B33" s="888" t="s">
        <v>287</v>
      </c>
      <c r="C33" s="889">
        <f t="shared" si="0"/>
        <v>0</v>
      </c>
      <c r="E33" s="882" t="b">
        <f>ISNUMBER(#REF!)</f>
        <v>0</v>
      </c>
      <c r="F33" s="882" t="b">
        <f>ISNUMBER(#REF!)</f>
        <v>0</v>
      </c>
      <c r="G33" s="882" t="b">
        <f>ISNUMBER(#REF!)</f>
        <v>0</v>
      </c>
      <c r="H33" s="882" t="b">
        <f>ISNUMBER(#REF!)</f>
        <v>0</v>
      </c>
      <c r="I33" s="882" t="b">
        <f>ISNUMBER(#REF!)</f>
        <v>0</v>
      </c>
      <c r="J33" s="882" t="b">
        <f>ISNUMBER(#REF!)</f>
        <v>0</v>
      </c>
      <c r="K33" s="882" t="b">
        <f>ISNUMBER(#REF!)</f>
        <v>0</v>
      </c>
      <c r="L33" s="882" t="b">
        <f>ISNUMBER(#REF!)</f>
        <v>0</v>
      </c>
      <c r="M33" s="882" t="b">
        <f t="shared" si="1"/>
        <v>1</v>
      </c>
      <c r="N33" s="882" t="b">
        <f>ISNUMBER(#REF!)</f>
        <v>0</v>
      </c>
      <c r="O33" s="882" t="b">
        <f>ISNUMBER(#REF!)</f>
        <v>0</v>
      </c>
      <c r="P33" s="882" t="b">
        <f>ISNUMBER(#REF!)</f>
        <v>0</v>
      </c>
      <c r="Q33" s="890" t="str">
        <f t="shared" si="2"/>
        <v/>
      </c>
    </row>
    <row r="34" spans="1:17" ht="27" customHeight="1">
      <c r="A34" s="902">
        <f t="shared" si="3"/>
        <v>45300.989583333336</v>
      </c>
      <c r="B34" s="888" t="s">
        <v>288</v>
      </c>
      <c r="C34" s="889">
        <f t="shared" si="0"/>
        <v>0</v>
      </c>
      <c r="E34" s="882" t="b">
        <f>ISNUMBER(#REF!)</f>
        <v>0</v>
      </c>
      <c r="F34" s="882" t="b">
        <f>ISNUMBER(#REF!)</f>
        <v>0</v>
      </c>
      <c r="G34" s="882" t="b">
        <f>ISNUMBER(#REF!)</f>
        <v>0</v>
      </c>
      <c r="H34" s="882" t="b">
        <f>ISNUMBER(#REF!)</f>
        <v>0</v>
      </c>
      <c r="I34" s="882" t="b">
        <f>ISNUMBER(#REF!)</f>
        <v>0</v>
      </c>
      <c r="J34" s="882" t="b">
        <f>ISNUMBER(#REF!)</f>
        <v>0</v>
      </c>
      <c r="K34" s="882" t="b">
        <f>ISNUMBER(#REF!)</f>
        <v>0</v>
      </c>
      <c r="L34" s="882" t="b">
        <f>ISNUMBER(#REF!)</f>
        <v>0</v>
      </c>
      <c r="M34" s="882" t="b">
        <f t="shared" si="1"/>
        <v>1</v>
      </c>
      <c r="N34" s="882" t="b">
        <f>ISNUMBER(#REF!)</f>
        <v>0</v>
      </c>
      <c r="O34" s="882" t="b">
        <f>ISNUMBER(#REF!)</f>
        <v>0</v>
      </c>
      <c r="P34" s="882" t="b">
        <f>ISNUMBER(#REF!)</f>
        <v>0</v>
      </c>
      <c r="Q34" s="890" t="str">
        <f t="shared" si="2"/>
        <v/>
      </c>
    </row>
    <row r="35" spans="1:17" ht="27" customHeight="1">
      <c r="A35" s="902">
        <f t="shared" si="3"/>
        <v>45300.989583333336</v>
      </c>
      <c r="B35" s="888" t="s">
        <v>289</v>
      </c>
      <c r="C35" s="889">
        <f t="shared" si="0"/>
        <v>0</v>
      </c>
      <c r="E35" s="882" t="b">
        <f>ISNUMBER(#REF!)</f>
        <v>0</v>
      </c>
      <c r="F35" s="882" t="b">
        <f>ISNUMBER(#REF!)</f>
        <v>0</v>
      </c>
      <c r="G35" s="882" t="b">
        <f>ISNUMBER(#REF!)</f>
        <v>0</v>
      </c>
      <c r="H35" s="882" t="b">
        <f>ISNUMBER(#REF!)</f>
        <v>0</v>
      </c>
      <c r="I35" s="882" t="b">
        <f>ISNUMBER(#REF!)</f>
        <v>0</v>
      </c>
      <c r="J35" s="882" t="b">
        <f>ISNUMBER(#REF!)</f>
        <v>0</v>
      </c>
      <c r="K35" s="882" t="b">
        <f>ISNUMBER(#REF!)</f>
        <v>0</v>
      </c>
      <c r="L35" s="882" t="b">
        <f>ISNUMBER(#REF!)</f>
        <v>0</v>
      </c>
      <c r="M35" s="882" t="b">
        <f t="shared" si="1"/>
        <v>1</v>
      </c>
      <c r="N35" s="882" t="b">
        <f>ISNUMBER(#REF!)</f>
        <v>0</v>
      </c>
      <c r="O35" s="882" t="b">
        <f>ISNUMBER(#REF!)</f>
        <v>0</v>
      </c>
      <c r="P35" s="882" t="b">
        <f>ISNUMBER(#REF!)</f>
        <v>0</v>
      </c>
      <c r="Q35" s="890" t="str">
        <f t="shared" si="2"/>
        <v/>
      </c>
    </row>
    <row r="36" spans="1:17" ht="27" customHeight="1">
      <c r="A36" s="902">
        <f t="shared" si="3"/>
        <v>45300.989583333336</v>
      </c>
      <c r="B36" s="888" t="s">
        <v>290</v>
      </c>
      <c r="C36" s="889">
        <f t="shared" si="0"/>
        <v>0</v>
      </c>
      <c r="E36" s="882" t="b">
        <f>ISNUMBER(#REF!)</f>
        <v>0</v>
      </c>
      <c r="F36" s="882" t="b">
        <f>ISNUMBER(#REF!)</f>
        <v>0</v>
      </c>
      <c r="G36" s="882" t="b">
        <f>ISNUMBER(#REF!)</f>
        <v>0</v>
      </c>
      <c r="H36" s="882" t="b">
        <f>ISNUMBER(#REF!)</f>
        <v>0</v>
      </c>
      <c r="I36" s="882" t="b">
        <f>ISNUMBER(#REF!)</f>
        <v>0</v>
      </c>
      <c r="J36" s="882" t="b">
        <f>ISNUMBER(#REF!)</f>
        <v>0</v>
      </c>
      <c r="K36" s="882" t="b">
        <f>ISNUMBER(#REF!)</f>
        <v>0</v>
      </c>
      <c r="L36" s="882" t="b">
        <f>ISNUMBER(#REF!)</f>
        <v>0</v>
      </c>
      <c r="M36" s="882" t="b">
        <f t="shared" ref="M36:M45" si="4">ISNUMBER(C36)</f>
        <v>1</v>
      </c>
      <c r="N36" s="882" t="b">
        <f>ISNUMBER(#REF!)</f>
        <v>0</v>
      </c>
      <c r="O36" s="882" t="b">
        <f>ISNUMBER(#REF!)</f>
        <v>0</v>
      </c>
      <c r="P36" s="882" t="b">
        <f>ISNUMBER(#REF!)</f>
        <v>0</v>
      </c>
      <c r="Q36" s="890" t="str">
        <f t="shared" ref="Q36:Q45" si="5">IF(M36=TRUE,"",1)</f>
        <v/>
      </c>
    </row>
    <row r="37" spans="1:17" ht="27" customHeight="1">
      <c r="A37" s="902">
        <f t="shared" si="3"/>
        <v>45300.989583333336</v>
      </c>
      <c r="B37" s="888" t="s">
        <v>291</v>
      </c>
      <c r="C37" s="889">
        <f t="shared" si="0"/>
        <v>0</v>
      </c>
      <c r="E37" s="882" t="b">
        <f>ISNUMBER(#REF!)</f>
        <v>0</v>
      </c>
      <c r="F37" s="882" t="b">
        <f>ISNUMBER(#REF!)</f>
        <v>0</v>
      </c>
      <c r="G37" s="882" t="b">
        <f>ISNUMBER(#REF!)</f>
        <v>0</v>
      </c>
      <c r="H37" s="882" t="b">
        <f>ISNUMBER(#REF!)</f>
        <v>0</v>
      </c>
      <c r="I37" s="882" t="b">
        <f>ISNUMBER(#REF!)</f>
        <v>0</v>
      </c>
      <c r="J37" s="882" t="b">
        <f>ISNUMBER(#REF!)</f>
        <v>0</v>
      </c>
      <c r="K37" s="882" t="b">
        <f>ISNUMBER(#REF!)</f>
        <v>0</v>
      </c>
      <c r="L37" s="882" t="b">
        <f>ISNUMBER(#REF!)</f>
        <v>0</v>
      </c>
      <c r="M37" s="882" t="b">
        <f t="shared" si="4"/>
        <v>1</v>
      </c>
      <c r="N37" s="882" t="b">
        <f>ISNUMBER(#REF!)</f>
        <v>0</v>
      </c>
      <c r="O37" s="882" t="b">
        <f>ISNUMBER(#REF!)</f>
        <v>0</v>
      </c>
      <c r="P37" s="882" t="b">
        <f>ISNUMBER(#REF!)</f>
        <v>0</v>
      </c>
      <c r="Q37" s="890" t="str">
        <f t="shared" si="5"/>
        <v/>
      </c>
    </row>
    <row r="38" spans="1:17" ht="27" customHeight="1">
      <c r="A38" s="902">
        <f t="shared" si="3"/>
        <v>45300.989583333336</v>
      </c>
      <c r="B38" s="888" t="s">
        <v>292</v>
      </c>
      <c r="C38" s="889">
        <f t="shared" si="0"/>
        <v>-1.0461</v>
      </c>
      <c r="E38" s="882" t="b">
        <f>ISNUMBER(#REF!)</f>
        <v>0</v>
      </c>
      <c r="F38" s="882" t="b">
        <f>ISNUMBER(#REF!)</f>
        <v>0</v>
      </c>
      <c r="G38" s="882" t="b">
        <f>ISNUMBER(#REF!)</f>
        <v>0</v>
      </c>
      <c r="H38" s="882" t="b">
        <f>ISNUMBER(#REF!)</f>
        <v>0</v>
      </c>
      <c r="I38" s="882" t="b">
        <f>ISNUMBER(#REF!)</f>
        <v>0</v>
      </c>
      <c r="J38" s="882" t="b">
        <f>ISNUMBER(#REF!)</f>
        <v>0</v>
      </c>
      <c r="K38" s="882" t="b">
        <f>ISNUMBER(#REF!)</f>
        <v>0</v>
      </c>
      <c r="L38" s="882" t="b">
        <f>ISNUMBER(#REF!)</f>
        <v>0</v>
      </c>
      <c r="M38" s="882" t="b">
        <f t="shared" si="4"/>
        <v>1</v>
      </c>
      <c r="N38" s="882" t="b">
        <f>ISNUMBER(#REF!)</f>
        <v>0</v>
      </c>
      <c r="O38" s="882" t="b">
        <f>ISNUMBER(#REF!)</f>
        <v>0</v>
      </c>
      <c r="P38" s="882" t="b">
        <f>ISNUMBER(#REF!)</f>
        <v>0</v>
      </c>
      <c r="Q38" s="890" t="str">
        <f t="shared" si="5"/>
        <v/>
      </c>
    </row>
    <row r="39" spans="1:17" ht="27" customHeight="1">
      <c r="A39" s="902">
        <f t="shared" si="3"/>
        <v>45300.989583333336</v>
      </c>
      <c r="B39" s="888" t="s">
        <v>293</v>
      </c>
      <c r="C39" s="889">
        <f t="shared" si="0"/>
        <v>0</v>
      </c>
      <c r="E39" s="882" t="b">
        <f>ISNUMBER(#REF!)</f>
        <v>0</v>
      </c>
      <c r="F39" s="882" t="b">
        <f>ISNUMBER(#REF!)</f>
        <v>0</v>
      </c>
      <c r="G39" s="882" t="b">
        <f>ISNUMBER(#REF!)</f>
        <v>0</v>
      </c>
      <c r="H39" s="882" t="b">
        <f>ISNUMBER(#REF!)</f>
        <v>0</v>
      </c>
      <c r="I39" s="882" t="b">
        <f>ISNUMBER(#REF!)</f>
        <v>0</v>
      </c>
      <c r="J39" s="882" t="b">
        <f>ISNUMBER(#REF!)</f>
        <v>0</v>
      </c>
      <c r="K39" s="882" t="b">
        <f>ISNUMBER(#REF!)</f>
        <v>0</v>
      </c>
      <c r="L39" s="882" t="b">
        <f>ISNUMBER(#REF!)</f>
        <v>0</v>
      </c>
      <c r="M39" s="882" t="b">
        <f t="shared" si="4"/>
        <v>1</v>
      </c>
      <c r="N39" s="882" t="b">
        <f>ISNUMBER(#REF!)</f>
        <v>0</v>
      </c>
      <c r="O39" s="882" t="b">
        <f>ISNUMBER(#REF!)</f>
        <v>0</v>
      </c>
      <c r="P39" s="882" t="b">
        <f>ISNUMBER(#REF!)</f>
        <v>0</v>
      </c>
      <c r="Q39" s="890" t="str">
        <f t="shared" si="5"/>
        <v/>
      </c>
    </row>
    <row r="40" spans="1:17" ht="27" customHeight="1">
      <c r="A40" s="902">
        <f t="shared" si="3"/>
        <v>45300.989583333336</v>
      </c>
      <c r="B40" s="888" t="s">
        <v>294</v>
      </c>
      <c r="C40" s="889">
        <f t="shared" si="0"/>
        <v>0</v>
      </c>
      <c r="E40" s="882" t="b">
        <f>ISNUMBER(#REF!)</f>
        <v>0</v>
      </c>
      <c r="F40" s="882" t="b">
        <f>ISNUMBER(#REF!)</f>
        <v>0</v>
      </c>
      <c r="G40" s="882" t="b">
        <f>ISNUMBER(#REF!)</f>
        <v>0</v>
      </c>
      <c r="H40" s="882" t="b">
        <f>ISNUMBER(#REF!)</f>
        <v>0</v>
      </c>
      <c r="I40" s="882" t="b">
        <f>ISNUMBER(#REF!)</f>
        <v>0</v>
      </c>
      <c r="J40" s="882" t="b">
        <f>ISNUMBER(#REF!)</f>
        <v>0</v>
      </c>
      <c r="K40" s="882" t="b">
        <f>ISNUMBER(#REF!)</f>
        <v>0</v>
      </c>
      <c r="L40" s="882" t="b">
        <f>ISNUMBER(#REF!)</f>
        <v>0</v>
      </c>
      <c r="M40" s="882" t="b">
        <f t="shared" si="4"/>
        <v>1</v>
      </c>
      <c r="N40" s="882" t="b">
        <f>ISNUMBER(#REF!)</f>
        <v>0</v>
      </c>
      <c r="O40" s="882" t="b">
        <f>ISNUMBER(#REF!)</f>
        <v>0</v>
      </c>
      <c r="P40" s="882" t="b">
        <f>ISNUMBER(#REF!)</f>
        <v>0</v>
      </c>
      <c r="Q40" s="890" t="str">
        <f t="shared" si="5"/>
        <v/>
      </c>
    </row>
    <row r="41" spans="1:17" ht="27" customHeight="1">
      <c r="A41" s="902">
        <f t="shared" si="3"/>
        <v>45300.989583333336</v>
      </c>
      <c r="B41" s="888" t="s">
        <v>295</v>
      </c>
      <c r="C41" s="889">
        <f t="shared" si="0"/>
        <v>0</v>
      </c>
      <c r="E41" s="882" t="b">
        <f>ISNUMBER(#REF!)</f>
        <v>0</v>
      </c>
      <c r="F41" s="882" t="b">
        <f>ISNUMBER(#REF!)</f>
        <v>0</v>
      </c>
      <c r="G41" s="882" t="b">
        <f>ISNUMBER(#REF!)</f>
        <v>0</v>
      </c>
      <c r="H41" s="882" t="b">
        <f>ISNUMBER(#REF!)</f>
        <v>0</v>
      </c>
      <c r="I41" s="882" t="b">
        <f>ISNUMBER(#REF!)</f>
        <v>0</v>
      </c>
      <c r="J41" s="882" t="b">
        <f>ISNUMBER(#REF!)</f>
        <v>0</v>
      </c>
      <c r="K41" s="882" t="b">
        <f>ISNUMBER(#REF!)</f>
        <v>0</v>
      </c>
      <c r="L41" s="882" t="b">
        <f>ISNUMBER(#REF!)</f>
        <v>0</v>
      </c>
      <c r="M41" s="882" t="b">
        <f t="shared" si="4"/>
        <v>1</v>
      </c>
      <c r="N41" s="882" t="b">
        <f>ISNUMBER(#REF!)</f>
        <v>0</v>
      </c>
      <c r="O41" s="882" t="b">
        <f>ISNUMBER(#REF!)</f>
        <v>0</v>
      </c>
      <c r="P41" s="882" t="b">
        <f>ISNUMBER(#REF!)</f>
        <v>0</v>
      </c>
      <c r="Q41" s="890" t="str">
        <f t="shared" si="5"/>
        <v/>
      </c>
    </row>
    <row r="42" spans="1:17" ht="27" customHeight="1">
      <c r="A42" s="902">
        <f t="shared" si="3"/>
        <v>45300.989583333336</v>
      </c>
      <c r="B42" s="888" t="s">
        <v>296</v>
      </c>
      <c r="C42" s="889">
        <f t="shared" si="0"/>
        <v>0</v>
      </c>
      <c r="E42" s="882" t="b">
        <f>ISNUMBER(#REF!)</f>
        <v>0</v>
      </c>
      <c r="F42" s="882" t="b">
        <f>ISNUMBER(#REF!)</f>
        <v>0</v>
      </c>
      <c r="G42" s="882" t="b">
        <f>ISNUMBER(#REF!)</f>
        <v>0</v>
      </c>
      <c r="H42" s="882" t="b">
        <f>ISNUMBER(#REF!)</f>
        <v>0</v>
      </c>
      <c r="I42" s="882" t="b">
        <f>ISNUMBER(#REF!)</f>
        <v>0</v>
      </c>
      <c r="J42" s="882" t="b">
        <f>ISNUMBER(#REF!)</f>
        <v>0</v>
      </c>
      <c r="K42" s="882" t="b">
        <f>ISNUMBER(#REF!)</f>
        <v>0</v>
      </c>
      <c r="L42" s="882" t="b">
        <f>ISNUMBER(#REF!)</f>
        <v>0</v>
      </c>
      <c r="M42" s="882" t="b">
        <f t="shared" si="4"/>
        <v>1</v>
      </c>
      <c r="N42" s="882" t="b">
        <f>ISNUMBER(#REF!)</f>
        <v>0</v>
      </c>
      <c r="O42" s="882" t="b">
        <f>ISNUMBER(#REF!)</f>
        <v>0</v>
      </c>
      <c r="P42" s="882" t="b">
        <f>ISNUMBER(#REF!)</f>
        <v>0</v>
      </c>
      <c r="Q42" s="890" t="str">
        <f t="shared" si="5"/>
        <v/>
      </c>
    </row>
    <row r="43" spans="1:17" ht="27" customHeight="1">
      <c r="A43" s="902">
        <f t="shared" si="3"/>
        <v>45300.989583333336</v>
      </c>
      <c r="B43" s="888" t="s">
        <v>297</v>
      </c>
      <c r="C43" s="889">
        <f t="shared" si="0"/>
        <v>0</v>
      </c>
      <c r="E43" s="882" t="b">
        <f>ISNUMBER(#REF!)</f>
        <v>0</v>
      </c>
      <c r="F43" s="882" t="b">
        <f>ISNUMBER(#REF!)</f>
        <v>0</v>
      </c>
      <c r="G43" s="882" t="b">
        <f>ISNUMBER(#REF!)</f>
        <v>0</v>
      </c>
      <c r="H43" s="882" t="b">
        <f>ISNUMBER(#REF!)</f>
        <v>0</v>
      </c>
      <c r="I43" s="882" t="b">
        <f>ISNUMBER(#REF!)</f>
        <v>0</v>
      </c>
      <c r="J43" s="882" t="b">
        <f>ISNUMBER(#REF!)</f>
        <v>0</v>
      </c>
      <c r="K43" s="882" t="b">
        <f>ISNUMBER(#REF!)</f>
        <v>0</v>
      </c>
      <c r="L43" s="882" t="b">
        <f>ISNUMBER(#REF!)</f>
        <v>0</v>
      </c>
      <c r="M43" s="882" t="b">
        <f t="shared" si="4"/>
        <v>1</v>
      </c>
      <c r="N43" s="882" t="b">
        <f>ISNUMBER(#REF!)</f>
        <v>0</v>
      </c>
      <c r="O43" s="882" t="b">
        <f>ISNUMBER(#REF!)</f>
        <v>0</v>
      </c>
      <c r="P43" s="882" t="b">
        <f>ISNUMBER(#REF!)</f>
        <v>0</v>
      </c>
      <c r="Q43" s="890" t="str">
        <f t="shared" si="5"/>
        <v/>
      </c>
    </row>
    <row r="44" spans="1:17" ht="27" customHeight="1">
      <c r="A44" s="902">
        <f t="shared" si="3"/>
        <v>45300.989583333336</v>
      </c>
      <c r="B44" s="888" t="s">
        <v>307</v>
      </c>
      <c r="C44" s="889">
        <f t="shared" si="0"/>
        <v>0</v>
      </c>
      <c r="E44" s="882" t="b">
        <f>ISNUMBER(#REF!)</f>
        <v>0</v>
      </c>
      <c r="F44" s="882" t="b">
        <f>ISNUMBER(#REF!)</f>
        <v>0</v>
      </c>
      <c r="G44" s="882" t="b">
        <f>ISNUMBER(#REF!)</f>
        <v>0</v>
      </c>
      <c r="H44" s="882" t="b">
        <f>ISNUMBER(#REF!)</f>
        <v>0</v>
      </c>
      <c r="I44" s="882" t="b">
        <f>ISNUMBER(#REF!)</f>
        <v>0</v>
      </c>
      <c r="J44" s="882" t="b">
        <f>ISNUMBER(#REF!)</f>
        <v>0</v>
      </c>
      <c r="K44" s="882" t="b">
        <f>ISNUMBER(#REF!)</f>
        <v>0</v>
      </c>
      <c r="L44" s="882" t="b">
        <f>ISNUMBER(#REF!)</f>
        <v>0</v>
      </c>
      <c r="M44" s="882" t="b">
        <f t="shared" si="4"/>
        <v>1</v>
      </c>
      <c r="N44" s="882" t="b">
        <f>ISNUMBER(#REF!)</f>
        <v>0</v>
      </c>
      <c r="O44" s="882" t="b">
        <f>ISNUMBER(#REF!)</f>
        <v>0</v>
      </c>
      <c r="P44" s="882" t="b">
        <f>ISNUMBER(#REF!)</f>
        <v>0</v>
      </c>
      <c r="Q44" s="890" t="str">
        <f t="shared" si="5"/>
        <v/>
      </c>
    </row>
    <row r="45" spans="1:17" ht="27" customHeight="1">
      <c r="A45" s="902">
        <f t="shared" si="3"/>
        <v>45300.989583333336</v>
      </c>
      <c r="B45" s="888" t="s">
        <v>308</v>
      </c>
      <c r="C45" s="889">
        <f t="shared" si="0"/>
        <v>0</v>
      </c>
      <c r="E45" s="882" t="b">
        <f>ISNUMBER(#REF!)</f>
        <v>0</v>
      </c>
      <c r="F45" s="882" t="b">
        <f>ISNUMBER(#REF!)</f>
        <v>0</v>
      </c>
      <c r="G45" s="882" t="b">
        <f>ISNUMBER(#REF!)</f>
        <v>0</v>
      </c>
      <c r="H45" s="882" t="b">
        <f>ISNUMBER(#REF!)</f>
        <v>0</v>
      </c>
      <c r="I45" s="882" t="b">
        <f>ISNUMBER(#REF!)</f>
        <v>0</v>
      </c>
      <c r="J45" s="882" t="b">
        <f>ISNUMBER(#REF!)</f>
        <v>0</v>
      </c>
      <c r="K45" s="882" t="b">
        <f>ISNUMBER(#REF!)</f>
        <v>0</v>
      </c>
      <c r="L45" s="882" t="b">
        <f>ISNUMBER(#REF!)</f>
        <v>0</v>
      </c>
      <c r="M45" s="882" t="b">
        <f t="shared" si="4"/>
        <v>1</v>
      </c>
      <c r="N45" s="882" t="b">
        <f>ISNUMBER(#REF!)</f>
        <v>0</v>
      </c>
      <c r="O45" s="882" t="b">
        <f>ISNUMBER(#REF!)</f>
        <v>0</v>
      </c>
      <c r="P45" s="882" t="b">
        <f>ISNUMBER(#REF!)</f>
        <v>0</v>
      </c>
      <c r="Q45" s="890" t="str">
        <f t="shared" si="5"/>
        <v/>
      </c>
    </row>
  </sheetData>
  <phoneticPr fontId="7"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35"/>
  <sheetViews>
    <sheetView zoomScale="70" zoomScaleNormal="70" workbookViewId="0">
      <selection activeCell="A29" sqref="A29:XFD45"/>
    </sheetView>
  </sheetViews>
  <sheetFormatPr defaultRowHeight="19.5"/>
  <cols>
    <col min="1" max="1" width="24.5" style="901" customWidth="1"/>
    <col min="2" max="2" width="23" style="891" customWidth="1"/>
    <col min="3" max="3" width="20.125" style="892" customWidth="1"/>
    <col min="4" max="4" width="9" style="882"/>
    <col min="5" max="16" width="9" style="882" hidden="1" customWidth="1"/>
    <col min="17" max="16384" width="9" style="882"/>
  </cols>
  <sheetData>
    <row r="1" spans="1:17" ht="71.45" customHeight="1">
      <c r="A1" s="897" t="s">
        <v>319</v>
      </c>
      <c r="B1" s="880"/>
      <c r="C1" s="881"/>
    </row>
    <row r="2" spans="1:17" s="885" customFormat="1" ht="18.75">
      <c r="A2" s="900" t="s">
        <v>320</v>
      </c>
      <c r="B2" s="883" t="s">
        <v>321</v>
      </c>
      <c r="C2" s="884" t="s">
        <v>341</v>
      </c>
      <c r="E2" s="886">
        <v>1</v>
      </c>
      <c r="F2" s="886" t="s">
        <v>832</v>
      </c>
      <c r="G2" s="886">
        <v>2</v>
      </c>
      <c r="H2" s="886" t="s">
        <v>832</v>
      </c>
      <c r="I2" s="886">
        <v>3</v>
      </c>
      <c r="J2" s="886" t="s">
        <v>832</v>
      </c>
      <c r="K2" s="886">
        <v>4</v>
      </c>
      <c r="L2" s="886" t="s">
        <v>832</v>
      </c>
      <c r="M2" s="886">
        <v>5</v>
      </c>
      <c r="N2" s="886" t="s">
        <v>832</v>
      </c>
      <c r="O2" s="886">
        <v>6</v>
      </c>
      <c r="P2" s="886" t="s">
        <v>832</v>
      </c>
      <c r="Q2" s="887">
        <v>6</v>
      </c>
    </row>
    <row r="3" spans="1:17" s="885" customFormat="1" ht="18.75">
      <c r="A3" s="900" t="s">
        <v>344</v>
      </c>
      <c r="B3" s="883" t="s">
        <v>345</v>
      </c>
      <c r="C3" s="884" t="s">
        <v>356</v>
      </c>
      <c r="Q3" s="894"/>
    </row>
    <row r="4" spans="1:17">
      <c r="A4" s="905" t="s">
        <v>1632</v>
      </c>
      <c r="B4" s="327" t="s">
        <v>263</v>
      </c>
      <c r="C4" s="889">
        <v>72.688000000000002</v>
      </c>
      <c r="E4" s="882" t="b">
        <v>0</v>
      </c>
      <c r="F4" s="882" t="b">
        <v>0</v>
      </c>
      <c r="G4" s="882" t="b">
        <v>0</v>
      </c>
      <c r="H4" s="882" t="b">
        <v>0</v>
      </c>
      <c r="I4" s="882" t="b">
        <v>0</v>
      </c>
      <c r="J4" s="882" t="b">
        <v>0</v>
      </c>
      <c r="K4" s="882" t="b">
        <v>0</v>
      </c>
      <c r="L4" s="882" t="b">
        <v>0</v>
      </c>
      <c r="M4" s="882" t="b">
        <v>0</v>
      </c>
      <c r="N4" s="882" t="b">
        <v>0</v>
      </c>
      <c r="O4" s="882" t="b">
        <v>1</v>
      </c>
      <c r="P4" s="882" t="b">
        <v>0</v>
      </c>
      <c r="Q4" s="890" t="s">
        <v>1534</v>
      </c>
    </row>
    <row r="5" spans="1:17">
      <c r="A5" s="905" t="s">
        <v>1632</v>
      </c>
      <c r="B5" s="327" t="s">
        <v>264</v>
      </c>
      <c r="C5" s="889">
        <v>71.39</v>
      </c>
      <c r="E5" s="882" t="b">
        <v>0</v>
      </c>
      <c r="F5" s="882" t="b">
        <v>0</v>
      </c>
      <c r="G5" s="882" t="b">
        <v>0</v>
      </c>
      <c r="H5" s="882" t="b">
        <v>0</v>
      </c>
      <c r="I5" s="882" t="b">
        <v>0</v>
      </c>
      <c r="J5" s="882" t="b">
        <v>0</v>
      </c>
      <c r="K5" s="882" t="b">
        <v>0</v>
      </c>
      <c r="L5" s="882" t="b">
        <v>0</v>
      </c>
      <c r="M5" s="882" t="b">
        <v>0</v>
      </c>
      <c r="N5" s="882" t="b">
        <v>0</v>
      </c>
      <c r="O5" s="882" t="b">
        <v>1</v>
      </c>
      <c r="P5" s="882" t="b">
        <v>0</v>
      </c>
      <c r="Q5" s="890" t="s">
        <v>1534</v>
      </c>
    </row>
    <row r="6" spans="1:17">
      <c r="A6" s="905" t="s">
        <v>1632</v>
      </c>
      <c r="B6" s="327" t="s">
        <v>265</v>
      </c>
      <c r="C6" s="889">
        <v>60.521999999999998</v>
      </c>
      <c r="E6" s="882" t="b">
        <v>0</v>
      </c>
      <c r="F6" s="882" t="b">
        <v>0</v>
      </c>
      <c r="G6" s="882" t="b">
        <v>0</v>
      </c>
      <c r="H6" s="882" t="b">
        <v>0</v>
      </c>
      <c r="I6" s="882" t="b">
        <v>0</v>
      </c>
      <c r="J6" s="882" t="b">
        <v>0</v>
      </c>
      <c r="K6" s="882" t="b">
        <v>0</v>
      </c>
      <c r="L6" s="882" t="b">
        <v>0</v>
      </c>
      <c r="M6" s="882" t="b">
        <v>0</v>
      </c>
      <c r="N6" s="882" t="b">
        <v>0</v>
      </c>
      <c r="O6" s="882" t="b">
        <v>1</v>
      </c>
      <c r="P6" s="882" t="b">
        <v>0</v>
      </c>
      <c r="Q6" s="890" t="s">
        <v>1534</v>
      </c>
    </row>
    <row r="7" spans="1:17">
      <c r="A7" s="905" t="s">
        <v>1632</v>
      </c>
      <c r="B7" s="327" t="s">
        <v>266</v>
      </c>
      <c r="C7" s="889">
        <v>58.673999999999999</v>
      </c>
      <c r="E7" s="882" t="b">
        <v>0</v>
      </c>
      <c r="F7" s="882" t="b">
        <v>0</v>
      </c>
      <c r="G7" s="882" t="b">
        <v>0</v>
      </c>
      <c r="H7" s="882" t="b">
        <v>0</v>
      </c>
      <c r="I7" s="882" t="b">
        <v>0</v>
      </c>
      <c r="J7" s="882" t="b">
        <v>0</v>
      </c>
      <c r="K7" s="882" t="b">
        <v>0</v>
      </c>
      <c r="L7" s="882" t="b">
        <v>0</v>
      </c>
      <c r="M7" s="882" t="b">
        <v>0</v>
      </c>
      <c r="N7" s="882" t="b">
        <v>0</v>
      </c>
      <c r="O7" s="882" t="b">
        <v>1</v>
      </c>
      <c r="P7" s="882" t="b">
        <v>0</v>
      </c>
      <c r="Q7" s="890" t="s">
        <v>1534</v>
      </c>
    </row>
    <row r="8" spans="1:17">
      <c r="A8" s="905" t="s">
        <v>1632</v>
      </c>
      <c r="B8" s="327" t="s">
        <v>267</v>
      </c>
      <c r="C8" s="889">
        <v>146.4</v>
      </c>
      <c r="E8" s="882" t="b">
        <v>0</v>
      </c>
      <c r="F8" s="882" t="b">
        <v>0</v>
      </c>
      <c r="G8" s="882" t="b">
        <v>0</v>
      </c>
      <c r="H8" s="882" t="b">
        <v>0</v>
      </c>
      <c r="I8" s="882" t="b">
        <v>0</v>
      </c>
      <c r="J8" s="882" t="b">
        <v>0</v>
      </c>
      <c r="K8" s="882" t="b">
        <v>0</v>
      </c>
      <c r="L8" s="882" t="b">
        <v>0</v>
      </c>
      <c r="M8" s="882" t="b">
        <v>0</v>
      </c>
      <c r="N8" s="882" t="b">
        <v>0</v>
      </c>
      <c r="O8" s="882" t="b">
        <v>1</v>
      </c>
      <c r="P8" s="882" t="b">
        <v>0</v>
      </c>
      <c r="Q8" s="890" t="s">
        <v>1534</v>
      </c>
    </row>
    <row r="9" spans="1:17">
      <c r="A9" s="905" t="s">
        <v>1632</v>
      </c>
      <c r="B9" s="327" t="s">
        <v>268</v>
      </c>
      <c r="C9" s="889">
        <v>10.920000000000002</v>
      </c>
      <c r="E9" s="882" t="b">
        <v>0</v>
      </c>
      <c r="F9" s="882" t="b">
        <v>0</v>
      </c>
      <c r="G9" s="882" t="b">
        <v>0</v>
      </c>
      <c r="H9" s="882" t="b">
        <v>0</v>
      </c>
      <c r="I9" s="882" t="b">
        <v>0</v>
      </c>
      <c r="J9" s="882" t="b">
        <v>0</v>
      </c>
      <c r="K9" s="882" t="b">
        <v>0</v>
      </c>
      <c r="L9" s="882" t="b">
        <v>0</v>
      </c>
      <c r="M9" s="882" t="b">
        <v>0</v>
      </c>
      <c r="N9" s="882" t="b">
        <v>0</v>
      </c>
      <c r="O9" s="882" t="b">
        <v>1</v>
      </c>
      <c r="P9" s="882" t="b">
        <v>0</v>
      </c>
      <c r="Q9" s="890" t="s">
        <v>1534</v>
      </c>
    </row>
    <row r="10" spans="1:17">
      <c r="A10" s="905" t="s">
        <v>1632</v>
      </c>
      <c r="B10" s="327" t="s">
        <v>269</v>
      </c>
      <c r="C10" s="889">
        <v>7.5126400000000002</v>
      </c>
      <c r="E10" s="882" t="b">
        <v>0</v>
      </c>
      <c r="F10" s="882" t="b">
        <v>0</v>
      </c>
      <c r="G10" s="882" t="b">
        <v>0</v>
      </c>
      <c r="H10" s="882" t="b">
        <v>0</v>
      </c>
      <c r="I10" s="882" t="b">
        <v>0</v>
      </c>
      <c r="J10" s="882" t="b">
        <v>0</v>
      </c>
      <c r="K10" s="882" t="b">
        <v>0</v>
      </c>
      <c r="L10" s="882" t="b">
        <v>0</v>
      </c>
      <c r="M10" s="882" t="b">
        <v>0</v>
      </c>
      <c r="N10" s="882" t="b">
        <v>0</v>
      </c>
      <c r="O10" s="882" t="b">
        <v>1</v>
      </c>
      <c r="P10" s="882" t="b">
        <v>0</v>
      </c>
      <c r="Q10" s="890" t="s">
        <v>1534</v>
      </c>
    </row>
    <row r="11" spans="1:17">
      <c r="A11" s="905" t="s">
        <v>1632</v>
      </c>
      <c r="B11" s="327" t="s">
        <v>270</v>
      </c>
      <c r="C11" s="889">
        <v>2.2000000000000002</v>
      </c>
      <c r="E11" s="882" t="b">
        <v>0</v>
      </c>
      <c r="F11" s="882" t="b">
        <v>0</v>
      </c>
      <c r="G11" s="882" t="b">
        <v>0</v>
      </c>
      <c r="H11" s="882" t="b">
        <v>0</v>
      </c>
      <c r="I11" s="882" t="b">
        <v>0</v>
      </c>
      <c r="J11" s="882" t="b">
        <v>0</v>
      </c>
      <c r="K11" s="882" t="b">
        <v>0</v>
      </c>
      <c r="L11" s="882" t="b">
        <v>0</v>
      </c>
      <c r="M11" s="882" t="b">
        <v>0</v>
      </c>
      <c r="N11" s="882" t="b">
        <v>0</v>
      </c>
      <c r="O11" s="882" t="b">
        <v>1</v>
      </c>
      <c r="P11" s="882" t="b">
        <v>0</v>
      </c>
      <c r="Q11" s="890" t="s">
        <v>1534</v>
      </c>
    </row>
    <row r="12" spans="1:17">
      <c r="A12" s="905" t="s">
        <v>1632</v>
      </c>
      <c r="B12" s="327" t="s">
        <v>271</v>
      </c>
      <c r="C12" s="889">
        <v>0.43343749999999998</v>
      </c>
      <c r="E12" s="882" t="b">
        <v>0</v>
      </c>
      <c r="F12" s="882" t="b">
        <v>0</v>
      </c>
      <c r="G12" s="882" t="b">
        <v>0</v>
      </c>
      <c r="H12" s="882" t="b">
        <v>0</v>
      </c>
      <c r="I12" s="882" t="b">
        <v>0</v>
      </c>
      <c r="J12" s="882" t="b">
        <v>0</v>
      </c>
      <c r="K12" s="882" t="b">
        <v>0</v>
      </c>
      <c r="L12" s="882" t="b">
        <v>0</v>
      </c>
      <c r="M12" s="882" t="b">
        <v>0</v>
      </c>
      <c r="N12" s="882" t="b">
        <v>0</v>
      </c>
      <c r="O12" s="882" t="b">
        <v>1</v>
      </c>
      <c r="P12" s="882" t="b">
        <v>0</v>
      </c>
      <c r="Q12" s="890" t="s">
        <v>1534</v>
      </c>
    </row>
    <row r="13" spans="1:17">
      <c r="A13" s="905" t="s">
        <v>1632</v>
      </c>
      <c r="B13" s="327" t="s">
        <v>284</v>
      </c>
      <c r="C13" s="889">
        <v>115</v>
      </c>
      <c r="E13" s="882" t="b">
        <v>0</v>
      </c>
      <c r="F13" s="882" t="b">
        <v>0</v>
      </c>
      <c r="G13" s="882" t="b">
        <v>0</v>
      </c>
      <c r="H13" s="882" t="b">
        <v>0</v>
      </c>
      <c r="I13" s="882" t="b">
        <v>0</v>
      </c>
      <c r="J13" s="882" t="b">
        <v>0</v>
      </c>
      <c r="K13" s="882" t="b">
        <v>0</v>
      </c>
      <c r="L13" s="882" t="b">
        <v>0</v>
      </c>
      <c r="M13" s="882" t="b">
        <v>0</v>
      </c>
      <c r="N13" s="882" t="b">
        <v>0</v>
      </c>
      <c r="O13" s="882" t="b">
        <v>1</v>
      </c>
      <c r="P13" s="882" t="b">
        <v>0</v>
      </c>
      <c r="Q13" s="890" t="s">
        <v>1534</v>
      </c>
    </row>
    <row r="14" spans="1:17">
      <c r="A14" s="905" t="s">
        <v>1632</v>
      </c>
      <c r="B14" s="327" t="s">
        <v>285</v>
      </c>
      <c r="C14" s="889">
        <v>40</v>
      </c>
      <c r="E14" s="882" t="b">
        <v>0</v>
      </c>
      <c r="F14" s="882" t="b">
        <v>0</v>
      </c>
      <c r="G14" s="882" t="b">
        <v>0</v>
      </c>
      <c r="H14" s="882" t="b">
        <v>0</v>
      </c>
      <c r="I14" s="882" t="b">
        <v>0</v>
      </c>
      <c r="J14" s="882" t="b">
        <v>0</v>
      </c>
      <c r="K14" s="882" t="b">
        <v>0</v>
      </c>
      <c r="L14" s="882" t="b">
        <v>0</v>
      </c>
      <c r="M14" s="882" t="b">
        <v>0</v>
      </c>
      <c r="N14" s="882" t="b">
        <v>0</v>
      </c>
      <c r="O14" s="882" t="b">
        <v>1</v>
      </c>
      <c r="P14" s="882" t="b">
        <v>0</v>
      </c>
      <c r="Q14" s="890" t="s">
        <v>1534</v>
      </c>
    </row>
    <row r="15" spans="1:17">
      <c r="A15" s="905" t="s">
        <v>1632</v>
      </c>
      <c r="B15" s="327" t="s">
        <v>286</v>
      </c>
      <c r="C15" s="889">
        <v>51.92</v>
      </c>
      <c r="E15" s="882" t="b">
        <v>0</v>
      </c>
      <c r="F15" s="882" t="b">
        <v>0</v>
      </c>
      <c r="G15" s="882" t="b">
        <v>0</v>
      </c>
      <c r="H15" s="882" t="b">
        <v>0</v>
      </c>
      <c r="I15" s="882" t="b">
        <v>0</v>
      </c>
      <c r="J15" s="882" t="b">
        <v>0</v>
      </c>
      <c r="K15" s="882" t="b">
        <v>0</v>
      </c>
      <c r="L15" s="882" t="b">
        <v>0</v>
      </c>
      <c r="M15" s="882" t="b">
        <v>0</v>
      </c>
      <c r="N15" s="882" t="b">
        <v>0</v>
      </c>
      <c r="O15" s="882" t="b">
        <v>1</v>
      </c>
      <c r="P15" s="882" t="b">
        <v>0</v>
      </c>
      <c r="Q15" s="890" t="s">
        <v>1534</v>
      </c>
    </row>
    <row r="16" spans="1:17">
      <c r="A16" s="905" t="s">
        <v>1632</v>
      </c>
      <c r="B16" s="327" t="s">
        <v>287</v>
      </c>
      <c r="C16" s="889">
        <v>51.271000000000001</v>
      </c>
      <c r="E16" s="882" t="b">
        <v>0</v>
      </c>
      <c r="F16" s="882" t="b">
        <v>0</v>
      </c>
      <c r="G16" s="882" t="b">
        <v>0</v>
      </c>
      <c r="H16" s="882" t="b">
        <v>0</v>
      </c>
      <c r="I16" s="882" t="b">
        <v>0</v>
      </c>
      <c r="J16" s="882" t="b">
        <v>0</v>
      </c>
      <c r="K16" s="882" t="b">
        <v>0</v>
      </c>
      <c r="L16" s="882" t="b">
        <v>0</v>
      </c>
      <c r="M16" s="882" t="b">
        <v>0</v>
      </c>
      <c r="N16" s="882" t="b">
        <v>0</v>
      </c>
      <c r="O16" s="882" t="b">
        <v>1</v>
      </c>
      <c r="P16" s="882" t="b">
        <v>0</v>
      </c>
      <c r="Q16" s="890" t="s">
        <v>1534</v>
      </c>
    </row>
    <row r="17" spans="1:17">
      <c r="A17" s="905" t="s">
        <v>1632</v>
      </c>
      <c r="B17" s="327" t="s">
        <v>288</v>
      </c>
      <c r="C17" s="889">
        <v>61.446000000000005</v>
      </c>
      <c r="E17" s="882" t="b">
        <v>0</v>
      </c>
      <c r="F17" s="882" t="b">
        <v>0</v>
      </c>
      <c r="G17" s="882" t="b">
        <v>0</v>
      </c>
      <c r="H17" s="882" t="b">
        <v>0</v>
      </c>
      <c r="I17" s="882" t="b">
        <v>0</v>
      </c>
      <c r="J17" s="882" t="b">
        <v>0</v>
      </c>
      <c r="K17" s="882" t="b">
        <v>0</v>
      </c>
      <c r="L17" s="882" t="b">
        <v>0</v>
      </c>
      <c r="M17" s="882" t="b">
        <v>0</v>
      </c>
      <c r="N17" s="882" t="b">
        <v>0</v>
      </c>
      <c r="O17" s="882" t="b">
        <v>1</v>
      </c>
      <c r="P17" s="882" t="b">
        <v>0</v>
      </c>
      <c r="Q17" s="890" t="s">
        <v>1534</v>
      </c>
    </row>
    <row r="18" spans="1:17">
      <c r="A18" s="905" t="s">
        <v>1632</v>
      </c>
      <c r="B18" s="327" t="s">
        <v>289</v>
      </c>
      <c r="C18" s="889">
        <v>60.06</v>
      </c>
      <c r="E18" s="882" t="b">
        <v>0</v>
      </c>
      <c r="F18" s="882" t="b">
        <v>0</v>
      </c>
      <c r="G18" s="882" t="b">
        <v>0</v>
      </c>
      <c r="H18" s="882" t="b">
        <v>0</v>
      </c>
      <c r="I18" s="882" t="b">
        <v>0</v>
      </c>
      <c r="J18" s="882" t="b">
        <v>0</v>
      </c>
      <c r="K18" s="882" t="b">
        <v>0</v>
      </c>
      <c r="L18" s="882" t="b">
        <v>0</v>
      </c>
      <c r="M18" s="882" t="b">
        <v>0</v>
      </c>
      <c r="N18" s="882" t="b">
        <v>0</v>
      </c>
      <c r="O18" s="882" t="b">
        <v>1</v>
      </c>
      <c r="P18" s="882" t="b">
        <v>0</v>
      </c>
      <c r="Q18" s="890" t="s">
        <v>1534</v>
      </c>
    </row>
    <row r="19" spans="1:17">
      <c r="A19" s="905" t="s">
        <v>1632</v>
      </c>
      <c r="B19" s="327" t="s">
        <v>290</v>
      </c>
      <c r="C19" s="889">
        <v>142.4</v>
      </c>
      <c r="E19" s="882" t="b">
        <v>0</v>
      </c>
      <c r="F19" s="882" t="b">
        <v>0</v>
      </c>
      <c r="G19" s="882" t="b">
        <v>0</v>
      </c>
      <c r="H19" s="882" t="b">
        <v>0</v>
      </c>
      <c r="I19" s="882" t="b">
        <v>0</v>
      </c>
      <c r="J19" s="882" t="b">
        <v>0</v>
      </c>
      <c r="K19" s="882" t="b">
        <v>0</v>
      </c>
      <c r="L19" s="882" t="b">
        <v>0</v>
      </c>
      <c r="M19" s="882" t="b">
        <v>0</v>
      </c>
      <c r="N19" s="882" t="b">
        <v>0</v>
      </c>
      <c r="O19" s="882" t="b">
        <v>1</v>
      </c>
      <c r="P19" s="882" t="b">
        <v>0</v>
      </c>
      <c r="Q19" s="890" t="s">
        <v>1534</v>
      </c>
    </row>
    <row r="20" spans="1:17">
      <c r="A20" s="905" t="s">
        <v>1632</v>
      </c>
      <c r="B20" s="327" t="s">
        <v>291</v>
      </c>
      <c r="C20" s="889">
        <v>8.4500000000000011</v>
      </c>
      <c r="E20" s="882" t="b">
        <v>0</v>
      </c>
      <c r="F20" s="882" t="b">
        <v>0</v>
      </c>
      <c r="G20" s="882" t="b">
        <v>0</v>
      </c>
      <c r="H20" s="882" t="b">
        <v>0</v>
      </c>
      <c r="I20" s="882" t="b">
        <v>0</v>
      </c>
      <c r="J20" s="882" t="b">
        <v>0</v>
      </c>
      <c r="K20" s="882" t="b">
        <v>0</v>
      </c>
      <c r="L20" s="882" t="b">
        <v>0</v>
      </c>
      <c r="M20" s="882" t="b">
        <v>0</v>
      </c>
      <c r="N20" s="882" t="b">
        <v>0</v>
      </c>
      <c r="O20" s="882" t="b">
        <v>1</v>
      </c>
      <c r="P20" s="882" t="b">
        <v>0</v>
      </c>
      <c r="Q20" s="890" t="s">
        <v>1534</v>
      </c>
    </row>
    <row r="21" spans="1:17">
      <c r="A21" s="905" t="s">
        <v>1632</v>
      </c>
      <c r="B21" s="327" t="s">
        <v>292</v>
      </c>
      <c r="C21" s="889">
        <v>6.5381299999999998</v>
      </c>
      <c r="E21" s="882" t="b">
        <v>0</v>
      </c>
      <c r="F21" s="882" t="b">
        <v>0</v>
      </c>
      <c r="G21" s="882" t="b">
        <v>0</v>
      </c>
      <c r="H21" s="882" t="b">
        <v>0</v>
      </c>
      <c r="I21" s="882" t="b">
        <v>0</v>
      </c>
      <c r="J21" s="882" t="b">
        <v>0</v>
      </c>
      <c r="K21" s="882" t="b">
        <v>0</v>
      </c>
      <c r="L21" s="882" t="b">
        <v>0</v>
      </c>
      <c r="M21" s="882" t="b">
        <v>0</v>
      </c>
      <c r="N21" s="882" t="b">
        <v>0</v>
      </c>
      <c r="O21" s="882" t="b">
        <v>1</v>
      </c>
      <c r="P21" s="882" t="b">
        <v>0</v>
      </c>
      <c r="Q21" s="890" t="s">
        <v>1534</v>
      </c>
    </row>
    <row r="22" spans="1:17">
      <c r="A22" s="905" t="s">
        <v>1632</v>
      </c>
      <c r="B22" s="327" t="s">
        <v>293</v>
      </c>
      <c r="C22" s="889">
        <v>2.2000000000000002</v>
      </c>
      <c r="E22" s="882" t="b">
        <v>0</v>
      </c>
      <c r="F22" s="882" t="b">
        <v>0</v>
      </c>
      <c r="G22" s="882" t="b">
        <v>0</v>
      </c>
      <c r="H22" s="882" t="b">
        <v>0</v>
      </c>
      <c r="I22" s="882" t="b">
        <v>0</v>
      </c>
      <c r="J22" s="882" t="b">
        <v>0</v>
      </c>
      <c r="K22" s="882" t="b">
        <v>0</v>
      </c>
      <c r="L22" s="882" t="b">
        <v>0</v>
      </c>
      <c r="M22" s="882" t="b">
        <v>0</v>
      </c>
      <c r="N22" s="882" t="b">
        <v>0</v>
      </c>
      <c r="O22" s="882" t="b">
        <v>1</v>
      </c>
      <c r="P22" s="882" t="b">
        <v>0</v>
      </c>
      <c r="Q22" s="890" t="s">
        <v>1534</v>
      </c>
    </row>
    <row r="23" spans="1:17">
      <c r="A23" s="905" t="s">
        <v>1632</v>
      </c>
      <c r="B23" s="327" t="s">
        <v>294</v>
      </c>
      <c r="C23" s="889">
        <v>0.4881875</v>
      </c>
      <c r="E23" s="882" t="b">
        <v>0</v>
      </c>
      <c r="F23" s="882" t="b">
        <v>0</v>
      </c>
      <c r="G23" s="882" t="b">
        <v>0</v>
      </c>
      <c r="H23" s="882" t="b">
        <v>0</v>
      </c>
      <c r="I23" s="882" t="b">
        <v>0</v>
      </c>
      <c r="J23" s="882" t="b">
        <v>0</v>
      </c>
      <c r="K23" s="882" t="b">
        <v>0</v>
      </c>
      <c r="L23" s="882" t="b">
        <v>0</v>
      </c>
      <c r="M23" s="882" t="b">
        <v>0</v>
      </c>
      <c r="N23" s="882" t="b">
        <v>0</v>
      </c>
      <c r="O23" s="882" t="b">
        <v>1</v>
      </c>
      <c r="P23" s="882" t="b">
        <v>0</v>
      </c>
      <c r="Q23" s="890" t="s">
        <v>1534</v>
      </c>
    </row>
    <row r="24" spans="1:17">
      <c r="A24" s="905" t="s">
        <v>1632</v>
      </c>
      <c r="B24" s="327" t="s">
        <v>295</v>
      </c>
      <c r="C24" s="889">
        <v>0.44256250000000003</v>
      </c>
      <c r="E24" s="882" t="b">
        <v>0</v>
      </c>
      <c r="F24" s="882" t="b">
        <v>0</v>
      </c>
      <c r="G24" s="882" t="b">
        <v>0</v>
      </c>
      <c r="H24" s="882" t="b">
        <v>0</v>
      </c>
      <c r="I24" s="882" t="b">
        <v>0</v>
      </c>
      <c r="J24" s="882" t="b">
        <v>0</v>
      </c>
      <c r="K24" s="882" t="b">
        <v>0</v>
      </c>
      <c r="L24" s="882" t="b">
        <v>0</v>
      </c>
      <c r="M24" s="882" t="b">
        <v>0</v>
      </c>
      <c r="N24" s="882" t="b">
        <v>0</v>
      </c>
      <c r="O24" s="882" t="b">
        <v>1</v>
      </c>
      <c r="P24" s="882" t="b">
        <v>0</v>
      </c>
      <c r="Q24" s="890" t="s">
        <v>1534</v>
      </c>
    </row>
    <row r="25" spans="1:17">
      <c r="A25" s="905" t="s">
        <v>1632</v>
      </c>
      <c r="B25" s="327" t="s">
        <v>296</v>
      </c>
      <c r="C25" s="889">
        <v>0.1323125</v>
      </c>
      <c r="E25" s="882" t="b">
        <v>0</v>
      </c>
      <c r="F25" s="882" t="b">
        <v>0</v>
      </c>
      <c r="G25" s="882" t="b">
        <v>0</v>
      </c>
      <c r="H25" s="882" t="b">
        <v>0</v>
      </c>
      <c r="I25" s="882" t="b">
        <v>0</v>
      </c>
      <c r="J25" s="882" t="b">
        <v>0</v>
      </c>
      <c r="K25" s="882" t="b">
        <v>0</v>
      </c>
      <c r="L25" s="882" t="b">
        <v>0</v>
      </c>
      <c r="M25" s="882" t="b">
        <v>0</v>
      </c>
      <c r="N25" s="882" t="b">
        <v>0</v>
      </c>
      <c r="O25" s="882" t="b">
        <v>1</v>
      </c>
      <c r="P25" s="882" t="b">
        <v>0</v>
      </c>
      <c r="Q25" s="890" t="s">
        <v>1534</v>
      </c>
    </row>
    <row r="26" spans="1:17">
      <c r="A26" s="905" t="s">
        <v>1632</v>
      </c>
      <c r="B26" s="327" t="s">
        <v>297</v>
      </c>
      <c r="C26" s="889">
        <v>6.9300000000000004E-3</v>
      </c>
      <c r="E26" s="882" t="b">
        <v>0</v>
      </c>
      <c r="F26" s="882" t="b">
        <v>0</v>
      </c>
      <c r="G26" s="882" t="b">
        <v>0</v>
      </c>
      <c r="H26" s="882" t="b">
        <v>0</v>
      </c>
      <c r="I26" s="882" t="b">
        <v>0</v>
      </c>
      <c r="J26" s="882" t="b">
        <v>0</v>
      </c>
      <c r="K26" s="882" t="b">
        <v>0</v>
      </c>
      <c r="L26" s="882" t="b">
        <v>0</v>
      </c>
      <c r="M26" s="882" t="b">
        <v>0</v>
      </c>
      <c r="N26" s="882" t="b">
        <v>0</v>
      </c>
      <c r="O26" s="882" t="b">
        <v>1</v>
      </c>
      <c r="P26" s="882" t="b">
        <v>0</v>
      </c>
      <c r="Q26" s="890" t="s">
        <v>1534</v>
      </c>
    </row>
    <row r="27" spans="1:17">
      <c r="A27" s="905" t="s">
        <v>1632</v>
      </c>
      <c r="B27" s="327" t="s">
        <v>307</v>
      </c>
      <c r="C27" s="889">
        <v>50</v>
      </c>
      <c r="E27" s="882" t="b">
        <v>0</v>
      </c>
      <c r="F27" s="882" t="b">
        <v>0</v>
      </c>
      <c r="G27" s="882" t="b">
        <v>0</v>
      </c>
      <c r="H27" s="882" t="b">
        <v>0</v>
      </c>
      <c r="I27" s="882" t="b">
        <v>0</v>
      </c>
      <c r="J27" s="882" t="b">
        <v>0</v>
      </c>
      <c r="K27" s="882" t="b">
        <v>0</v>
      </c>
      <c r="L27" s="882" t="b">
        <v>0</v>
      </c>
      <c r="M27" s="882" t="b">
        <v>0</v>
      </c>
      <c r="N27" s="882" t="b">
        <v>0</v>
      </c>
      <c r="O27" s="882" t="b">
        <v>1</v>
      </c>
      <c r="P27" s="882" t="b">
        <v>0</v>
      </c>
      <c r="Q27" s="890" t="s">
        <v>1534</v>
      </c>
    </row>
    <row r="28" spans="1:17">
      <c r="A28" s="905" t="s">
        <v>1632</v>
      </c>
      <c r="B28" s="327" t="s">
        <v>308</v>
      </c>
      <c r="C28" s="889">
        <v>175</v>
      </c>
      <c r="E28" s="882" t="b">
        <v>0</v>
      </c>
      <c r="F28" s="882" t="b">
        <v>0</v>
      </c>
      <c r="G28" s="882" t="b">
        <v>0</v>
      </c>
      <c r="H28" s="882" t="b">
        <v>0</v>
      </c>
      <c r="I28" s="882" t="b">
        <v>0</v>
      </c>
      <c r="J28" s="882" t="b">
        <v>0</v>
      </c>
      <c r="K28" s="882" t="b">
        <v>0</v>
      </c>
      <c r="L28" s="882" t="b">
        <v>0</v>
      </c>
      <c r="M28" s="882" t="b">
        <v>0</v>
      </c>
      <c r="N28" s="882" t="b">
        <v>0</v>
      </c>
      <c r="O28" s="882" t="b">
        <v>1</v>
      </c>
      <c r="P28" s="882" t="b">
        <v>0</v>
      </c>
      <c r="Q28" s="890" t="s">
        <v>1534</v>
      </c>
    </row>
    <row r="29" spans="1:17">
      <c r="A29" s="905" t="s">
        <v>1632</v>
      </c>
      <c r="B29" s="327" t="s">
        <v>872</v>
      </c>
      <c r="C29" s="889">
        <v>40</v>
      </c>
      <c r="E29" s="882" t="b">
        <v>0</v>
      </c>
      <c r="F29" s="882" t="b">
        <v>0</v>
      </c>
      <c r="G29" s="882" t="b">
        <v>0</v>
      </c>
      <c r="H29" s="882" t="b">
        <v>0</v>
      </c>
      <c r="I29" s="882" t="b">
        <v>0</v>
      </c>
      <c r="J29" s="882" t="b">
        <v>0</v>
      </c>
      <c r="K29" s="882" t="b">
        <v>0</v>
      </c>
      <c r="L29" s="882" t="b">
        <v>0</v>
      </c>
      <c r="M29" s="882" t="b">
        <v>0</v>
      </c>
      <c r="N29" s="882" t="b">
        <v>0</v>
      </c>
      <c r="O29" s="882" t="b">
        <v>1</v>
      </c>
      <c r="P29" s="882" t="b">
        <v>0</v>
      </c>
      <c r="Q29" s="890" t="s">
        <v>1534</v>
      </c>
    </row>
    <row r="30" spans="1:17">
      <c r="A30" s="905" t="s">
        <v>1632</v>
      </c>
      <c r="B30" s="327" t="s">
        <v>871</v>
      </c>
      <c r="C30" s="889">
        <v>9.125</v>
      </c>
      <c r="E30" s="882" t="b">
        <v>0</v>
      </c>
      <c r="F30" s="882" t="b">
        <v>0</v>
      </c>
      <c r="G30" s="882" t="b">
        <v>0</v>
      </c>
      <c r="H30" s="882" t="b">
        <v>0</v>
      </c>
      <c r="I30" s="882" t="b">
        <v>0</v>
      </c>
      <c r="J30" s="882" t="b">
        <v>0</v>
      </c>
      <c r="K30" s="882" t="b">
        <v>0</v>
      </c>
      <c r="L30" s="882" t="b">
        <v>0</v>
      </c>
      <c r="M30" s="882" t="b">
        <v>0</v>
      </c>
      <c r="N30" s="882" t="b">
        <v>0</v>
      </c>
      <c r="O30" s="882" t="b">
        <v>1</v>
      </c>
      <c r="P30" s="882" t="b">
        <v>0</v>
      </c>
      <c r="Q30" s="890" t="s">
        <v>1534</v>
      </c>
    </row>
    <row r="31" spans="1:17">
      <c r="A31" s="905" t="s">
        <v>1632</v>
      </c>
      <c r="B31" s="327" t="s">
        <v>873</v>
      </c>
      <c r="C31" s="889">
        <v>45</v>
      </c>
      <c r="E31" s="882" t="b">
        <v>0</v>
      </c>
      <c r="F31" s="882" t="b">
        <v>0</v>
      </c>
      <c r="G31" s="882" t="b">
        <v>0</v>
      </c>
      <c r="H31" s="882" t="b">
        <v>0</v>
      </c>
      <c r="I31" s="882" t="b">
        <v>0</v>
      </c>
      <c r="J31" s="882" t="b">
        <v>0</v>
      </c>
      <c r="K31" s="882" t="b">
        <v>0</v>
      </c>
      <c r="L31" s="882" t="b">
        <v>0</v>
      </c>
      <c r="M31" s="882" t="b">
        <v>0</v>
      </c>
      <c r="N31" s="882" t="b">
        <v>0</v>
      </c>
      <c r="O31" s="882" t="b">
        <v>1</v>
      </c>
      <c r="P31" s="882" t="b">
        <v>0</v>
      </c>
      <c r="Q31" s="890" t="s">
        <v>1534</v>
      </c>
    </row>
    <row r="32" spans="1:17">
      <c r="A32" s="905" t="s">
        <v>1632</v>
      </c>
      <c r="B32" s="327" t="s">
        <v>874</v>
      </c>
      <c r="C32" s="889">
        <v>8.6538461538461533</v>
      </c>
      <c r="E32" s="882" t="b">
        <v>0</v>
      </c>
      <c r="F32" s="882" t="b">
        <v>0</v>
      </c>
      <c r="G32" s="882" t="b">
        <v>0</v>
      </c>
      <c r="H32" s="882" t="b">
        <v>0</v>
      </c>
      <c r="I32" s="882" t="b">
        <v>0</v>
      </c>
      <c r="J32" s="882" t="b">
        <v>0</v>
      </c>
      <c r="K32" s="882" t="b">
        <v>0</v>
      </c>
      <c r="L32" s="882" t="b">
        <v>0</v>
      </c>
      <c r="M32" s="882" t="b">
        <v>0</v>
      </c>
      <c r="N32" s="882" t="b">
        <v>0</v>
      </c>
      <c r="O32" s="882" t="b">
        <v>1</v>
      </c>
      <c r="P32" s="882" t="b">
        <v>0</v>
      </c>
      <c r="Q32" s="890" t="s">
        <v>1534</v>
      </c>
    </row>
    <row r="33" spans="1:17">
      <c r="A33" s="905" t="s">
        <v>1632</v>
      </c>
      <c r="B33" s="327" t="s">
        <v>875</v>
      </c>
      <c r="C33" s="889">
        <v>0.8</v>
      </c>
      <c r="E33" s="882" t="b">
        <v>0</v>
      </c>
      <c r="F33" s="882" t="b">
        <v>0</v>
      </c>
      <c r="G33" s="882" t="b">
        <v>0</v>
      </c>
      <c r="H33" s="882" t="b">
        <v>0</v>
      </c>
      <c r="I33" s="882" t="b">
        <v>0</v>
      </c>
      <c r="J33" s="882" t="b">
        <v>0</v>
      </c>
      <c r="K33" s="882" t="b">
        <v>0</v>
      </c>
      <c r="L33" s="882" t="b">
        <v>0</v>
      </c>
      <c r="M33" s="882" t="b">
        <v>0</v>
      </c>
      <c r="N33" s="882" t="b">
        <v>0</v>
      </c>
      <c r="O33" s="882" t="b">
        <v>1</v>
      </c>
      <c r="P33" s="882" t="b">
        <v>0</v>
      </c>
      <c r="Q33" s="890" t="s">
        <v>1534</v>
      </c>
    </row>
    <row r="34" spans="1:17">
      <c r="A34" s="905" t="s">
        <v>1632</v>
      </c>
      <c r="B34" s="327" t="s">
        <v>876</v>
      </c>
      <c r="C34" s="889">
        <v>0.95</v>
      </c>
      <c r="E34" s="882" t="b">
        <v>0</v>
      </c>
      <c r="F34" s="882" t="b">
        <v>0</v>
      </c>
      <c r="G34" s="882" t="b">
        <v>0</v>
      </c>
      <c r="H34" s="882" t="b">
        <v>0</v>
      </c>
      <c r="I34" s="882" t="b">
        <v>0</v>
      </c>
      <c r="J34" s="882" t="b">
        <v>0</v>
      </c>
      <c r="K34" s="882" t="b">
        <v>0</v>
      </c>
      <c r="L34" s="882" t="b">
        <v>0</v>
      </c>
      <c r="M34" s="882" t="b">
        <v>0</v>
      </c>
      <c r="N34" s="882" t="b">
        <v>0</v>
      </c>
      <c r="O34" s="882" t="b">
        <v>1</v>
      </c>
      <c r="P34" s="882" t="b">
        <v>0</v>
      </c>
      <c r="Q34" s="890" t="s">
        <v>1534</v>
      </c>
    </row>
    <row r="35" spans="1:17">
      <c r="A35" s="905" t="s">
        <v>1632</v>
      </c>
      <c r="B35" s="327" t="s">
        <v>877</v>
      </c>
      <c r="C35" s="889">
        <v>10</v>
      </c>
      <c r="E35" s="882" t="b">
        <v>0</v>
      </c>
      <c r="F35" s="882" t="b">
        <v>0</v>
      </c>
      <c r="G35" s="882" t="b">
        <v>0</v>
      </c>
      <c r="H35" s="882" t="b">
        <v>0</v>
      </c>
      <c r="I35" s="882" t="b">
        <v>0</v>
      </c>
      <c r="J35" s="882" t="b">
        <v>0</v>
      </c>
      <c r="K35" s="882" t="b">
        <v>0</v>
      </c>
      <c r="L35" s="882" t="b">
        <v>0</v>
      </c>
      <c r="M35" s="882" t="b">
        <v>0</v>
      </c>
      <c r="N35" s="882" t="b">
        <v>0</v>
      </c>
      <c r="O35" s="882" t="b">
        <v>1</v>
      </c>
      <c r="P35" s="882" t="b">
        <v>0</v>
      </c>
      <c r="Q35" s="890" t="s">
        <v>1534</v>
      </c>
    </row>
  </sheetData>
  <phoneticPr fontId="7"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10"/>
  <sheetViews>
    <sheetView zoomScale="70" zoomScaleNormal="70" workbookViewId="0">
      <selection activeCell="B29" sqref="B29"/>
    </sheetView>
  </sheetViews>
  <sheetFormatPr defaultRowHeight="19.5"/>
  <cols>
    <col min="1" max="1" width="24.5" style="901" customWidth="1"/>
    <col min="2" max="2" width="23" style="891" customWidth="1"/>
    <col min="3" max="3" width="20.125" style="892" customWidth="1"/>
    <col min="4" max="4" width="9" style="882"/>
    <col min="5" max="16" width="9" style="882" hidden="1" customWidth="1"/>
    <col min="17" max="16384" width="9" style="882"/>
  </cols>
  <sheetData>
    <row r="1" spans="1:17" ht="71.45" customHeight="1">
      <c r="A1" s="897" t="s">
        <v>319</v>
      </c>
      <c r="B1" s="880"/>
      <c r="C1" s="881"/>
    </row>
    <row r="2" spans="1:17" s="885" customFormat="1" ht="18.75">
      <c r="A2" s="900" t="s">
        <v>320</v>
      </c>
      <c r="B2" s="883" t="s">
        <v>321</v>
      </c>
      <c r="C2" s="884" t="s">
        <v>341</v>
      </c>
      <c r="E2" s="886">
        <v>1</v>
      </c>
      <c r="F2" s="886" t="s">
        <v>832</v>
      </c>
      <c r="G2" s="886">
        <v>2</v>
      </c>
      <c r="H2" s="886" t="s">
        <v>832</v>
      </c>
      <c r="I2" s="886">
        <v>3</v>
      </c>
      <c r="J2" s="886" t="s">
        <v>832</v>
      </c>
      <c r="K2" s="886">
        <v>4</v>
      </c>
      <c r="L2" s="886" t="s">
        <v>832</v>
      </c>
      <c r="M2" s="886">
        <v>5</v>
      </c>
      <c r="N2" s="886" t="s">
        <v>832</v>
      </c>
      <c r="O2" s="886">
        <v>6</v>
      </c>
      <c r="P2" s="886" t="s">
        <v>832</v>
      </c>
      <c r="Q2" s="887">
        <v>6</v>
      </c>
    </row>
    <row r="3" spans="1:17" s="885" customFormat="1" ht="18.75">
      <c r="A3" s="900" t="s">
        <v>344</v>
      </c>
      <c r="B3" s="883" t="s">
        <v>345</v>
      </c>
      <c r="C3" s="884" t="s">
        <v>356</v>
      </c>
      <c r="Q3" s="894"/>
    </row>
    <row r="4" spans="1:17" ht="24" customHeight="1">
      <c r="A4" s="905" t="s">
        <v>1633</v>
      </c>
      <c r="B4" s="327" t="s">
        <v>872</v>
      </c>
      <c r="C4" s="889">
        <v>37</v>
      </c>
      <c r="E4" s="882" t="b">
        <v>0</v>
      </c>
      <c r="F4" s="882" t="b">
        <v>0</v>
      </c>
      <c r="G4" s="882" t="b">
        <v>0</v>
      </c>
      <c r="H4" s="882" t="b">
        <v>0</v>
      </c>
      <c r="I4" s="882" t="b">
        <v>0</v>
      </c>
      <c r="J4" s="882" t="b">
        <v>0</v>
      </c>
      <c r="K4" s="882" t="b">
        <v>0</v>
      </c>
      <c r="L4" s="882" t="b">
        <v>0</v>
      </c>
      <c r="M4" s="882" t="b">
        <v>0</v>
      </c>
      <c r="N4" s="882" t="b">
        <v>0</v>
      </c>
      <c r="O4" s="882" t="b">
        <v>1</v>
      </c>
      <c r="P4" s="882" t="b">
        <v>0</v>
      </c>
      <c r="Q4" s="890" t="s">
        <v>1534</v>
      </c>
    </row>
    <row r="5" spans="1:17" ht="24" customHeight="1">
      <c r="A5" s="905" t="s">
        <v>1633</v>
      </c>
      <c r="B5" s="327" t="s">
        <v>871</v>
      </c>
      <c r="C5" s="889">
        <v>10.584999999999999</v>
      </c>
      <c r="E5" s="882" t="b">
        <v>0</v>
      </c>
      <c r="F5" s="882" t="b">
        <v>0</v>
      </c>
      <c r="G5" s="882" t="b">
        <v>0</v>
      </c>
      <c r="H5" s="882" t="b">
        <v>0</v>
      </c>
      <c r="I5" s="882" t="b">
        <v>0</v>
      </c>
      <c r="J5" s="882" t="b">
        <v>0</v>
      </c>
      <c r="K5" s="882" t="b">
        <v>0</v>
      </c>
      <c r="L5" s="882" t="b">
        <v>0</v>
      </c>
      <c r="M5" s="882" t="b">
        <v>0</v>
      </c>
      <c r="N5" s="882" t="b">
        <v>0</v>
      </c>
      <c r="O5" s="882" t="b">
        <v>1</v>
      </c>
      <c r="P5" s="882" t="b">
        <v>0</v>
      </c>
      <c r="Q5" s="890" t="s">
        <v>1534</v>
      </c>
    </row>
    <row r="6" spans="1:17" ht="24" customHeight="1">
      <c r="A6" s="905" t="s">
        <v>1633</v>
      </c>
      <c r="B6" s="327" t="s">
        <v>873</v>
      </c>
      <c r="C6" s="889">
        <v>45</v>
      </c>
      <c r="E6" s="882" t="b">
        <v>0</v>
      </c>
      <c r="F6" s="882" t="b">
        <v>0</v>
      </c>
      <c r="G6" s="882" t="b">
        <v>0</v>
      </c>
      <c r="H6" s="882" t="b">
        <v>0</v>
      </c>
      <c r="I6" s="882" t="b">
        <v>0</v>
      </c>
      <c r="J6" s="882" t="b">
        <v>0</v>
      </c>
      <c r="K6" s="882" t="b">
        <v>0</v>
      </c>
      <c r="L6" s="882" t="b">
        <v>0</v>
      </c>
      <c r="M6" s="882" t="b">
        <v>0</v>
      </c>
      <c r="N6" s="882" t="b">
        <v>0</v>
      </c>
      <c r="O6" s="882" t="b">
        <v>1</v>
      </c>
      <c r="P6" s="882" t="b">
        <v>0</v>
      </c>
      <c r="Q6" s="890" t="s">
        <v>1534</v>
      </c>
    </row>
    <row r="7" spans="1:17" ht="24" customHeight="1">
      <c r="A7" s="905" t="s">
        <v>1633</v>
      </c>
      <c r="B7" s="327" t="s">
        <v>874</v>
      </c>
      <c r="C7" s="889">
        <v>8.4905660377358494</v>
      </c>
      <c r="E7" s="882" t="b">
        <v>0</v>
      </c>
      <c r="F7" s="882" t="b">
        <v>0</v>
      </c>
      <c r="G7" s="882" t="b">
        <v>0</v>
      </c>
      <c r="H7" s="882" t="b">
        <v>0</v>
      </c>
      <c r="I7" s="882" t="b">
        <v>0</v>
      </c>
      <c r="J7" s="882" t="b">
        <v>0</v>
      </c>
      <c r="K7" s="882" t="b">
        <v>0</v>
      </c>
      <c r="L7" s="882" t="b">
        <v>0</v>
      </c>
      <c r="M7" s="882" t="b">
        <v>0</v>
      </c>
      <c r="N7" s="882" t="b">
        <v>0</v>
      </c>
      <c r="O7" s="882" t="b">
        <v>1</v>
      </c>
      <c r="P7" s="882" t="b">
        <v>0</v>
      </c>
      <c r="Q7" s="890" t="s">
        <v>1534</v>
      </c>
    </row>
    <row r="8" spans="1:17" ht="24" customHeight="1">
      <c r="A8" s="905" t="s">
        <v>1633</v>
      </c>
      <c r="B8" s="327" t="s">
        <v>875</v>
      </c>
      <c r="C8" s="889">
        <v>0.64</v>
      </c>
      <c r="E8" s="882" t="b">
        <v>0</v>
      </c>
      <c r="F8" s="882" t="b">
        <v>0</v>
      </c>
      <c r="G8" s="882" t="b">
        <v>0</v>
      </c>
      <c r="H8" s="882" t="b">
        <v>0</v>
      </c>
      <c r="I8" s="882" t="b">
        <v>0</v>
      </c>
      <c r="J8" s="882" t="b">
        <v>0</v>
      </c>
      <c r="K8" s="882" t="b">
        <v>0</v>
      </c>
      <c r="L8" s="882" t="b">
        <v>0</v>
      </c>
      <c r="M8" s="882" t="b">
        <v>0</v>
      </c>
      <c r="N8" s="882" t="b">
        <v>0</v>
      </c>
      <c r="O8" s="882" t="b">
        <v>1</v>
      </c>
      <c r="P8" s="882" t="b">
        <v>0</v>
      </c>
      <c r="Q8" s="890" t="s">
        <v>1534</v>
      </c>
    </row>
    <row r="9" spans="1:17" ht="24" customHeight="1">
      <c r="A9" s="905" t="s">
        <v>1633</v>
      </c>
      <c r="B9" s="327" t="s">
        <v>876</v>
      </c>
      <c r="C9" s="889">
        <v>0.9</v>
      </c>
      <c r="E9" s="882" t="b">
        <v>0</v>
      </c>
      <c r="F9" s="882" t="b">
        <v>0</v>
      </c>
      <c r="G9" s="882" t="b">
        <v>0</v>
      </c>
      <c r="H9" s="882" t="b">
        <v>0</v>
      </c>
      <c r="I9" s="882" t="b">
        <v>0</v>
      </c>
      <c r="J9" s="882" t="b">
        <v>0</v>
      </c>
      <c r="K9" s="882" t="b">
        <v>0</v>
      </c>
      <c r="L9" s="882" t="b">
        <v>0</v>
      </c>
      <c r="M9" s="882" t="b">
        <v>0</v>
      </c>
      <c r="N9" s="882" t="b">
        <v>0</v>
      </c>
      <c r="O9" s="882" t="b">
        <v>1</v>
      </c>
      <c r="P9" s="882" t="b">
        <v>0</v>
      </c>
      <c r="Q9" s="890" t="s">
        <v>1534</v>
      </c>
    </row>
    <row r="10" spans="1:17" ht="24" customHeight="1">
      <c r="A10" s="905" t="s">
        <v>1633</v>
      </c>
      <c r="B10" s="327" t="s">
        <v>877</v>
      </c>
      <c r="C10" s="889">
        <v>9</v>
      </c>
      <c r="E10" s="882" t="b">
        <v>0</v>
      </c>
      <c r="F10" s="882" t="b">
        <v>0</v>
      </c>
      <c r="G10" s="882" t="b">
        <v>0</v>
      </c>
      <c r="H10" s="882" t="b">
        <v>0</v>
      </c>
      <c r="I10" s="882" t="b">
        <v>0</v>
      </c>
      <c r="J10" s="882" t="b">
        <v>0</v>
      </c>
      <c r="K10" s="882" t="b">
        <v>0</v>
      </c>
      <c r="L10" s="882" t="b">
        <v>0</v>
      </c>
      <c r="M10" s="882" t="b">
        <v>0</v>
      </c>
      <c r="N10" s="882" t="b">
        <v>0</v>
      </c>
      <c r="O10" s="882" t="b">
        <v>1</v>
      </c>
      <c r="P10" s="882" t="b">
        <v>0</v>
      </c>
      <c r="Q10" s="890" t="s">
        <v>1534</v>
      </c>
    </row>
  </sheetData>
  <phoneticPr fontId="7"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codeName="Sheet1">
    <tabColor rgb="FF0000FF"/>
  </sheetPr>
  <dimension ref="B1:AI46"/>
  <sheetViews>
    <sheetView zoomScale="85" zoomScaleNormal="85" workbookViewId="0">
      <selection activeCell="N9" sqref="N9:P10"/>
    </sheetView>
  </sheetViews>
  <sheetFormatPr defaultColWidth="6.25" defaultRowHeight="15.75"/>
  <cols>
    <col min="1" max="1" width="2.375" style="329" customWidth="1"/>
    <col min="2" max="2" width="6.375" style="329" customWidth="1"/>
    <col min="3" max="3" width="5.5" style="329" customWidth="1"/>
    <col min="4" max="4" width="5.75" style="329" customWidth="1"/>
    <col min="5" max="5" width="2.625" style="329" customWidth="1"/>
    <col min="6" max="8" width="5" style="329" customWidth="1"/>
    <col min="9" max="9" width="2.25" style="329" customWidth="1"/>
    <col min="10" max="12" width="5.125" style="329" customWidth="1"/>
    <col min="13" max="13" width="2.5" style="329" customWidth="1"/>
    <col min="14" max="16" width="4.75" style="329" customWidth="1"/>
    <col min="17" max="17" width="2.625" style="329" customWidth="1"/>
    <col min="18" max="18" width="4.375" style="784" customWidth="1"/>
    <col min="19" max="19" width="3.75" style="784" customWidth="1"/>
    <col min="20" max="20" width="5.375" style="784" customWidth="1"/>
    <col min="21" max="21" width="3.25" style="329" customWidth="1"/>
    <col min="22" max="22" width="4.875" style="329" customWidth="1"/>
    <col min="23" max="23" width="4.125" style="329" customWidth="1"/>
    <col min="24" max="24" width="2.75" style="329" customWidth="1"/>
    <col min="25" max="25" width="14.25" style="329" customWidth="1"/>
    <col min="26" max="26" width="3.375" style="329" customWidth="1"/>
    <col min="27" max="27" width="14.125" style="329" customWidth="1"/>
    <col min="28" max="28" width="2.375" style="329" customWidth="1"/>
    <col min="29" max="29" width="5.75" style="329" customWidth="1"/>
    <col min="30" max="16384" width="6.25" style="329"/>
  </cols>
  <sheetData>
    <row r="1" spans="2:35" ht="6.75" customHeight="1"/>
    <row r="2" spans="2:35" ht="4.5" customHeight="1" thickBot="1">
      <c r="U2" s="876"/>
      <c r="V2" s="876"/>
      <c r="W2" s="876"/>
      <c r="X2" s="876"/>
      <c r="Y2" s="876"/>
      <c r="Z2" s="876"/>
      <c r="AA2" s="876"/>
      <c r="AB2" s="876"/>
      <c r="AC2" s="876"/>
      <c r="AD2" s="876"/>
      <c r="AE2" s="876"/>
    </row>
    <row r="3" spans="2:35" ht="15" customHeight="1">
      <c r="B3" s="2693" t="s">
        <v>357</v>
      </c>
      <c r="C3" s="2694"/>
      <c r="D3" s="2694"/>
      <c r="E3" s="2694"/>
      <c r="F3" s="2694"/>
      <c r="G3" s="2694"/>
      <c r="H3" s="2729"/>
      <c r="I3" s="330"/>
      <c r="J3" s="2693" t="s">
        <v>358</v>
      </c>
      <c r="K3" s="2694"/>
      <c r="L3" s="2694"/>
      <c r="M3" s="2694"/>
      <c r="N3" s="2694"/>
      <c r="O3" s="2694"/>
      <c r="P3" s="2729"/>
      <c r="Q3" s="330"/>
      <c r="R3" s="2693" t="s">
        <v>359</v>
      </c>
      <c r="S3" s="2694"/>
      <c r="T3" s="2695"/>
      <c r="U3" s="876"/>
      <c r="V3" s="2731" t="s">
        <v>870</v>
      </c>
      <c r="W3" s="2732"/>
      <c r="X3" s="2732"/>
      <c r="Y3" s="2733"/>
      <c r="Z3" s="918"/>
      <c r="AA3" s="2691" t="s">
        <v>886</v>
      </c>
      <c r="AB3" s="876"/>
      <c r="AC3" s="876"/>
      <c r="AD3" s="876"/>
      <c r="AE3" s="2042" t="s">
        <v>127</v>
      </c>
      <c r="AF3" s="2042" t="s">
        <v>1492</v>
      </c>
    </row>
    <row r="4" spans="2:35" ht="15" customHeight="1">
      <c r="B4" s="2696"/>
      <c r="C4" s="2697"/>
      <c r="D4" s="2697"/>
      <c r="E4" s="2697"/>
      <c r="F4" s="2697"/>
      <c r="G4" s="2697"/>
      <c r="H4" s="2730"/>
      <c r="I4" s="330"/>
      <c r="J4" s="2696"/>
      <c r="K4" s="2697"/>
      <c r="L4" s="2697"/>
      <c r="M4" s="2697"/>
      <c r="N4" s="2697"/>
      <c r="O4" s="2697"/>
      <c r="P4" s="2730"/>
      <c r="Q4" s="330"/>
      <c r="R4" s="2696"/>
      <c r="S4" s="2697"/>
      <c r="T4" s="2698"/>
      <c r="U4" s="876"/>
      <c r="V4" s="2734"/>
      <c r="W4" s="2735"/>
      <c r="X4" s="2735"/>
      <c r="Y4" s="2736"/>
      <c r="Z4" s="918"/>
      <c r="AA4" s="2654"/>
      <c r="AB4" s="876"/>
      <c r="AC4" s="876"/>
      <c r="AD4" s="876"/>
      <c r="AE4" s="2042" t="s">
        <v>1492</v>
      </c>
      <c r="AF4" s="2042" t="s">
        <v>127</v>
      </c>
    </row>
    <row r="5" spans="2:35" ht="15" customHeight="1" thickBot="1">
      <c r="B5" s="784"/>
      <c r="C5" s="784"/>
      <c r="D5" s="784"/>
      <c r="E5" s="784"/>
      <c r="F5" s="784"/>
      <c r="G5" s="784"/>
      <c r="H5" s="784"/>
      <c r="I5" s="784"/>
      <c r="J5" s="784"/>
      <c r="K5" s="784"/>
      <c r="L5" s="784"/>
      <c r="M5" s="784"/>
      <c r="N5" s="784"/>
      <c r="O5" s="784"/>
      <c r="P5" s="784"/>
      <c r="Q5" s="784"/>
      <c r="U5" s="784"/>
      <c r="V5" s="784"/>
      <c r="W5" s="784"/>
      <c r="X5" s="784"/>
      <c r="Y5" s="784"/>
      <c r="Z5" s="915"/>
      <c r="AA5" s="784"/>
      <c r="AB5" s="784"/>
      <c r="AC5" s="784"/>
      <c r="AD5" s="784"/>
      <c r="AE5" s="784"/>
      <c r="AF5" s="784"/>
      <c r="AG5" s="784"/>
    </row>
    <row r="6" spans="2:35" ht="15" customHeight="1">
      <c r="B6" s="2705" t="s">
        <v>821</v>
      </c>
      <c r="C6" s="2706"/>
      <c r="D6" s="2707"/>
      <c r="E6" s="784"/>
      <c r="F6" s="2711" t="s">
        <v>824</v>
      </c>
      <c r="G6" s="2712"/>
      <c r="H6" s="2713"/>
      <c r="I6" s="784"/>
      <c r="J6" s="2717" t="s">
        <v>825</v>
      </c>
      <c r="K6" s="2718"/>
      <c r="L6" s="2719"/>
      <c r="M6" s="784"/>
      <c r="N6" s="2723" t="s">
        <v>812</v>
      </c>
      <c r="O6" s="2724"/>
      <c r="P6" s="2725"/>
      <c r="Q6" s="784"/>
      <c r="R6" s="2655" t="s">
        <v>811</v>
      </c>
      <c r="S6" s="2656"/>
      <c r="T6" s="2657"/>
      <c r="U6" s="874"/>
      <c r="V6" s="2737" t="s">
        <v>878</v>
      </c>
      <c r="W6" s="2738"/>
      <c r="X6" s="895"/>
      <c r="Y6" s="2653">
        <f>AD9+TIME(9,45,0)</f>
        <v>45300.40625</v>
      </c>
      <c r="Z6" s="915"/>
      <c r="AA6" s="2692" t="s">
        <v>1493</v>
      </c>
      <c r="AB6" s="784"/>
      <c r="AC6" s="784"/>
      <c r="AD6" s="2042" t="s">
        <v>789</v>
      </c>
      <c r="AE6" s="2042" t="s">
        <v>1492</v>
      </c>
      <c r="AF6" s="784"/>
      <c r="AG6" s="784"/>
    </row>
    <row r="7" spans="2:35" ht="15" customHeight="1">
      <c r="B7" s="2708"/>
      <c r="C7" s="2709"/>
      <c r="D7" s="2710"/>
      <c r="E7" s="784"/>
      <c r="F7" s="2714"/>
      <c r="G7" s="2715"/>
      <c r="H7" s="2716"/>
      <c r="I7" s="784"/>
      <c r="J7" s="2720"/>
      <c r="K7" s="2721"/>
      <c r="L7" s="2722"/>
      <c r="M7" s="784"/>
      <c r="N7" s="2726"/>
      <c r="O7" s="2727"/>
      <c r="P7" s="2728"/>
      <c r="Q7" s="784"/>
      <c r="R7" s="2658"/>
      <c r="S7" s="2659"/>
      <c r="T7" s="2660"/>
      <c r="U7" s="874"/>
      <c r="V7" s="2739"/>
      <c r="W7" s="2740"/>
      <c r="X7" s="895"/>
      <c r="Y7" s="2654"/>
      <c r="Z7" s="915"/>
      <c r="AA7" s="2654"/>
      <c r="AB7" s="784"/>
      <c r="AC7" s="784"/>
      <c r="AD7" s="2042" t="s">
        <v>790</v>
      </c>
      <c r="AE7" s="2042" t="s">
        <v>127</v>
      </c>
      <c r="AF7" s="784"/>
      <c r="AG7" s="784"/>
    </row>
    <row r="8" spans="2:35" ht="15" customHeight="1" thickBot="1">
      <c r="B8" s="784"/>
      <c r="C8" s="784"/>
      <c r="D8" s="784"/>
      <c r="E8" s="784"/>
      <c r="F8" s="784"/>
      <c r="G8" s="784"/>
      <c r="H8" s="784"/>
      <c r="I8" s="784"/>
      <c r="J8" s="784"/>
      <c r="K8" s="784"/>
      <c r="L8" s="784"/>
      <c r="M8" s="784"/>
      <c r="N8" s="784"/>
      <c r="O8" s="784"/>
      <c r="P8" s="784"/>
      <c r="Q8" s="784"/>
      <c r="U8" s="784"/>
      <c r="V8" s="898"/>
      <c r="W8" s="898"/>
      <c r="X8" s="330"/>
      <c r="Y8" s="330"/>
      <c r="Z8" s="915"/>
      <c r="AA8" s="330"/>
      <c r="AB8" s="784"/>
      <c r="AC8" s="784"/>
      <c r="AD8" s="784"/>
      <c r="AE8" s="784"/>
      <c r="AF8" s="784"/>
      <c r="AG8" s="784"/>
    </row>
    <row r="9" spans="2:35" ht="15" customHeight="1" thickTop="1">
      <c r="B9" s="2699" t="s">
        <v>830</v>
      </c>
      <c r="C9" s="2700"/>
      <c r="D9" s="2701"/>
      <c r="E9" s="784"/>
      <c r="F9" s="2741" t="s">
        <v>1381</v>
      </c>
      <c r="G9" s="2742"/>
      <c r="H9" s="2743"/>
      <c r="I9" s="784"/>
      <c r="J9" s="2798" t="s">
        <v>818</v>
      </c>
      <c r="K9" s="2718"/>
      <c r="L9" s="2719"/>
      <c r="M9" s="784"/>
      <c r="N9" s="2799" t="s">
        <v>813</v>
      </c>
      <c r="O9" s="2800"/>
      <c r="P9" s="2801"/>
      <c r="Q9" s="784"/>
      <c r="R9" s="2655" t="s">
        <v>809</v>
      </c>
      <c r="S9" s="2656"/>
      <c r="T9" s="2657"/>
      <c r="U9" s="874"/>
      <c r="V9" s="2737" t="s">
        <v>879</v>
      </c>
      <c r="W9" s="2738"/>
      <c r="X9" s="895"/>
      <c r="Y9" s="2653">
        <f>AD9+TIME(11,45,0)</f>
        <v>45300.489583333336</v>
      </c>
      <c r="Z9" s="915"/>
      <c r="AA9" s="2692" t="s">
        <v>1494</v>
      </c>
      <c r="AB9" s="784"/>
      <c r="AC9" s="2780" t="s">
        <v>1621</v>
      </c>
      <c r="AD9" s="2794" t="s">
        <v>1622</v>
      </c>
      <c r="AE9" s="2795"/>
      <c r="AF9" s="2782" t="s">
        <v>1519</v>
      </c>
      <c r="AG9" s="2783"/>
      <c r="AH9" s="2783"/>
      <c r="AI9" s="2783"/>
    </row>
    <row r="10" spans="2:35" ht="15" customHeight="1">
      <c r="B10" s="2702"/>
      <c r="C10" s="2703"/>
      <c r="D10" s="2704"/>
      <c r="E10" s="784"/>
      <c r="F10" s="2744"/>
      <c r="G10" s="2745"/>
      <c r="H10" s="2746"/>
      <c r="I10" s="784"/>
      <c r="J10" s="2720"/>
      <c r="K10" s="2721"/>
      <c r="L10" s="2722"/>
      <c r="M10" s="784"/>
      <c r="N10" s="2802"/>
      <c r="O10" s="2803"/>
      <c r="P10" s="2804"/>
      <c r="Q10" s="784"/>
      <c r="R10" s="2658"/>
      <c r="S10" s="2659"/>
      <c r="T10" s="2660"/>
      <c r="U10" s="874"/>
      <c r="V10" s="2739"/>
      <c r="W10" s="2740"/>
      <c r="X10" s="895"/>
      <c r="Y10" s="2654"/>
      <c r="Z10" s="915"/>
      <c r="AA10" s="2654"/>
      <c r="AB10" s="784"/>
      <c r="AC10" s="2781"/>
      <c r="AD10" s="2796"/>
      <c r="AE10" s="2797"/>
      <c r="AF10" s="2782"/>
      <c r="AG10" s="2783"/>
      <c r="AH10" s="2783"/>
      <c r="AI10" s="2783"/>
    </row>
    <row r="11" spans="2:35" ht="15" customHeight="1" thickBot="1">
      <c r="B11" s="784"/>
      <c r="C11" s="784"/>
      <c r="D11" s="784"/>
      <c r="E11" s="784"/>
      <c r="F11" s="1594"/>
      <c r="G11" s="1594"/>
      <c r="H11" s="1594"/>
      <c r="I11" s="784"/>
      <c r="J11" s="784"/>
      <c r="K11" s="784"/>
      <c r="L11" s="784"/>
      <c r="M11" s="784"/>
      <c r="N11" s="784"/>
      <c r="O11" s="784"/>
      <c r="P11" s="784"/>
      <c r="Q11" s="784"/>
      <c r="U11" s="784"/>
      <c r="V11" s="898"/>
      <c r="W11" s="898"/>
      <c r="X11" s="330"/>
      <c r="Y11" s="330"/>
      <c r="Z11" s="915"/>
      <c r="AA11" s="330"/>
      <c r="AB11" s="784"/>
      <c r="AC11" s="784"/>
      <c r="AD11" s="784"/>
      <c r="AE11" s="784"/>
      <c r="AF11" s="784"/>
      <c r="AG11" s="784"/>
    </row>
    <row r="12" spans="2:35" ht="15" customHeight="1">
      <c r="B12" s="2754" t="s">
        <v>823</v>
      </c>
      <c r="C12" s="2755"/>
      <c r="D12" s="2756"/>
      <c r="E12" s="784"/>
      <c r="F12" s="2685" t="s">
        <v>1374</v>
      </c>
      <c r="G12" s="2686"/>
      <c r="H12" s="2687"/>
      <c r="I12" s="784"/>
      <c r="J12" s="2805" t="s">
        <v>826</v>
      </c>
      <c r="K12" s="2806"/>
      <c r="L12" s="2807"/>
      <c r="M12" s="784"/>
      <c r="N12" s="2673" t="s">
        <v>814</v>
      </c>
      <c r="O12" s="2674"/>
      <c r="P12" s="2675"/>
      <c r="Q12" s="784"/>
      <c r="R12" s="2655" t="s">
        <v>810</v>
      </c>
      <c r="S12" s="2656"/>
      <c r="T12" s="2657"/>
      <c r="U12" s="875"/>
      <c r="V12" s="2737" t="s">
        <v>880</v>
      </c>
      <c r="W12" s="2738"/>
      <c r="X12" s="895"/>
      <c r="Y12" s="2653">
        <f>AD9+TIME(16,30,0)</f>
        <v>45300.6875</v>
      </c>
      <c r="Z12" s="915"/>
      <c r="AA12" s="2692" t="s">
        <v>1495</v>
      </c>
      <c r="AB12" s="784"/>
      <c r="AC12" s="784"/>
      <c r="AD12" s="2790" t="s">
        <v>851</v>
      </c>
      <c r="AE12" s="2791"/>
      <c r="AF12" s="784"/>
      <c r="AG12" s="784"/>
    </row>
    <row r="13" spans="2:35" ht="15" customHeight="1">
      <c r="B13" s="2757"/>
      <c r="C13" s="2758"/>
      <c r="D13" s="2759"/>
      <c r="E13" s="784"/>
      <c r="F13" s="2688"/>
      <c r="G13" s="2689"/>
      <c r="H13" s="2690"/>
      <c r="I13" s="784"/>
      <c r="J13" s="2808"/>
      <c r="K13" s="2809"/>
      <c r="L13" s="2810"/>
      <c r="M13" s="784"/>
      <c r="N13" s="2676"/>
      <c r="O13" s="2677"/>
      <c r="P13" s="2678"/>
      <c r="Q13" s="784"/>
      <c r="R13" s="2658"/>
      <c r="S13" s="2659"/>
      <c r="T13" s="2660"/>
      <c r="U13" s="875"/>
      <c r="V13" s="2739"/>
      <c r="W13" s="2740"/>
      <c r="X13" s="895"/>
      <c r="Y13" s="2654"/>
      <c r="Z13" s="917"/>
      <c r="AA13" s="2654"/>
      <c r="AB13" s="784"/>
      <c r="AC13" s="784"/>
      <c r="AD13" s="2792"/>
      <c r="AE13" s="2793"/>
      <c r="AF13" s="784"/>
      <c r="AG13" s="784"/>
    </row>
    <row r="14" spans="2:35" ht="15" customHeight="1" thickBot="1">
      <c r="B14" s="784"/>
      <c r="C14" s="784"/>
      <c r="D14" s="784"/>
      <c r="E14" s="784"/>
      <c r="F14" s="1594"/>
      <c r="G14" s="1594"/>
      <c r="H14" s="1594"/>
      <c r="I14" s="784"/>
      <c r="J14" s="784"/>
      <c r="K14" s="784"/>
      <c r="L14" s="784"/>
      <c r="M14" s="784"/>
      <c r="N14" s="784"/>
      <c r="O14" s="784"/>
      <c r="P14" s="784"/>
      <c r="Q14" s="784"/>
      <c r="U14" s="784"/>
      <c r="V14" s="898"/>
      <c r="W14" s="898"/>
      <c r="X14" s="330"/>
      <c r="Y14" s="330"/>
      <c r="Z14" s="330"/>
      <c r="AA14" s="330"/>
      <c r="AB14" s="784"/>
      <c r="AC14" s="784"/>
      <c r="AD14" s="784"/>
      <c r="AE14" s="784"/>
      <c r="AF14" s="784"/>
      <c r="AG14" s="784"/>
    </row>
    <row r="15" spans="2:35" ht="15" customHeight="1">
      <c r="B15" s="2754" t="s">
        <v>822</v>
      </c>
      <c r="C15" s="2755"/>
      <c r="D15" s="2756"/>
      <c r="E15" s="784"/>
      <c r="F15" s="2679" t="s">
        <v>1382</v>
      </c>
      <c r="G15" s="2680"/>
      <c r="H15" s="2681"/>
      <c r="I15" s="784"/>
      <c r="J15" s="2667" t="s">
        <v>827</v>
      </c>
      <c r="K15" s="2668"/>
      <c r="L15" s="2669"/>
      <c r="M15" s="784"/>
      <c r="N15" s="2673" t="s">
        <v>815</v>
      </c>
      <c r="O15" s="2674"/>
      <c r="P15" s="2675"/>
      <c r="Q15" s="784"/>
      <c r="R15" s="2760" t="s">
        <v>1384</v>
      </c>
      <c r="S15" s="2761"/>
      <c r="T15" s="2762"/>
      <c r="U15" s="875"/>
      <c r="V15" s="2737" t="s">
        <v>881</v>
      </c>
      <c r="W15" s="2738"/>
      <c r="X15" s="895"/>
      <c r="Y15" s="2653">
        <f>AD9+TIME(18,0,0)</f>
        <v>45300.75</v>
      </c>
      <c r="Z15" s="916"/>
      <c r="AA15" s="2692" t="s">
        <v>1496</v>
      </c>
      <c r="AB15" s="784"/>
      <c r="AC15" s="784"/>
      <c r="AD15" s="2784" t="s">
        <v>1465</v>
      </c>
      <c r="AE15" s="2785"/>
      <c r="AF15" s="2785"/>
      <c r="AG15" s="2786"/>
    </row>
    <row r="16" spans="2:35" ht="15" customHeight="1">
      <c r="B16" s="2757"/>
      <c r="C16" s="2758"/>
      <c r="D16" s="2759"/>
      <c r="E16" s="784"/>
      <c r="F16" s="2682"/>
      <c r="G16" s="2683"/>
      <c r="H16" s="2684"/>
      <c r="I16" s="784"/>
      <c r="J16" s="2670"/>
      <c r="K16" s="2671"/>
      <c r="L16" s="2672"/>
      <c r="M16" s="784"/>
      <c r="N16" s="2676"/>
      <c r="O16" s="2677"/>
      <c r="P16" s="2678"/>
      <c r="Q16" s="784"/>
      <c r="R16" s="2763"/>
      <c r="S16" s="2764"/>
      <c r="T16" s="2765"/>
      <c r="U16" s="875"/>
      <c r="V16" s="2739"/>
      <c r="W16" s="2740"/>
      <c r="X16" s="895"/>
      <c r="Y16" s="2654"/>
      <c r="Z16" s="917"/>
      <c r="AA16" s="2654"/>
      <c r="AB16" s="784"/>
      <c r="AC16" s="784"/>
      <c r="AD16" s="2787"/>
      <c r="AE16" s="2788"/>
      <c r="AF16" s="2788"/>
      <c r="AG16" s="2789"/>
    </row>
    <row r="17" spans="2:33" ht="15" customHeight="1" thickBot="1">
      <c r="B17" s="784"/>
      <c r="C17" s="784"/>
      <c r="D17" s="784"/>
      <c r="E17" s="784"/>
      <c r="F17" s="1594"/>
      <c r="G17" s="1594"/>
      <c r="H17" s="1594"/>
      <c r="I17" s="784"/>
      <c r="J17" s="784"/>
      <c r="K17" s="784"/>
      <c r="L17" s="784"/>
      <c r="M17" s="784"/>
      <c r="N17" s="784"/>
      <c r="O17" s="784"/>
      <c r="P17" s="784"/>
      <c r="Q17" s="784"/>
      <c r="U17" s="784"/>
      <c r="V17" s="898"/>
      <c r="W17" s="898"/>
      <c r="X17" s="330"/>
      <c r="Y17" s="330"/>
      <c r="Z17" s="330"/>
      <c r="AA17" s="330"/>
    </row>
    <row r="18" spans="2:33" ht="15" customHeight="1">
      <c r="B18" s="2766" t="s">
        <v>1453</v>
      </c>
      <c r="C18" s="2767"/>
      <c r="D18" s="2768"/>
      <c r="E18" s="784"/>
      <c r="F18" s="2685" t="s">
        <v>1373</v>
      </c>
      <c r="G18" s="2686"/>
      <c r="H18" s="2687"/>
      <c r="I18" s="784"/>
      <c r="J18" s="2667" t="s">
        <v>828</v>
      </c>
      <c r="K18" s="2668"/>
      <c r="L18" s="2669"/>
      <c r="M18" s="784"/>
      <c r="N18" s="2673" t="s">
        <v>1415</v>
      </c>
      <c r="O18" s="2674"/>
      <c r="P18" s="2675"/>
      <c r="Q18" s="784"/>
      <c r="R18" s="2655" t="s">
        <v>1416</v>
      </c>
      <c r="S18" s="2656"/>
      <c r="T18" s="2657"/>
      <c r="U18" s="875"/>
      <c r="V18" s="2750" t="s">
        <v>882</v>
      </c>
      <c r="W18" s="2751"/>
      <c r="X18" s="895"/>
      <c r="Y18" s="2749">
        <f>AD9+TIME(21,45,0)</f>
        <v>45300.90625</v>
      </c>
      <c r="Z18" s="916"/>
      <c r="AA18" s="2747" t="s">
        <v>1497</v>
      </c>
      <c r="AB18" s="784"/>
      <c r="AC18" s="784"/>
      <c r="AD18" s="1689" t="s">
        <v>1456</v>
      </c>
      <c r="AE18" s="1689" t="s">
        <v>1457</v>
      </c>
      <c r="AF18" s="1689" t="s">
        <v>1458</v>
      </c>
      <c r="AG18" s="1689" t="s">
        <v>1459</v>
      </c>
    </row>
    <row r="19" spans="2:33" ht="15" customHeight="1">
      <c r="B19" s="2769"/>
      <c r="C19" s="2770"/>
      <c r="D19" s="2771"/>
      <c r="E19" s="784"/>
      <c r="F19" s="2688"/>
      <c r="G19" s="2689"/>
      <c r="H19" s="2690"/>
      <c r="I19" s="784"/>
      <c r="J19" s="2670"/>
      <c r="K19" s="2671"/>
      <c r="L19" s="2672"/>
      <c r="M19" s="784"/>
      <c r="N19" s="2676"/>
      <c r="O19" s="2677"/>
      <c r="P19" s="2678"/>
      <c r="Q19" s="784"/>
      <c r="R19" s="2658"/>
      <c r="S19" s="2659"/>
      <c r="T19" s="2660"/>
      <c r="U19" s="875"/>
      <c r="V19" s="2752"/>
      <c r="W19" s="2753"/>
      <c r="X19" s="895"/>
      <c r="Y19" s="2748"/>
      <c r="Z19" s="917"/>
      <c r="AA19" s="2748"/>
      <c r="AB19" s="784"/>
      <c r="AC19" s="784"/>
      <c r="AD19" s="1902" t="s">
        <v>1460</v>
      </c>
      <c r="AE19" s="1903">
        <v>0.38541666666666669</v>
      </c>
      <c r="AF19" s="1903">
        <v>0.60416666666666663</v>
      </c>
      <c r="AG19" s="1903">
        <v>0.72916666666666663</v>
      </c>
    </row>
    <row r="20" spans="2:33" ht="15" customHeight="1" thickBot="1">
      <c r="B20" s="1671"/>
      <c r="C20" s="1671"/>
      <c r="D20" s="1671"/>
      <c r="E20" s="784"/>
      <c r="F20" s="1594"/>
      <c r="G20" s="1594"/>
      <c r="H20" s="1594"/>
      <c r="I20" s="784"/>
      <c r="J20" s="784"/>
      <c r="K20" s="784"/>
      <c r="L20" s="784"/>
      <c r="M20" s="784"/>
      <c r="N20" s="784"/>
      <c r="O20" s="784"/>
      <c r="P20" s="784"/>
      <c r="Q20" s="784"/>
      <c r="U20" s="784"/>
      <c r="V20" s="898"/>
      <c r="W20" s="898"/>
      <c r="X20" s="330"/>
      <c r="Y20" s="330"/>
      <c r="Z20" s="330"/>
      <c r="AA20" s="330"/>
      <c r="AB20" s="784"/>
      <c r="AC20" s="784"/>
      <c r="AD20" s="1902" t="s">
        <v>779</v>
      </c>
      <c r="AE20" s="1903">
        <v>0.39583333333333331</v>
      </c>
      <c r="AF20" s="1902"/>
      <c r="AG20" s="1902"/>
    </row>
    <row r="21" spans="2:33" ht="15" customHeight="1">
      <c r="B21" s="2772" t="s">
        <v>1454</v>
      </c>
      <c r="C21" s="2773"/>
      <c r="D21" s="2774"/>
      <c r="E21" s="784"/>
      <c r="F21" s="2679" t="s">
        <v>1383</v>
      </c>
      <c r="G21" s="2680"/>
      <c r="H21" s="2681"/>
      <c r="I21" s="784"/>
      <c r="J21" s="2667" t="s">
        <v>1418</v>
      </c>
      <c r="K21" s="2668"/>
      <c r="L21" s="2669"/>
      <c r="M21" s="784"/>
      <c r="N21" s="2673" t="s">
        <v>1419</v>
      </c>
      <c r="O21" s="2674"/>
      <c r="P21" s="2675"/>
      <c r="Q21" s="784"/>
      <c r="R21" s="2655" t="s">
        <v>1420</v>
      </c>
      <c r="S21" s="2656"/>
      <c r="T21" s="2657"/>
      <c r="U21" s="875"/>
      <c r="V21" s="2750" t="s">
        <v>883</v>
      </c>
      <c r="W21" s="2751"/>
      <c r="X21" s="895"/>
      <c r="Y21" s="2749">
        <f>AD9+TIME(23,45,0)</f>
        <v>45300.989583333336</v>
      </c>
      <c r="Z21" s="916"/>
      <c r="AA21" s="2747" t="s">
        <v>1498</v>
      </c>
      <c r="AB21" s="784"/>
      <c r="AC21" s="784"/>
      <c r="AD21" s="1902" t="s">
        <v>1461</v>
      </c>
      <c r="AE21" s="1903">
        <v>0.39583333333333331</v>
      </c>
      <c r="AF21" s="1903">
        <v>0.47569444444444442</v>
      </c>
      <c r="AG21" s="1903">
        <v>0.66666666666666663</v>
      </c>
    </row>
    <row r="22" spans="2:33" ht="15" customHeight="1">
      <c r="B22" s="2775"/>
      <c r="C22" s="2776"/>
      <c r="D22" s="2777"/>
      <c r="E22" s="784"/>
      <c r="F22" s="2682"/>
      <c r="G22" s="2683"/>
      <c r="H22" s="2684"/>
      <c r="I22" s="784"/>
      <c r="J22" s="2670"/>
      <c r="K22" s="2671"/>
      <c r="L22" s="2672"/>
      <c r="M22" s="784"/>
      <c r="N22" s="2676"/>
      <c r="O22" s="2677"/>
      <c r="P22" s="2678"/>
      <c r="Q22" s="784"/>
      <c r="R22" s="2658"/>
      <c r="S22" s="2659"/>
      <c r="T22" s="2660"/>
      <c r="U22" s="875"/>
      <c r="V22" s="2752"/>
      <c r="W22" s="2753"/>
      <c r="X22" s="895"/>
      <c r="Y22" s="2748"/>
      <c r="Z22" s="917"/>
      <c r="AA22" s="2748"/>
      <c r="AB22" s="784"/>
      <c r="AC22" s="784"/>
      <c r="AD22" s="1902" t="s">
        <v>226</v>
      </c>
      <c r="AE22" s="1903">
        <v>0.40277777777777773</v>
      </c>
      <c r="AF22" s="1903">
        <v>0.47569444444444442</v>
      </c>
      <c r="AG22" s="1903">
        <v>0.66666666666666663</v>
      </c>
    </row>
    <row r="23" spans="2:33" ht="15" customHeight="1" thickBot="1">
      <c r="B23" s="784"/>
      <c r="C23" s="784"/>
      <c r="D23" s="784"/>
      <c r="E23" s="784"/>
      <c r="F23" s="1594"/>
      <c r="G23" s="1594"/>
      <c r="H23" s="1594"/>
      <c r="I23" s="784"/>
      <c r="J23" s="784"/>
      <c r="K23" s="784"/>
      <c r="L23" s="784"/>
      <c r="M23" s="784"/>
      <c r="N23" s="784"/>
      <c r="O23" s="784"/>
      <c r="P23" s="784"/>
      <c r="Q23" s="784"/>
      <c r="U23" s="784"/>
      <c r="V23" s="330"/>
      <c r="W23" s="330"/>
      <c r="X23" s="330"/>
      <c r="Y23" s="330"/>
      <c r="Z23" s="330"/>
      <c r="AA23" s="330"/>
      <c r="AB23" s="784"/>
      <c r="AC23" s="784"/>
      <c r="AD23" s="1902" t="s">
        <v>1462</v>
      </c>
      <c r="AE23" s="1903">
        <v>0.41666666666666669</v>
      </c>
      <c r="AF23" s="1903">
        <v>0.61458333333333337</v>
      </c>
      <c r="AG23" s="1903">
        <v>0.75</v>
      </c>
    </row>
    <row r="24" spans="2:33" ht="15" customHeight="1">
      <c r="B24" s="2754" t="s">
        <v>1417</v>
      </c>
      <c r="C24" s="2755"/>
      <c r="D24" s="2756"/>
      <c r="E24" s="784"/>
      <c r="F24" s="2685" t="s">
        <v>1372</v>
      </c>
      <c r="G24" s="2686"/>
      <c r="H24" s="2687"/>
      <c r="I24" s="784"/>
      <c r="J24" s="2667" t="s">
        <v>1421</v>
      </c>
      <c r="K24" s="2668"/>
      <c r="L24" s="2669"/>
      <c r="M24" s="784"/>
      <c r="N24" s="2673" t="s">
        <v>816</v>
      </c>
      <c r="O24" s="2674"/>
      <c r="P24" s="2675"/>
      <c r="Q24" s="784"/>
      <c r="R24" s="2655" t="s">
        <v>1422</v>
      </c>
      <c r="S24" s="2656"/>
      <c r="T24" s="2657"/>
      <c r="U24" s="875"/>
      <c r="V24" s="2750" t="s">
        <v>884</v>
      </c>
      <c r="W24" s="2751"/>
      <c r="X24" s="895"/>
      <c r="Y24" s="2749">
        <f>AD9+TIME(4,0,0)</f>
        <v>45300.166666666664</v>
      </c>
      <c r="Z24" s="916"/>
      <c r="AA24" s="2747" t="s">
        <v>1499</v>
      </c>
      <c r="AB24" s="784"/>
      <c r="AC24" s="784"/>
      <c r="AD24" s="1902" t="s">
        <v>1463</v>
      </c>
      <c r="AE24" s="1903">
        <v>0.4375</v>
      </c>
      <c r="AF24" s="1902"/>
      <c r="AG24" s="1903">
        <v>0.6875</v>
      </c>
    </row>
    <row r="25" spans="2:33" ht="15" customHeight="1">
      <c r="B25" s="2757"/>
      <c r="C25" s="2758"/>
      <c r="D25" s="2759"/>
      <c r="E25" s="784"/>
      <c r="F25" s="2688"/>
      <c r="G25" s="2689"/>
      <c r="H25" s="2690"/>
      <c r="I25" s="784"/>
      <c r="J25" s="2670"/>
      <c r="K25" s="2671"/>
      <c r="L25" s="2672"/>
      <c r="M25" s="784"/>
      <c r="N25" s="2676"/>
      <c r="O25" s="2677"/>
      <c r="P25" s="2678"/>
      <c r="Q25" s="784"/>
      <c r="R25" s="2658"/>
      <c r="S25" s="2659"/>
      <c r="T25" s="2660"/>
      <c r="U25" s="875"/>
      <c r="V25" s="2752"/>
      <c r="W25" s="2753"/>
      <c r="X25" s="895"/>
      <c r="Y25" s="2748"/>
      <c r="Z25" s="917"/>
      <c r="AA25" s="2748"/>
      <c r="AB25" s="784"/>
      <c r="AC25" s="784"/>
      <c r="AD25" s="1904"/>
      <c r="AE25" s="1904"/>
      <c r="AF25" s="1904"/>
      <c r="AG25" s="1904"/>
    </row>
    <row r="26" spans="2:33" ht="15" customHeight="1" thickBot="1">
      <c r="B26" s="784"/>
      <c r="C26" s="784"/>
      <c r="D26" s="784"/>
      <c r="E26" s="784"/>
      <c r="F26" s="1595"/>
      <c r="G26" s="1595"/>
      <c r="H26" s="1595"/>
      <c r="I26" s="784"/>
      <c r="J26" s="784"/>
      <c r="K26" s="784"/>
      <c r="L26" s="784"/>
      <c r="M26" s="784"/>
      <c r="N26" s="784"/>
      <c r="O26" s="784"/>
      <c r="P26" s="784"/>
      <c r="Q26" s="784"/>
      <c r="U26" s="784"/>
      <c r="V26" s="330"/>
      <c r="W26" s="330"/>
      <c r="X26" s="330"/>
      <c r="Y26" s="330"/>
      <c r="Z26" s="330"/>
      <c r="AA26" s="330"/>
      <c r="AB26" s="784"/>
      <c r="AC26" s="784"/>
      <c r="AD26" s="1689" t="s">
        <v>1464</v>
      </c>
      <c r="AE26" s="1689" t="s">
        <v>1457</v>
      </c>
      <c r="AF26" s="1689" t="s">
        <v>1458</v>
      </c>
      <c r="AG26" s="1689" t="s">
        <v>1459</v>
      </c>
    </row>
    <row r="27" spans="2:33" ht="15" customHeight="1">
      <c r="B27" s="2754" t="s">
        <v>820</v>
      </c>
      <c r="C27" s="2755"/>
      <c r="D27" s="2756"/>
      <c r="E27" s="784"/>
      <c r="F27" s="2679" t="s">
        <v>1379</v>
      </c>
      <c r="G27" s="2680"/>
      <c r="H27" s="2681"/>
      <c r="I27" s="784"/>
      <c r="J27" s="2667" t="s">
        <v>829</v>
      </c>
      <c r="K27" s="2668"/>
      <c r="L27" s="2669"/>
      <c r="M27" s="784"/>
      <c r="N27" s="2673" t="s">
        <v>817</v>
      </c>
      <c r="O27" s="2674"/>
      <c r="P27" s="2675"/>
      <c r="Q27" s="784"/>
      <c r="R27" s="2655" t="s">
        <v>834</v>
      </c>
      <c r="S27" s="2656"/>
      <c r="T27" s="2657"/>
      <c r="U27" s="875"/>
      <c r="V27" s="2750" t="s">
        <v>885</v>
      </c>
      <c r="W27" s="2751"/>
      <c r="X27" s="895"/>
      <c r="Y27" s="2749">
        <f>AD9+TIME(6,0,0)</f>
        <v>45300.25</v>
      </c>
      <c r="Z27" s="916"/>
      <c r="AA27" s="2747" t="s">
        <v>1500</v>
      </c>
      <c r="AB27" s="784"/>
      <c r="AC27" s="784"/>
      <c r="AD27" s="1902" t="s">
        <v>1460</v>
      </c>
      <c r="AE27" s="1903">
        <v>0.88541666666666663</v>
      </c>
      <c r="AF27" s="1903">
        <v>0.10416666666666667</v>
      </c>
      <c r="AG27" s="1903">
        <v>0.22916666666666666</v>
      </c>
    </row>
    <row r="28" spans="2:33" ht="15" customHeight="1">
      <c r="B28" s="2757"/>
      <c r="C28" s="2758"/>
      <c r="D28" s="2759"/>
      <c r="E28" s="784"/>
      <c r="F28" s="2682"/>
      <c r="G28" s="2683"/>
      <c r="H28" s="2684"/>
      <c r="I28" s="784"/>
      <c r="J28" s="2670"/>
      <c r="K28" s="2671"/>
      <c r="L28" s="2672"/>
      <c r="M28" s="784"/>
      <c r="N28" s="2676"/>
      <c r="O28" s="2677"/>
      <c r="P28" s="2678"/>
      <c r="Q28" s="784"/>
      <c r="R28" s="2658"/>
      <c r="S28" s="2659"/>
      <c r="T28" s="2660"/>
      <c r="U28" s="875"/>
      <c r="V28" s="2752"/>
      <c r="W28" s="2753"/>
      <c r="X28" s="895"/>
      <c r="Y28" s="2748"/>
      <c r="Z28" s="917"/>
      <c r="AA28" s="2748"/>
      <c r="AB28" s="784"/>
      <c r="AC28" s="784"/>
      <c r="AD28" s="1902" t="s">
        <v>779</v>
      </c>
      <c r="AE28" s="1903">
        <v>0.9375</v>
      </c>
      <c r="AF28" s="1902"/>
      <c r="AG28" s="1902"/>
    </row>
    <row r="29" spans="2:33" ht="15" customHeight="1" thickBot="1">
      <c r="B29" s="784"/>
      <c r="C29" s="784"/>
      <c r="D29" s="784"/>
      <c r="E29" s="784"/>
      <c r="F29" s="1595"/>
      <c r="G29" s="1595"/>
      <c r="H29" s="1595"/>
      <c r="I29" s="784"/>
      <c r="J29" s="784"/>
      <c r="K29" s="784"/>
      <c r="L29" s="784"/>
      <c r="M29" s="784"/>
      <c r="N29" s="784"/>
      <c r="O29" s="784"/>
      <c r="P29" s="784"/>
      <c r="Q29" s="784"/>
      <c r="U29" s="784"/>
      <c r="V29" s="330"/>
      <c r="W29" s="330"/>
      <c r="X29" s="330"/>
      <c r="Y29" s="330"/>
      <c r="Z29" s="330"/>
      <c r="AA29" s="330"/>
      <c r="AB29" s="784"/>
      <c r="AC29" s="784"/>
      <c r="AD29" s="1902" t="s">
        <v>1461</v>
      </c>
      <c r="AE29" s="1903">
        <v>0.91666666666666663</v>
      </c>
      <c r="AF29" s="1903"/>
      <c r="AG29" s="1903">
        <v>0.1875</v>
      </c>
    </row>
    <row r="30" spans="2:33" ht="15" customHeight="1">
      <c r="E30" s="784"/>
      <c r="F30" s="2685" t="s">
        <v>1380</v>
      </c>
      <c r="G30" s="2686"/>
      <c r="H30" s="2687"/>
      <c r="I30" s="784"/>
      <c r="J30" s="2667" t="s">
        <v>819</v>
      </c>
      <c r="K30" s="2668"/>
      <c r="L30" s="2669"/>
      <c r="M30" s="784"/>
      <c r="N30" s="2673" t="s">
        <v>817</v>
      </c>
      <c r="O30" s="2674"/>
      <c r="P30" s="2675"/>
      <c r="Q30" s="784"/>
      <c r="R30" s="2655" t="s">
        <v>1434</v>
      </c>
      <c r="S30" s="2656"/>
      <c r="T30" s="2657"/>
      <c r="U30" s="875"/>
      <c r="V30" s="2649"/>
      <c r="W30" s="2650"/>
      <c r="X30" s="895"/>
      <c r="Y30" s="2653"/>
      <c r="Z30" s="916"/>
      <c r="AA30" s="2778" t="s">
        <v>911</v>
      </c>
      <c r="AB30" s="784"/>
      <c r="AC30" s="784"/>
      <c r="AD30" s="1902" t="s">
        <v>226</v>
      </c>
      <c r="AE30" s="1903">
        <v>0.91666666666666663</v>
      </c>
      <c r="AF30" s="1903"/>
      <c r="AG30" s="1903">
        <v>0.1875</v>
      </c>
    </row>
    <row r="31" spans="2:33" ht="15" customHeight="1">
      <c r="E31" s="784"/>
      <c r="F31" s="2688"/>
      <c r="G31" s="2689"/>
      <c r="H31" s="2690"/>
      <c r="I31" s="784"/>
      <c r="J31" s="2670"/>
      <c r="K31" s="2671"/>
      <c r="L31" s="2672"/>
      <c r="M31" s="784"/>
      <c r="N31" s="2676"/>
      <c r="O31" s="2677"/>
      <c r="P31" s="2678"/>
      <c r="Q31" s="784"/>
      <c r="R31" s="2658"/>
      <c r="S31" s="2659"/>
      <c r="T31" s="2660"/>
      <c r="U31" s="875"/>
      <c r="V31" s="2651"/>
      <c r="W31" s="2652"/>
      <c r="X31" s="895"/>
      <c r="Y31" s="2654"/>
      <c r="Z31" s="917"/>
      <c r="AA31" s="2779"/>
      <c r="AB31" s="784"/>
      <c r="AC31" s="784"/>
      <c r="AD31" s="1902" t="s">
        <v>1463</v>
      </c>
      <c r="AE31" s="1903">
        <v>0.95833333333333337</v>
      </c>
      <c r="AF31" s="1902"/>
      <c r="AG31" s="1903">
        <v>0.20833333333333334</v>
      </c>
    </row>
    <row r="32" spans="2:33" ht="15" customHeight="1">
      <c r="F32" s="1594"/>
      <c r="G32" s="1594"/>
      <c r="H32" s="1594"/>
    </row>
    <row r="33" spans="6:35" ht="15" customHeight="1">
      <c r="F33" s="2661" t="s">
        <v>1408</v>
      </c>
      <c r="G33" s="2662"/>
      <c r="H33" s="2663"/>
      <c r="R33" s="2655" t="s">
        <v>1433</v>
      </c>
      <c r="S33" s="2656"/>
      <c r="T33" s="2657"/>
    </row>
    <row r="34" spans="6:35" ht="15" customHeight="1">
      <c r="F34" s="2664"/>
      <c r="G34" s="2665"/>
      <c r="H34" s="2666"/>
      <c r="R34" s="2658"/>
      <c r="S34" s="2659"/>
      <c r="T34" s="2660"/>
    </row>
    <row r="35" spans="6:35" ht="15" customHeight="1">
      <c r="F35" s="1595"/>
      <c r="G35" s="1595"/>
      <c r="H35" s="1595"/>
    </row>
    <row r="36" spans="6:35" ht="15" customHeight="1">
      <c r="F36" s="2741" t="s">
        <v>831</v>
      </c>
      <c r="G36" s="2742"/>
      <c r="H36" s="2743"/>
      <c r="R36" s="2655" t="s">
        <v>835</v>
      </c>
      <c r="S36" s="2656"/>
      <c r="T36" s="2657"/>
    </row>
    <row r="37" spans="6:35" ht="15" customHeight="1">
      <c r="F37" s="2744"/>
      <c r="G37" s="2745"/>
      <c r="H37" s="2746"/>
      <c r="R37" s="2658"/>
      <c r="S37" s="2659"/>
      <c r="T37" s="2660"/>
    </row>
    <row r="38" spans="6:35" ht="15" customHeight="1"/>
    <row r="39" spans="6:35" ht="15" customHeight="1">
      <c r="R39" s="2643" t="s">
        <v>1423</v>
      </c>
      <c r="S39" s="2644"/>
      <c r="T39" s="2645"/>
    </row>
    <row r="40" spans="6:35" ht="15" customHeight="1">
      <c r="R40" s="2646"/>
      <c r="S40" s="2647"/>
      <c r="T40" s="2648"/>
    </row>
    <row r="41" spans="6:35" ht="15.75" customHeight="1">
      <c r="R41" s="2815" t="s">
        <v>1606</v>
      </c>
      <c r="S41" s="2815"/>
      <c r="T41" s="2815"/>
      <c r="U41" s="2815"/>
      <c r="V41" s="2815"/>
      <c r="W41" s="2815"/>
      <c r="X41" s="2815"/>
      <c r="Y41" s="2815"/>
      <c r="Z41" s="2815"/>
      <c r="AA41" s="2815"/>
      <c r="AB41" s="2815"/>
      <c r="AC41" s="2815"/>
      <c r="AD41" s="2815"/>
      <c r="AE41" s="2815"/>
      <c r="AF41" s="2815"/>
      <c r="AG41" s="2815"/>
      <c r="AH41" s="2815"/>
      <c r="AI41" s="2815"/>
    </row>
    <row r="42" spans="6:35" ht="15.75" customHeight="1">
      <c r="R42" s="2816"/>
      <c r="S42" s="2816"/>
      <c r="T42" s="2816"/>
      <c r="U42" s="2816"/>
      <c r="V42" s="2816"/>
      <c r="W42" s="2816"/>
      <c r="X42" s="2816"/>
      <c r="Y42" s="2816"/>
      <c r="Z42" s="2816"/>
      <c r="AA42" s="2816"/>
      <c r="AB42" s="2816"/>
      <c r="AC42" s="2816"/>
      <c r="AD42" s="2816"/>
      <c r="AE42" s="2816"/>
      <c r="AF42" s="2816"/>
      <c r="AG42" s="2816"/>
      <c r="AH42" s="2816"/>
      <c r="AI42" s="2816"/>
    </row>
    <row r="43" spans="6:35" ht="27" customHeight="1">
      <c r="R43" s="2497"/>
      <c r="S43" s="2499"/>
      <c r="T43" s="2498"/>
      <c r="U43" s="2811" t="s">
        <v>1609</v>
      </c>
      <c r="V43" s="2811"/>
      <c r="W43" s="2811"/>
      <c r="X43" s="2811"/>
      <c r="Y43" s="2811"/>
      <c r="Z43" s="2811" t="s">
        <v>1610</v>
      </c>
      <c r="AA43" s="2811"/>
      <c r="AB43" s="2811"/>
      <c r="AC43" s="2811"/>
      <c r="AD43" s="2811"/>
      <c r="AE43" s="2811" t="s">
        <v>226</v>
      </c>
      <c r="AF43" s="2811"/>
      <c r="AG43" s="2811"/>
      <c r="AH43" s="2811"/>
      <c r="AI43" s="2811"/>
    </row>
    <row r="44" spans="6:35" ht="24.75" customHeight="1">
      <c r="R44" s="2497" t="s">
        <v>1607</v>
      </c>
      <c r="S44" s="2499"/>
      <c r="T44" s="2498"/>
      <c r="U44" s="2817" t="s">
        <v>1612</v>
      </c>
      <c r="V44" s="2811"/>
      <c r="W44" s="2811"/>
      <c r="X44" s="2811"/>
      <c r="Y44" s="2811"/>
      <c r="Z44" s="2817" t="s">
        <v>1620</v>
      </c>
      <c r="AA44" s="2811"/>
      <c r="AB44" s="2811"/>
      <c r="AC44" s="2811"/>
      <c r="AD44" s="2811"/>
      <c r="AE44" s="2817" t="s">
        <v>1617</v>
      </c>
      <c r="AF44" s="2811"/>
      <c r="AG44" s="2811"/>
      <c r="AH44" s="2811"/>
      <c r="AI44" s="2811"/>
    </row>
    <row r="45" spans="6:35" ht="24.75" customHeight="1">
      <c r="R45" s="2497" t="s">
        <v>1608</v>
      </c>
      <c r="S45" s="2499"/>
      <c r="T45" s="2498"/>
      <c r="U45" s="2811" t="s">
        <v>1613</v>
      </c>
      <c r="V45" s="2811"/>
      <c r="W45" s="2811"/>
      <c r="X45" s="2811"/>
      <c r="Y45" s="2811"/>
      <c r="Z45" s="2811" t="s">
        <v>1614</v>
      </c>
      <c r="AA45" s="2811"/>
      <c r="AB45" s="2811"/>
      <c r="AC45" s="2811"/>
      <c r="AD45" s="2811"/>
      <c r="AE45" s="2811" t="s">
        <v>1615</v>
      </c>
      <c r="AF45" s="2811"/>
      <c r="AG45" s="2811"/>
      <c r="AH45" s="2811"/>
      <c r="AI45" s="2811"/>
    </row>
    <row r="46" spans="6:35" ht="33.75" customHeight="1">
      <c r="R46" s="2497" t="s">
        <v>1611</v>
      </c>
      <c r="S46" s="2499"/>
      <c r="T46" s="2498"/>
      <c r="U46" s="2811" t="s">
        <v>48</v>
      </c>
      <c r="V46" s="2811"/>
      <c r="W46" s="2811"/>
      <c r="X46" s="2811"/>
      <c r="Y46" s="2811"/>
      <c r="Z46" s="2811" t="s">
        <v>48</v>
      </c>
      <c r="AA46" s="2811"/>
      <c r="AB46" s="2811"/>
      <c r="AC46" s="2811"/>
      <c r="AD46" s="2811"/>
      <c r="AE46" s="2812" t="s">
        <v>1618</v>
      </c>
      <c r="AF46" s="2813"/>
      <c r="AG46" s="2813"/>
      <c r="AH46" s="2813"/>
      <c r="AI46" s="2814"/>
    </row>
  </sheetData>
  <dataConsolidate/>
  <mergeCells count="99">
    <mergeCell ref="Z46:AD46"/>
    <mergeCell ref="AE46:AI46"/>
    <mergeCell ref="R41:AI42"/>
    <mergeCell ref="AE43:AI43"/>
    <mergeCell ref="U44:Y44"/>
    <mergeCell ref="Z44:AD44"/>
    <mergeCell ref="AE44:AI44"/>
    <mergeCell ref="U45:Y45"/>
    <mergeCell ref="Z45:AD45"/>
    <mergeCell ref="AE45:AI45"/>
    <mergeCell ref="U43:Y43"/>
    <mergeCell ref="U46:Y46"/>
    <mergeCell ref="Z43:AD43"/>
    <mergeCell ref="AC9:AC10"/>
    <mergeCell ref="AF9:AI10"/>
    <mergeCell ref="AD15:AG16"/>
    <mergeCell ref="F18:H19"/>
    <mergeCell ref="V24:W25"/>
    <mergeCell ref="Y24:Y25"/>
    <mergeCell ref="AD12:AE13"/>
    <mergeCell ref="AD9:AE10"/>
    <mergeCell ref="R12:T13"/>
    <mergeCell ref="AA12:AA13"/>
    <mergeCell ref="J9:L10"/>
    <mergeCell ref="N9:P10"/>
    <mergeCell ref="R9:T10"/>
    <mergeCell ref="J12:L13"/>
    <mergeCell ref="N12:P13"/>
    <mergeCell ref="V9:W10"/>
    <mergeCell ref="B18:D19"/>
    <mergeCell ref="F21:H22"/>
    <mergeCell ref="B21:D22"/>
    <mergeCell ref="F12:H13"/>
    <mergeCell ref="AA30:AA31"/>
    <mergeCell ref="J15:L16"/>
    <mergeCell ref="N15:P16"/>
    <mergeCell ref="V12:W13"/>
    <mergeCell ref="Y12:Y13"/>
    <mergeCell ref="V15:W16"/>
    <mergeCell ref="V27:W28"/>
    <mergeCell ref="AA18:AA19"/>
    <mergeCell ref="AA21:AA22"/>
    <mergeCell ref="AA24:AA25"/>
    <mergeCell ref="Y15:Y16"/>
    <mergeCell ref="V18:W19"/>
    <mergeCell ref="Y9:Y10"/>
    <mergeCell ref="R15:T16"/>
    <mergeCell ref="B12:D13"/>
    <mergeCell ref="B15:D16"/>
    <mergeCell ref="F15:H16"/>
    <mergeCell ref="B24:D25"/>
    <mergeCell ref="B27:D28"/>
    <mergeCell ref="F24:H25"/>
    <mergeCell ref="J27:L28"/>
    <mergeCell ref="J24:L25"/>
    <mergeCell ref="F36:H37"/>
    <mergeCell ref="AA15:AA16"/>
    <mergeCell ref="AA27:AA28"/>
    <mergeCell ref="R18:T19"/>
    <mergeCell ref="R24:T25"/>
    <mergeCell ref="R21:T22"/>
    <mergeCell ref="Y27:Y28"/>
    <mergeCell ref="V21:W22"/>
    <mergeCell ref="Y21:Y22"/>
    <mergeCell ref="R27:T28"/>
    <mergeCell ref="N18:P19"/>
    <mergeCell ref="N21:P22"/>
    <mergeCell ref="Y18:Y19"/>
    <mergeCell ref="J18:L19"/>
    <mergeCell ref="N24:P25"/>
    <mergeCell ref="J21:L22"/>
    <mergeCell ref="AA3:AA4"/>
    <mergeCell ref="AA6:AA7"/>
    <mergeCell ref="R3:T4"/>
    <mergeCell ref="B9:D10"/>
    <mergeCell ref="B6:D7"/>
    <mergeCell ref="R6:T7"/>
    <mergeCell ref="F6:H7"/>
    <mergeCell ref="J6:L7"/>
    <mergeCell ref="N6:P7"/>
    <mergeCell ref="B3:H4"/>
    <mergeCell ref="Y6:Y7"/>
    <mergeCell ref="J3:P4"/>
    <mergeCell ref="V3:Y4"/>
    <mergeCell ref="V6:W7"/>
    <mergeCell ref="F9:H10"/>
    <mergeCell ref="AA9:AA10"/>
    <mergeCell ref="F33:H34"/>
    <mergeCell ref="J30:L31"/>
    <mergeCell ref="N30:P31"/>
    <mergeCell ref="F27:H28"/>
    <mergeCell ref="N27:P28"/>
    <mergeCell ref="F30:H31"/>
    <mergeCell ref="R39:T40"/>
    <mergeCell ref="V30:W31"/>
    <mergeCell ref="Y30:Y31"/>
    <mergeCell ref="R36:T37"/>
    <mergeCell ref="R33:T34"/>
    <mergeCell ref="R30:T31"/>
  </mergeCells>
  <phoneticPr fontId="7"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G'!Print_Area" display="3.RL G"/>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G tt'!Print_Area" display="3.RL G tt"/>
    <hyperlink ref="N21:P22" location="'4.RL F tt'!Print_Area" display="4.RL D tt"/>
    <hyperlink ref="N24:P25" location="'5.ML tt'!A1" display="'5.ML tt'!A1"/>
    <hyperlink ref="N30:P31" location="RL.chart1!A1" display="RL.chart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R27:T28" r:id="rId1" display="QC-RL"/>
    <hyperlink ref="AD12:AE13" location="'ACID Đ.VAO'!Print_Area" display="'ACID Đ.VAO'!Print_Area"/>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AA30:AA31" location="'tg import'!A1" display="'tg import'!A1"/>
    <hyperlink ref="R18:T19" r:id="rId2" display="QC- E"/>
    <hyperlink ref="R21:T22" r:id="rId3" display="QC-1F"/>
    <hyperlink ref="R15:T16" r:id="rId4" display="PP HÓA NGHIỆM"/>
    <hyperlink ref="R39:T40" location="'PT TAP CHAT'!A1" display="'PT TAP CHAT'!A1"/>
    <hyperlink ref="R24:T25" r:id="rId5" display="QC- XT"/>
    <hyperlink ref="F12:H13" location="'1. XL-1E TT(CA2)'!A1" display="1. XL-1E TT(CA2)"/>
    <hyperlink ref="F18:H19" location="'2. XL-1F TT(CA2)'!A1" display="2. XL-1F TT(CA2)"/>
    <hyperlink ref="F24:H25" location="'3.XT-C TT(CA2)'!A1" display="3.XT-C TT(CA2)"/>
    <hyperlink ref="F27:H28" location="'4.ZN-NI tt(CA1)'!Print_Area" display="'4.ZN-NI tt(CA1)'!Print_Area"/>
    <hyperlink ref="F30:H31" location="'4.ZN-NI tt(CA2)'!Print_Area" display="'4.ZN-NI tt(CA2)'!Print_Area"/>
    <hyperlink ref="F33:H34" location="'BS-XT'!A1" display="'BS-XT'!A1"/>
    <hyperlink ref="R33:T34" r:id="rId6" display="QC-ML"/>
    <hyperlink ref="R30:T31" r:id="rId7" display="QC-XĐ"/>
    <hyperlink ref="R36:T37" r:id="rId8" display="QC-NI"/>
    <hyperlink ref="B24:D25" location="'4. Zn-Ni'!A1" display="4.Zn Ni.kh"/>
    <hyperlink ref="B18:D19" location="'3.XT-C kh.mau JASCO '!Print_Area" display="3.XT-C kh.mau JASCO"/>
    <hyperlink ref="B21:D22" location="'3.XT-C kh.mau HALO'!A1" display="'3.XT-C kh.mau HALO'!A1"/>
    <hyperlink ref="B27:D28" location="XM.chart!A1" display="XM.chart!A1"/>
    <hyperlink ref="N27:P28" location="RL.chart1!A1" display="RL.chart1!A1"/>
    <hyperlink ref="F36:H37" location="'XM.chart 1'!A1" display="'XM.chart 1'!A1"/>
  </hyperlinks>
  <pageMargins left="0.7" right="0.7" top="0.75" bottom="0.75" header="0.3" footer="0.3"/>
  <pageSetup paperSize="9" orientation="portrait" verticalDpi="0" r:id="rId9"/>
</worksheet>
</file>

<file path=xl/worksheets/sheet11.xml><?xml version="1.0" encoding="utf-8"?>
<worksheet xmlns="http://schemas.openxmlformats.org/spreadsheetml/2006/main" xmlns:r="http://schemas.openxmlformats.org/officeDocument/2006/relationships">
  <sheetPr codeName="Sheet2">
    <tabColor rgb="FF7030A0"/>
  </sheetPr>
  <dimension ref="A1:X84"/>
  <sheetViews>
    <sheetView zoomScale="85" zoomScaleNormal="85" workbookViewId="0">
      <pane ySplit="1" topLeftCell="A32" activePane="bottomLeft" state="frozen"/>
      <selection pane="bottomLeft" activeCell="H44" sqref="H44"/>
    </sheetView>
  </sheetViews>
  <sheetFormatPr defaultRowHeight="15.75" customHeight="1"/>
  <cols>
    <col min="1" max="1" width="24" style="1" customWidth="1"/>
    <col min="2" max="2" width="7.25" style="1128" customWidth="1"/>
    <col min="3" max="7" width="7.25" style="106" customWidth="1"/>
    <col min="8" max="8" width="8.375" style="2136" customWidth="1"/>
    <col min="9" max="9" width="9.625" style="2136" customWidth="1"/>
    <col min="10" max="10" width="9.5" style="1117" customWidth="1"/>
    <col min="11" max="15" width="7" style="1117" customWidth="1"/>
    <col min="16" max="16" width="9.5" style="1" customWidth="1"/>
    <col min="17" max="17" width="4.75" style="1117" customWidth="1"/>
    <col min="18" max="16384" width="9" style="1117"/>
  </cols>
  <sheetData>
    <row r="1" spans="1:24" ht="27.75" customHeight="1">
      <c r="A1" s="2174" t="str">
        <f>MENU!AD9</f>
        <v>2024/01/09</v>
      </c>
    </row>
    <row r="2" spans="1:24" ht="23.25" customHeight="1">
      <c r="A2" s="2154" t="s">
        <v>217</v>
      </c>
      <c r="B2" s="1122" t="s">
        <v>1478</v>
      </c>
      <c r="C2" s="1123" t="s">
        <v>1479</v>
      </c>
      <c r="D2" s="1123" t="s">
        <v>1480</v>
      </c>
      <c r="E2" s="1123" t="s">
        <v>1481</v>
      </c>
      <c r="F2" s="1123" t="s">
        <v>1482</v>
      </c>
      <c r="G2" s="1122" t="s">
        <v>1483</v>
      </c>
      <c r="H2" s="2163" t="s">
        <v>1524</v>
      </c>
      <c r="I2" s="2164"/>
      <c r="J2" s="1115" t="s">
        <v>1478</v>
      </c>
      <c r="K2" s="1116" t="s">
        <v>1479</v>
      </c>
      <c r="L2" s="1116" t="s">
        <v>1480</v>
      </c>
      <c r="M2" s="1116" t="s">
        <v>1481</v>
      </c>
      <c r="N2" s="1116" t="s">
        <v>1482</v>
      </c>
      <c r="O2" s="1116" t="s">
        <v>1483</v>
      </c>
      <c r="P2" s="1238" t="s">
        <v>1162</v>
      </c>
      <c r="Q2" s="1"/>
      <c r="R2" s="2818" t="s">
        <v>1046</v>
      </c>
      <c r="S2" s="2818"/>
      <c r="T2" s="2818"/>
      <c r="V2" s="2146"/>
      <c r="W2" s="2146"/>
      <c r="X2" s="2146"/>
    </row>
    <row r="3" spans="1:24" ht="15.75" customHeight="1">
      <c r="A3" s="2" t="s">
        <v>1047</v>
      </c>
      <c r="B3" s="1124"/>
      <c r="C3" s="1124"/>
      <c r="D3" s="1124"/>
      <c r="E3" s="1124"/>
      <c r="F3" s="1124"/>
      <c r="G3" s="1124"/>
      <c r="H3" s="2160" t="str">
        <f>'XM.GUI MAIL'!$E$6</f>
        <v>20~40</v>
      </c>
      <c r="I3" s="2162" t="str">
        <f>'XM.GUI MAIL'!$F$6</f>
        <v>(30±5)</v>
      </c>
      <c r="J3" s="1952">
        <f>'XM.GUI MAIL'!I6</f>
        <v>0</v>
      </c>
      <c r="K3" s="1952">
        <f>'XM.GUI MAIL'!P6</f>
        <v>0</v>
      </c>
      <c r="L3" s="1952">
        <f>'XM.GUI MAIL'!W6</f>
        <v>0</v>
      </c>
      <c r="M3" s="1952">
        <f>'XM.GUI MAIL'!AD6</f>
        <v>0</v>
      </c>
      <c r="N3" s="1952">
        <f>'XM.GUI MAIL'!AK6</f>
        <v>0</v>
      </c>
      <c r="O3" s="1952">
        <f>'XM.GUI MAIL'!AR6</f>
        <v>0</v>
      </c>
      <c r="P3" s="1237" t="s">
        <v>1163</v>
      </c>
      <c r="Q3" s="1237"/>
      <c r="R3" s="1125"/>
      <c r="S3" s="1"/>
      <c r="V3" s="2146"/>
      <c r="W3" s="2146"/>
      <c r="X3" s="2146"/>
    </row>
    <row r="4" spans="1:24" ht="15.75" hidden="1" customHeight="1">
      <c r="A4" s="2"/>
      <c r="B4" s="1124"/>
      <c r="C4" s="1124"/>
      <c r="D4" s="1124"/>
      <c r="E4" s="1124"/>
      <c r="F4" s="1124"/>
      <c r="G4" s="1124"/>
      <c r="H4" s="2160" t="s">
        <v>103</v>
      </c>
      <c r="I4" s="2162"/>
      <c r="J4" s="1997">
        <f>'XM.GUI MAIL'!I7</f>
        <v>0</v>
      </c>
      <c r="K4" s="1997">
        <f>'XM.GUI MAIL'!P7</f>
        <v>0</v>
      </c>
      <c r="L4" s="1997">
        <f>'XM.GUI MAIL'!W7</f>
        <v>0</v>
      </c>
      <c r="M4" s="1997">
        <f>'XM.GUI MAIL'!AD7</f>
        <v>0</v>
      </c>
      <c r="N4" s="1997">
        <f>'XM.GUI MAIL'!AK7</f>
        <v>0</v>
      </c>
      <c r="O4" s="1997">
        <f>'XM.GUI MAIL'!AR7</f>
        <v>0</v>
      </c>
      <c r="P4" s="1237"/>
      <c r="Q4" s="1237"/>
      <c r="R4" s="1125"/>
      <c r="S4" s="1"/>
      <c r="V4" s="2146"/>
      <c r="W4" s="2146"/>
      <c r="X4" s="2146"/>
    </row>
    <row r="5" spans="1:24" ht="15.75" hidden="1" customHeight="1">
      <c r="A5" s="2"/>
      <c r="B5" s="1124"/>
      <c r="C5" s="1124"/>
      <c r="D5" s="1124"/>
      <c r="E5" s="1124"/>
      <c r="F5" s="1124"/>
      <c r="G5" s="1124"/>
      <c r="H5" s="2160" t="s">
        <v>103</v>
      </c>
      <c r="I5" s="2162"/>
      <c r="J5" s="1998">
        <f>'XM.GUI MAIL'!I8</f>
        <v>0</v>
      </c>
      <c r="K5" s="1998">
        <f>'XM.GUI MAIL'!P8</f>
        <v>0</v>
      </c>
      <c r="L5" s="1998">
        <f>'XM.GUI MAIL'!W8</f>
        <v>0</v>
      </c>
      <c r="M5" s="1998">
        <f>'XM.GUI MAIL'!AD8</f>
        <v>0</v>
      </c>
      <c r="N5" s="1998">
        <f>'XM.GUI MAIL'!AK8</f>
        <v>0</v>
      </c>
      <c r="O5" s="1998">
        <f>'XM.GUI MAIL'!AR8</f>
        <v>0</v>
      </c>
      <c r="P5" s="1237"/>
      <c r="Q5" s="1237"/>
      <c r="R5" s="1125"/>
      <c r="S5" s="1"/>
      <c r="V5" s="2146"/>
      <c r="W5" s="2146"/>
      <c r="X5" s="2146"/>
    </row>
    <row r="6" spans="1:24" ht="15.75" customHeight="1">
      <c r="A6" s="2" t="s">
        <v>1048</v>
      </c>
      <c r="B6" s="1124"/>
      <c r="C6" s="1124"/>
      <c r="D6" s="1124"/>
      <c r="E6" s="1124"/>
      <c r="F6" s="1124"/>
      <c r="G6" s="1124"/>
      <c r="H6" s="2160" t="str">
        <f>'XM.GUI MAIL'!$E$9</f>
        <v>20~40</v>
      </c>
      <c r="I6" s="2162" t="str">
        <f>'XM.GUI MAIL'!$F$9</f>
        <v>(30±5)</v>
      </c>
      <c r="J6" s="1952">
        <f>'XM.GUI MAIL'!I9</f>
        <v>0</v>
      </c>
      <c r="K6" s="1952">
        <f>'XM.GUI MAIL'!P9</f>
        <v>0</v>
      </c>
      <c r="L6" s="1952">
        <f>'XM.GUI MAIL'!W9</f>
        <v>0</v>
      </c>
      <c r="M6" s="1952">
        <f>'XM.GUI MAIL'!AD9</f>
        <v>0</v>
      </c>
      <c r="N6" s="1952">
        <f>'XM.GUI MAIL'!AK9</f>
        <v>0</v>
      </c>
      <c r="O6" s="1952">
        <f>'XM.GUI MAIL'!AR9</f>
        <v>0</v>
      </c>
      <c r="P6" s="1237" t="s">
        <v>1163</v>
      </c>
      <c r="Q6" s="1237"/>
      <c r="R6" s="1125" t="s">
        <v>1049</v>
      </c>
      <c r="T6" s="1" t="s">
        <v>1050</v>
      </c>
    </row>
    <row r="7" spans="1:24" ht="15.75" hidden="1" customHeight="1">
      <c r="A7" s="2"/>
      <c r="B7" s="1124"/>
      <c r="C7" s="1124"/>
      <c r="D7" s="1124"/>
      <c r="E7" s="1124"/>
      <c r="F7" s="1124"/>
      <c r="G7" s="2155"/>
      <c r="H7" s="2160" t="s">
        <v>103</v>
      </c>
      <c r="I7" s="2162"/>
      <c r="J7" s="1997">
        <f>'XM.GUI MAIL'!I10</f>
        <v>0</v>
      </c>
      <c r="K7" s="1997">
        <f>'XM.GUI MAIL'!P10</f>
        <v>0</v>
      </c>
      <c r="L7" s="1997">
        <f>'XM.GUI MAIL'!W10</f>
        <v>0</v>
      </c>
      <c r="M7" s="1997">
        <f>'XM.GUI MAIL'!AD10</f>
        <v>0</v>
      </c>
      <c r="N7" s="1997">
        <f>'XM.GUI MAIL'!AK10</f>
        <v>0</v>
      </c>
      <c r="O7" s="1997">
        <f>'XM.GUI MAIL'!AR10</f>
        <v>0</v>
      </c>
      <c r="P7" s="1237"/>
      <c r="Q7" s="1237"/>
      <c r="R7" s="1125"/>
      <c r="T7" s="1"/>
    </row>
    <row r="8" spans="1:24" ht="15.75" hidden="1" customHeight="1">
      <c r="A8" s="2"/>
      <c r="B8" s="1124"/>
      <c r="C8" s="1124"/>
      <c r="D8" s="1124"/>
      <c r="E8" s="1124"/>
      <c r="F8" s="1124"/>
      <c r="G8" s="2155"/>
      <c r="H8" s="2160" t="s">
        <v>103</v>
      </c>
      <c r="I8" s="2162"/>
      <c r="J8" s="1998">
        <f>'XM.GUI MAIL'!I11</f>
        <v>0</v>
      </c>
      <c r="K8" s="1998">
        <f>'XM.GUI MAIL'!P11</f>
        <v>0</v>
      </c>
      <c r="L8" s="1998">
        <f>'XM.GUI MAIL'!W11</f>
        <v>0</v>
      </c>
      <c r="M8" s="1998">
        <f>'XM.GUI MAIL'!AD11</f>
        <v>0</v>
      </c>
      <c r="N8" s="1998">
        <f>'XM.GUI MAIL'!AK11</f>
        <v>0</v>
      </c>
      <c r="O8" s="1998">
        <f>'XM.GUI MAIL'!AR11</f>
        <v>0</v>
      </c>
      <c r="P8" s="1237"/>
      <c r="Q8" s="1237"/>
      <c r="R8" s="1125"/>
      <c r="T8" s="1"/>
    </row>
    <row r="9" spans="1:24" ht="15.75" customHeight="1">
      <c r="A9" s="2" t="s">
        <v>1051</v>
      </c>
      <c r="B9" s="1124"/>
      <c r="C9" s="1124"/>
      <c r="D9" s="1124"/>
      <c r="E9" s="1124"/>
      <c r="F9" s="1124"/>
      <c r="G9" s="2155"/>
      <c r="H9" s="2160" t="str">
        <f>'XM.GUI MAIL'!$E$12</f>
        <v>60~80</v>
      </c>
      <c r="I9" s="2162" t="str">
        <f>'XM.GUI MAIL'!$F$12</f>
        <v>(70±10)</v>
      </c>
      <c r="J9" s="1985">
        <f>'XM.GUI MAIL'!I12</f>
        <v>0</v>
      </c>
      <c r="K9" s="1985">
        <f>'XM.GUI MAIL'!P12</f>
        <v>0</v>
      </c>
      <c r="L9" s="1985">
        <f>'XM.GUI MAIL'!W12</f>
        <v>0</v>
      </c>
      <c r="M9" s="1985">
        <f>'XM.GUI MAIL'!AD12</f>
        <v>0</v>
      </c>
      <c r="N9" s="1985">
        <f>'XM.GUI MAIL'!AK12</f>
        <v>0</v>
      </c>
      <c r="O9" s="1985">
        <f>'XM.GUI MAIL'!AR12</f>
        <v>0</v>
      </c>
      <c r="P9" s="1237" t="s">
        <v>1163</v>
      </c>
      <c r="Q9" s="1237"/>
      <c r="R9" s="1126">
        <v>4.8000000000000001E-2</v>
      </c>
      <c r="T9" s="1127">
        <v>0.32</v>
      </c>
    </row>
    <row r="10" spans="1:24" ht="15.75" hidden="1" customHeight="1">
      <c r="A10" s="2"/>
      <c r="B10" s="1124"/>
      <c r="C10" s="1124"/>
      <c r="D10" s="1124"/>
      <c r="E10" s="1124"/>
      <c r="F10" s="1124"/>
      <c r="G10" s="2155"/>
      <c r="H10" s="2160" t="s">
        <v>103</v>
      </c>
      <c r="I10" s="2162"/>
      <c r="J10" s="1999">
        <f>'XM.GUI MAIL'!I13</f>
        <v>0</v>
      </c>
      <c r="K10" s="1999">
        <f>'XM.GUI MAIL'!P13</f>
        <v>0</v>
      </c>
      <c r="L10" s="1999">
        <f>'XM.GUI MAIL'!W13</f>
        <v>0</v>
      </c>
      <c r="M10" s="1999">
        <f>'XM.GUI MAIL'!AD13</f>
        <v>0</v>
      </c>
      <c r="N10" s="1999">
        <f>'XM.GUI MAIL'!AK13</f>
        <v>0</v>
      </c>
      <c r="O10" s="1999">
        <f>'XM.GUI MAIL'!AR13</f>
        <v>0</v>
      </c>
      <c r="P10" s="1237"/>
      <c r="Q10" s="1237"/>
      <c r="R10" s="1126"/>
      <c r="T10" s="1127"/>
    </row>
    <row r="11" spans="1:24" ht="15.75" customHeight="1">
      <c r="A11" s="2" t="s">
        <v>1052</v>
      </c>
      <c r="B11" s="1124"/>
      <c r="C11" s="1124"/>
      <c r="D11" s="1124"/>
      <c r="E11" s="1124"/>
      <c r="F11" s="1124"/>
      <c r="G11" s="2155"/>
      <c r="H11" s="2160" t="str">
        <f>'XM.GUI MAIL'!$E$14</f>
        <v>60~80</v>
      </c>
      <c r="I11" s="2162" t="str">
        <f>'XM.GUI MAIL'!$F$14</f>
        <v>(70±10)</v>
      </c>
      <c r="J11" s="1985">
        <f>'XM.GUI MAIL'!I14</f>
        <v>0</v>
      </c>
      <c r="K11" s="1985">
        <f>'XM.GUI MAIL'!P14</f>
        <v>0</v>
      </c>
      <c r="L11" s="1985">
        <f>'XM.GUI MAIL'!W14</f>
        <v>0</v>
      </c>
      <c r="M11" s="1985">
        <f>'XM.GUI MAIL'!AD14</f>
        <v>0</v>
      </c>
      <c r="N11" s="1985">
        <f>'XM.GUI MAIL'!AK14</f>
        <v>0</v>
      </c>
      <c r="O11" s="1985">
        <f>'XM.GUI MAIL'!AR14</f>
        <v>0</v>
      </c>
      <c r="P11" s="1237" t="s">
        <v>1163</v>
      </c>
      <c r="Q11" s="1237"/>
      <c r="T11" s="1"/>
    </row>
    <row r="12" spans="1:24" ht="15.75" hidden="1" customHeight="1">
      <c r="A12" s="2"/>
      <c r="B12" s="1124"/>
      <c r="C12" s="1124"/>
      <c r="D12" s="1124"/>
      <c r="E12" s="1124"/>
      <c r="F12" s="1124"/>
      <c r="G12" s="2155"/>
      <c r="H12" s="2160" t="s">
        <v>103</v>
      </c>
      <c r="I12" s="2162"/>
      <c r="J12" s="1998">
        <f>'XM.GUI MAIL'!I15</f>
        <v>0</v>
      </c>
      <c r="K12" s="1998">
        <f>'XM.GUI MAIL'!P15</f>
        <v>0</v>
      </c>
      <c r="L12" s="1998">
        <f>'XM.GUI MAIL'!W15</f>
        <v>0</v>
      </c>
      <c r="M12" s="1998">
        <f>'XM.GUI MAIL'!AD15</f>
        <v>0</v>
      </c>
      <c r="N12" s="1998">
        <f>'XM.GUI MAIL'!AK15</f>
        <v>0</v>
      </c>
      <c r="O12" s="1998">
        <f>'XM.GUI MAIL'!AR15</f>
        <v>0</v>
      </c>
      <c r="P12" s="1237"/>
      <c r="Q12" s="1237"/>
      <c r="T12" s="1"/>
    </row>
    <row r="13" spans="1:24" ht="15.75" customHeight="1">
      <c r="A13" s="2" t="s">
        <v>1053</v>
      </c>
      <c r="B13" s="1124"/>
      <c r="C13" s="1124"/>
      <c r="D13" s="1124"/>
      <c r="E13" s="1124"/>
      <c r="F13" s="1124"/>
      <c r="G13" s="2155"/>
      <c r="H13" s="2167" t="str">
        <f>'XM.GUI MAIL'!$E$16</f>
        <v>130 - 150</v>
      </c>
      <c r="I13" s="2168" t="str">
        <f>'XM.GUI MAIL'!$F$16</f>
        <v>(140±7)</v>
      </c>
      <c r="J13" s="1862">
        <f>'XM.GUI MAIL'!I16</f>
        <v>0</v>
      </c>
      <c r="K13" s="1862">
        <f>'XM.GUI MAIL'!P16</f>
        <v>0</v>
      </c>
      <c r="L13" s="1862">
        <f>'XM.GUI MAIL'!W16</f>
        <v>0</v>
      </c>
      <c r="M13" s="1862">
        <f>'XM.GUI MAIL'!AD16</f>
        <v>0</v>
      </c>
      <c r="N13" s="1862">
        <f>'XM.GUI MAIL'!AK16</f>
        <v>0</v>
      </c>
      <c r="O13" s="1862">
        <f>'XM.GUI MAIL'!AR16</f>
        <v>0</v>
      </c>
      <c r="P13" s="1237" t="s">
        <v>1163</v>
      </c>
      <c r="Q13" s="1237"/>
      <c r="R13" s="1125" t="s">
        <v>1054</v>
      </c>
      <c r="T13" s="1" t="s">
        <v>1050</v>
      </c>
    </row>
    <row r="14" spans="1:24" ht="15.75" customHeight="1" thickBot="1">
      <c r="A14" s="2252" t="s">
        <v>1055</v>
      </c>
      <c r="B14" s="2253"/>
      <c r="C14" s="2253"/>
      <c r="D14" s="2253"/>
      <c r="E14" s="2253"/>
      <c r="F14" s="2253"/>
      <c r="G14" s="2254"/>
      <c r="H14" s="2255" t="str">
        <f>'XM.GUI MAIL'!$E$17</f>
        <v>8~12</v>
      </c>
      <c r="I14" s="2264" t="str">
        <f>'XM.GUI MAIL'!$F$17</f>
        <v>(10±2)</v>
      </c>
      <c r="J14" s="1869">
        <f>'XM.GUI MAIL'!I17</f>
        <v>0</v>
      </c>
      <c r="K14" s="1869">
        <f>'XM.GUI MAIL'!P17</f>
        <v>0</v>
      </c>
      <c r="L14" s="1869">
        <f>'XM.GUI MAIL'!W17</f>
        <v>0</v>
      </c>
      <c r="M14" s="1869">
        <f>'XM.GUI MAIL'!AD17</f>
        <v>0</v>
      </c>
      <c r="N14" s="1869">
        <f>'XM.GUI MAIL'!AK17</f>
        <v>0</v>
      </c>
      <c r="O14" s="1869">
        <f>'XM.GUI MAIL'!AR17</f>
        <v>0</v>
      </c>
      <c r="P14" s="1237" t="s">
        <v>1163</v>
      </c>
      <c r="Q14" s="1237"/>
      <c r="R14" s="1126">
        <v>9.6000000000000002E-2</v>
      </c>
      <c r="T14" s="1127">
        <v>0.32</v>
      </c>
    </row>
    <row r="15" spans="1:24" ht="15.75" customHeight="1" thickBot="1">
      <c r="A15" s="2260" t="s">
        <v>1056</v>
      </c>
      <c r="B15" s="2261"/>
      <c r="C15" s="2261"/>
      <c r="D15" s="2261"/>
      <c r="E15" s="2261"/>
      <c r="F15" s="2261"/>
      <c r="G15" s="2262"/>
      <c r="H15" s="2263" t="str">
        <f>'XM.GUI MAIL'!$E$18</f>
        <v xml:space="preserve">12~18 </v>
      </c>
      <c r="I15" s="2350" t="str">
        <f>'XM.GUI MAIL'!$F$18</f>
        <v>(14±2)</v>
      </c>
      <c r="J15" s="1838">
        <f>'XM.GUI MAIL'!I18</f>
        <v>0</v>
      </c>
      <c r="K15" s="1838">
        <f>'XM.GUI MAIL'!P18</f>
        <v>0</v>
      </c>
      <c r="L15" s="1838">
        <f>'XM.GUI MAIL'!W18</f>
        <v>0</v>
      </c>
      <c r="M15" s="1838">
        <f>'XM.GUI MAIL'!AD18</f>
        <v>0</v>
      </c>
      <c r="N15" s="1838">
        <f>'XM.GUI MAIL'!AK18</f>
        <v>0</v>
      </c>
      <c r="O15" s="1838">
        <f>'XM.GUI MAIL'!AR18</f>
        <v>0</v>
      </c>
      <c r="P15" s="1237" t="s">
        <v>1163</v>
      </c>
      <c r="Q15" s="1237"/>
      <c r="T15" s="1"/>
    </row>
    <row r="16" spans="1:24" ht="15.75" hidden="1" customHeight="1">
      <c r="A16" s="2256"/>
      <c r="B16" s="2257"/>
      <c r="C16" s="2257"/>
      <c r="D16" s="2257"/>
      <c r="E16" s="2257"/>
      <c r="F16" s="2257"/>
      <c r="G16" s="2258"/>
      <c r="H16" s="2259" t="str">
        <f>'XM.GUI MAIL'!$E$19</f>
        <v>1.6~2.2</v>
      </c>
      <c r="I16" s="2265" t="str">
        <f>'XM.GUI MAIL'!$F$19</f>
        <v>(2±0.2 )</v>
      </c>
      <c r="J16" s="1869">
        <f>'XM.GUI MAIL'!I19</f>
        <v>0</v>
      </c>
      <c r="K16" s="1869">
        <f>'XM.GUI MAIL'!P19</f>
        <v>0</v>
      </c>
      <c r="L16" s="1869">
        <f>'XM.GUI MAIL'!W19</f>
        <v>0</v>
      </c>
      <c r="M16" s="1869">
        <f>'XM.GUI MAIL'!AD19</f>
        <v>0</v>
      </c>
      <c r="N16" s="1869">
        <f>'XM.GUI MAIL'!AK19</f>
        <v>0</v>
      </c>
      <c r="O16" s="1869">
        <f>'XM.GUI MAIL'!AR19</f>
        <v>0</v>
      </c>
      <c r="P16" s="1237"/>
      <c r="Q16" s="1237"/>
      <c r="T16" s="1"/>
    </row>
    <row r="17" spans="1:20" ht="15.75" customHeight="1">
      <c r="A17" s="2" t="s">
        <v>1057</v>
      </c>
      <c r="B17" s="1124"/>
      <c r="C17" s="1124"/>
      <c r="D17" s="1124"/>
      <c r="E17" s="1124"/>
      <c r="F17" s="1124"/>
      <c r="G17" s="2155"/>
      <c r="H17" s="2167" t="str">
        <f>'XM.GUI MAIL'!$E$20</f>
        <v xml:space="preserve">40~50 </v>
      </c>
      <c r="I17" s="2168" t="str">
        <f>'XM.GUI MAIL'!$F$20</f>
        <v>(45±5)</v>
      </c>
      <c r="J17" s="1843">
        <f>'XM.GUI MAIL'!I20</f>
        <v>0</v>
      </c>
      <c r="K17" s="1843">
        <f>'XM.GUI MAIL'!P20</f>
        <v>0</v>
      </c>
      <c r="L17" s="1843">
        <f>'XM.GUI MAIL'!W20</f>
        <v>0</v>
      </c>
      <c r="M17" s="1843">
        <f>'XM.GUI MAIL'!AD20</f>
        <v>0</v>
      </c>
      <c r="N17" s="1843">
        <f>'XM.GUI MAIL'!AK20</f>
        <v>0</v>
      </c>
      <c r="O17" s="1843">
        <f>'XM.GUI MAIL'!AR20</f>
        <v>0</v>
      </c>
      <c r="P17" s="1237"/>
      <c r="Q17" s="1237"/>
      <c r="R17" s="1125" t="s">
        <v>1058</v>
      </c>
      <c r="T17" s="1" t="s">
        <v>1059</v>
      </c>
    </row>
    <row r="18" spans="1:20" ht="15.75" hidden="1" customHeight="1">
      <c r="A18" s="2" t="s">
        <v>1060</v>
      </c>
      <c r="B18" s="1124"/>
      <c r="C18" s="1124"/>
      <c r="D18" s="1124"/>
      <c r="E18" s="1124"/>
      <c r="F18" s="1124"/>
      <c r="G18" s="2155"/>
      <c r="H18" s="2167" t="str">
        <f>'XM.GUI MAIL'!$E$21</f>
        <v>(22±5) =17~27</v>
      </c>
      <c r="I18" s="2168" t="str">
        <f>'XM.GUI MAIL'!$F$21</f>
        <v>(22±5)</v>
      </c>
      <c r="J18" s="1873">
        <f>'XM.GUI MAIL'!I21</f>
        <v>0</v>
      </c>
      <c r="K18" s="1873">
        <f>'XM.GUI MAIL'!P21</f>
        <v>0</v>
      </c>
      <c r="L18" s="1873">
        <f>'XM.GUI MAIL'!W21</f>
        <v>0</v>
      </c>
      <c r="M18" s="1873">
        <f>'XM.GUI MAIL'!AD21</f>
        <v>0</v>
      </c>
      <c r="N18" s="1873">
        <f>'XM.GUI MAIL'!AK21</f>
        <v>0</v>
      </c>
      <c r="O18" s="1873">
        <f>'XM.GUI MAIL'!AR21</f>
        <v>0</v>
      </c>
      <c r="P18" s="1237"/>
      <c r="Q18" s="1237"/>
      <c r="R18" s="1126">
        <v>0.192</v>
      </c>
      <c r="T18" s="1127">
        <v>0.32</v>
      </c>
    </row>
    <row r="19" spans="1:20" ht="15.75" hidden="1" customHeight="1">
      <c r="A19" s="2" t="s">
        <v>1061</v>
      </c>
      <c r="B19" s="1124"/>
      <c r="C19" s="1124"/>
      <c r="D19" s="1124"/>
      <c r="E19" s="1124"/>
      <c r="F19" s="1124"/>
      <c r="G19" s="2155"/>
      <c r="H19" s="2167" t="str">
        <f>'XM.GUI MAIL'!$E$22</f>
        <v>5~15</v>
      </c>
      <c r="I19" s="2168" t="str">
        <f>'XM.GUI MAIL'!$F$22</f>
        <v>(30±4)</v>
      </c>
      <c r="J19" s="1873">
        <f>'XM.GUI MAIL'!I22</f>
        <v>0</v>
      </c>
      <c r="K19" s="1873">
        <f>'XM.GUI MAIL'!P22</f>
        <v>0</v>
      </c>
      <c r="L19" s="1873">
        <f>'XM.GUI MAIL'!W22</f>
        <v>0</v>
      </c>
      <c r="M19" s="1873">
        <f>'XM.GUI MAIL'!AD22</f>
        <v>0</v>
      </c>
      <c r="N19" s="1873">
        <f>'XM.GUI MAIL'!AK22</f>
        <v>0</v>
      </c>
      <c r="O19" s="1873">
        <f>'XM.GUI MAIL'!AR22</f>
        <v>0</v>
      </c>
      <c r="P19" s="1237"/>
      <c r="Q19" s="1237"/>
    </row>
    <row r="20" spans="1:20" ht="15.75" customHeight="1">
      <c r="A20" s="1096" t="s">
        <v>1062</v>
      </c>
      <c r="B20" s="1124"/>
      <c r="C20" s="1124"/>
      <c r="D20" s="1124"/>
      <c r="E20" s="1124"/>
      <c r="F20" s="1124"/>
      <c r="G20" s="1124"/>
      <c r="H20" s="2167" t="str">
        <f>'XM.GUI MAIL'!$E$23</f>
        <v>0.5~1.5</v>
      </c>
      <c r="I20" s="2168" t="str">
        <f>'XM.GUI MAIL'!$F$23</f>
        <v>(1±0.4)</v>
      </c>
      <c r="J20" s="1876">
        <f>'XM.GUI MAIL'!I23</f>
        <v>0</v>
      </c>
      <c r="K20" s="1876">
        <f>'XM.GUI MAIL'!P23</f>
        <v>0</v>
      </c>
      <c r="L20" s="1876">
        <f>'XM.GUI MAIL'!W23</f>
        <v>0</v>
      </c>
      <c r="M20" s="1876">
        <f>'XM.GUI MAIL'!AD23</f>
        <v>0</v>
      </c>
      <c r="N20" s="1876">
        <f>'XM.GUI MAIL'!AK23</f>
        <v>0</v>
      </c>
      <c r="O20" s="1876">
        <f>'XM.GUI MAIL'!AR23</f>
        <v>0</v>
      </c>
      <c r="P20" s="1237"/>
      <c r="Q20" s="1237"/>
    </row>
    <row r="21" spans="1:20" ht="19.5" customHeight="1">
      <c r="A21" s="1135" t="s">
        <v>1063</v>
      </c>
      <c r="B21" s="1233"/>
      <c r="C21" s="1233"/>
      <c r="D21" s="1233"/>
      <c r="E21" s="1233"/>
      <c r="F21" s="1233"/>
      <c r="G21" s="1233"/>
      <c r="H21" s="2167" t="str">
        <f>'XM.GUI MAIL'!$E$24</f>
        <v>5~10</v>
      </c>
      <c r="I21" s="2168" t="str">
        <f>'XM.GUI MAIL'!$F$24</f>
        <v>(7.5±1)</v>
      </c>
      <c r="J21" s="2169" t="str">
        <f>'XM.GUI MAIL'!I24</f>
        <v/>
      </c>
      <c r="K21" s="2169" t="str">
        <f>'XM.GUI MAIL'!P24</f>
        <v/>
      </c>
      <c r="L21" s="2169" t="str">
        <f>'XM.GUI MAIL'!W24</f>
        <v/>
      </c>
      <c r="M21" s="2169" t="str">
        <f>'XM.GUI MAIL'!AD24</f>
        <v/>
      </c>
      <c r="N21" s="2169" t="str">
        <f>'XM.GUI MAIL'!AK24</f>
        <v/>
      </c>
      <c r="O21" s="2169" t="str">
        <f>'XM.GUI MAIL'!AR24</f>
        <v/>
      </c>
      <c r="P21" s="1237" t="s">
        <v>1163</v>
      </c>
      <c r="Q21" s="1237"/>
    </row>
    <row r="22" spans="1:20" ht="19.5" customHeight="1">
      <c r="A22" s="1135" t="s">
        <v>1064</v>
      </c>
      <c r="B22" s="1233"/>
      <c r="C22" s="1233"/>
      <c r="D22" s="1233"/>
      <c r="E22" s="1233"/>
      <c r="F22" s="1233"/>
      <c r="G22" s="2157"/>
      <c r="H22" s="2167" t="str">
        <f>'XM.GUI MAIL'!$E$25</f>
        <v>1.8~2.2</v>
      </c>
      <c r="I22" s="2168" t="str">
        <f>'XM.GUI MAIL'!$F$25</f>
        <v>(2±0.1)</v>
      </c>
      <c r="J22" s="2170">
        <f>'XM.GUI MAIL'!I25</f>
        <v>0</v>
      </c>
      <c r="K22" s="2170">
        <f>'XM.GUI MAIL'!P25</f>
        <v>0</v>
      </c>
      <c r="L22" s="2170">
        <f>'XM.GUI MAIL'!W25</f>
        <v>0</v>
      </c>
      <c r="M22" s="2170">
        <f>'XM.GUI MAIL'!AD25</f>
        <v>0</v>
      </c>
      <c r="N22" s="2170">
        <f>'XM.GUI MAIL'!AK25</f>
        <v>0</v>
      </c>
      <c r="O22" s="2170">
        <f>'XM.GUI MAIL'!AR25</f>
        <v>0</v>
      </c>
      <c r="P22" s="1237" t="s">
        <v>1163</v>
      </c>
      <c r="Q22" s="1237"/>
    </row>
    <row r="23" spans="1:20" ht="21" customHeight="1">
      <c r="A23" s="1234" t="s">
        <v>1155</v>
      </c>
      <c r="B23" s="1235"/>
      <c r="C23" s="1235"/>
      <c r="D23" s="1235"/>
      <c r="E23" s="1235"/>
      <c r="F23" s="1235"/>
      <c r="G23" s="2156"/>
      <c r="H23" s="2159" t="s">
        <v>1522</v>
      </c>
      <c r="I23" s="2159" t="s">
        <v>1319</v>
      </c>
      <c r="J23" s="1869">
        <f>B23</f>
        <v>0</v>
      </c>
      <c r="K23" s="1869">
        <f t="shared" ref="K23:O23" si="0">C23</f>
        <v>0</v>
      </c>
      <c r="L23" s="1869">
        <f t="shared" si="0"/>
        <v>0</v>
      </c>
      <c r="M23" s="1869">
        <f t="shared" si="0"/>
        <v>0</v>
      </c>
      <c r="N23" s="1869">
        <f t="shared" si="0"/>
        <v>0</v>
      </c>
      <c r="O23" s="1869">
        <f t="shared" si="0"/>
        <v>0</v>
      </c>
      <c r="P23" s="1237" t="s">
        <v>1163</v>
      </c>
      <c r="Q23" s="1237"/>
    </row>
    <row r="24" spans="1:20" ht="15.75" customHeight="1">
      <c r="H24" s="106"/>
      <c r="I24" s="106"/>
      <c r="J24" s="106"/>
      <c r="K24" s="1"/>
      <c r="L24" s="1"/>
      <c r="M24" s="1"/>
      <c r="N24" s="1"/>
      <c r="O24" s="1"/>
      <c r="Q24" s="1"/>
    </row>
    <row r="25" spans="1:20" ht="22.5" customHeight="1">
      <c r="A25" s="2154" t="s">
        <v>218</v>
      </c>
      <c r="B25" s="1122" t="s">
        <v>1478</v>
      </c>
      <c r="C25" s="1123" t="s">
        <v>1479</v>
      </c>
      <c r="D25" s="1123" t="s">
        <v>1480</v>
      </c>
      <c r="E25" s="1123" t="s">
        <v>1481</v>
      </c>
      <c r="F25" s="1123" t="s">
        <v>1482</v>
      </c>
      <c r="G25" s="1122" t="s">
        <v>1483</v>
      </c>
      <c r="H25" s="2163" t="s">
        <v>1524</v>
      </c>
      <c r="I25" s="2164"/>
      <c r="J25" s="1115" t="s">
        <v>1478</v>
      </c>
      <c r="K25" s="1116" t="s">
        <v>1479</v>
      </c>
      <c r="L25" s="1116" t="s">
        <v>1480</v>
      </c>
      <c r="M25" s="1116" t="s">
        <v>1481</v>
      </c>
      <c r="N25" s="1116" t="s">
        <v>1482</v>
      </c>
      <c r="O25" s="1116" t="s">
        <v>1483</v>
      </c>
      <c r="P25" s="1238" t="s">
        <v>1166</v>
      </c>
      <c r="Q25" s="1"/>
    </row>
    <row r="26" spans="1:20" ht="15.75" customHeight="1">
      <c r="A26" s="2" t="s">
        <v>1047</v>
      </c>
      <c r="B26" s="1124">
        <v>10.8</v>
      </c>
      <c r="C26" s="1124">
        <v>10.9</v>
      </c>
      <c r="D26" s="1124">
        <v>11.4</v>
      </c>
      <c r="E26" s="1124">
        <v>11.5</v>
      </c>
      <c r="F26" s="1124"/>
      <c r="G26" s="2155">
        <v>11.2</v>
      </c>
      <c r="H26" s="2160" t="str">
        <f>'XM.GUI MAIL'!$E$43</f>
        <v>60~80</v>
      </c>
      <c r="I26" s="2160" t="str">
        <f>'XM.GUI MAIL'!$F$43</f>
        <v>(70±5)</v>
      </c>
      <c r="J26" s="2067">
        <f>'XM.GUI MAIL'!I43</f>
        <v>70.092000000000013</v>
      </c>
      <c r="K26" s="2067">
        <f>'XM.GUI MAIL'!P43</f>
        <v>70.741</v>
      </c>
      <c r="L26" s="2067">
        <f>'XM.GUI MAIL'!W43</f>
        <v>73.986000000000004</v>
      </c>
      <c r="M26" s="2067">
        <f>'XM.GUI MAIL'!AD43</f>
        <v>74.635000000000005</v>
      </c>
      <c r="N26" s="2067">
        <f>'XM.GUI MAIL'!AK43</f>
        <v>0</v>
      </c>
      <c r="O26" s="2067">
        <f>'XM.GUI MAIL'!AR43</f>
        <v>72.688000000000002</v>
      </c>
      <c r="P26" s="1236" t="s">
        <v>1164</v>
      </c>
      <c r="Q26" s="1236"/>
    </row>
    <row r="27" spans="1:20" ht="15.75" hidden="1" customHeight="1">
      <c r="A27" s="2"/>
      <c r="B27" s="1124"/>
      <c r="C27" s="1124"/>
      <c r="D27" s="1124"/>
      <c r="E27" s="1124"/>
      <c r="F27" s="1124"/>
      <c r="G27" s="2155"/>
      <c r="H27" s="2160" t="s">
        <v>990</v>
      </c>
      <c r="I27" s="2160"/>
      <c r="J27" s="1998">
        <f>'XM.GUI MAIL'!I44</f>
        <v>0</v>
      </c>
      <c r="K27" s="1998">
        <f>'XM.GUI MAIL'!P44</f>
        <v>0</v>
      </c>
      <c r="L27" s="1998">
        <f>'XM.GUI MAIL'!W44</f>
        <v>0</v>
      </c>
      <c r="M27" s="1998">
        <f>'XM.GUI MAIL'!AD44</f>
        <v>0</v>
      </c>
      <c r="N27" s="1998">
        <f>'XM.GUI MAIL'!AK44</f>
        <v>0</v>
      </c>
      <c r="O27" s="1998">
        <f>'XM.GUI MAIL'!AR44</f>
        <v>0</v>
      </c>
      <c r="P27" s="1236"/>
      <c r="Q27" s="1236"/>
    </row>
    <row r="28" spans="1:20" ht="15.75" customHeight="1">
      <c r="A28" s="2" t="s">
        <v>1065</v>
      </c>
      <c r="B28" s="1124">
        <v>11.45</v>
      </c>
      <c r="C28" s="1124">
        <v>11.4</v>
      </c>
      <c r="D28" s="1124">
        <v>11.1</v>
      </c>
      <c r="E28" s="1124">
        <v>11</v>
      </c>
      <c r="F28" s="1124"/>
      <c r="G28" s="2155">
        <v>11</v>
      </c>
      <c r="H28" s="2160" t="str">
        <f>'XM.GUI MAIL'!$E$45</f>
        <v>60~80</v>
      </c>
      <c r="I28" s="2160" t="str">
        <f>'XM.GUI MAIL'!$F$45</f>
        <v>(70±5)</v>
      </c>
      <c r="J28" s="2067">
        <f>'XM.GUI MAIL'!I45</f>
        <v>74.310500000000005</v>
      </c>
      <c r="K28" s="2067">
        <f>'XM.GUI MAIL'!P45</f>
        <v>73.986000000000004</v>
      </c>
      <c r="L28" s="2067">
        <f>'XM.GUI MAIL'!W45</f>
        <v>72.039000000000001</v>
      </c>
      <c r="M28" s="2067">
        <f>'XM.GUI MAIL'!AD45</f>
        <v>71.39</v>
      </c>
      <c r="N28" s="2067">
        <f>'XM.GUI MAIL'!AK45</f>
        <v>0</v>
      </c>
      <c r="O28" s="2067">
        <f>'XM.GUI MAIL'!AR45</f>
        <v>71.39</v>
      </c>
      <c r="P28" s="1236" t="s">
        <v>1164</v>
      </c>
      <c r="Q28" s="1236"/>
      <c r="R28" s="2818" t="s">
        <v>152</v>
      </c>
      <c r="S28" s="2818"/>
      <c r="T28" s="2818"/>
    </row>
    <row r="29" spans="1:20" ht="15.75" hidden="1" customHeight="1">
      <c r="A29" s="2"/>
      <c r="B29" s="1124"/>
      <c r="C29" s="1124"/>
      <c r="D29" s="1124"/>
      <c r="E29" s="1124"/>
      <c r="F29" s="1124"/>
      <c r="G29" s="2155"/>
      <c r="H29" s="2160" t="s">
        <v>990</v>
      </c>
      <c r="I29" s="2160"/>
      <c r="J29" s="1998">
        <f>'XM.GUI MAIL'!I46</f>
        <v>0</v>
      </c>
      <c r="K29" s="1998">
        <f>'XM.GUI MAIL'!P46</f>
        <v>0</v>
      </c>
      <c r="L29" s="1998">
        <f>'XM.GUI MAIL'!W46</f>
        <v>0</v>
      </c>
      <c r="M29" s="1998">
        <f>'XM.GUI MAIL'!AD46</f>
        <v>0</v>
      </c>
      <c r="N29" s="1998">
        <f>'XM.GUI MAIL'!AK46</f>
        <v>0</v>
      </c>
      <c r="O29" s="1998">
        <f>'XM.GUI MAIL'!AR46</f>
        <v>0</v>
      </c>
      <c r="P29" s="1236"/>
      <c r="Q29" s="1236"/>
      <c r="R29" s="2818"/>
      <c r="S29" s="2818"/>
      <c r="T29" s="2818"/>
    </row>
    <row r="30" spans="1:20" ht="15.75" customHeight="1">
      <c r="A30" s="2" t="s">
        <v>1051</v>
      </c>
      <c r="B30" s="1124">
        <v>12.25</v>
      </c>
      <c r="C30" s="1124">
        <v>12.2</v>
      </c>
      <c r="D30" s="1124">
        <v>13.25</v>
      </c>
      <c r="E30" s="1124">
        <v>13.6</v>
      </c>
      <c r="F30" s="1124"/>
      <c r="G30" s="2155">
        <v>13.1</v>
      </c>
      <c r="H30" s="2160" t="str">
        <f>'XM.GUI MAIL'!$E$47</f>
        <v>50~70</v>
      </c>
      <c r="I30" s="2160" t="str">
        <f>'XM.GUI MAIL'!$F$47</f>
        <v>(60±10)</v>
      </c>
      <c r="J30" s="2067">
        <f>'XM.GUI MAIL'!I47</f>
        <v>56.594999999999999</v>
      </c>
      <c r="K30" s="2067">
        <f>'XM.GUI MAIL'!P47</f>
        <v>56.363999999999997</v>
      </c>
      <c r="L30" s="2067">
        <f>'XM.GUI MAIL'!W47</f>
        <v>61.215000000000003</v>
      </c>
      <c r="M30" s="2067">
        <f>'XM.GUI MAIL'!AD47</f>
        <v>62.832000000000001</v>
      </c>
      <c r="N30" s="2067">
        <f>'XM.GUI MAIL'!AK47</f>
        <v>0</v>
      </c>
      <c r="O30" s="2067">
        <f>'XM.GUI MAIL'!AR47</f>
        <v>60.521999999999998</v>
      </c>
      <c r="P30" s="1236" t="s">
        <v>1164</v>
      </c>
      <c r="Q30" s="1236"/>
      <c r="R30" s="2818"/>
      <c r="S30" s="2818"/>
      <c r="T30" s="2818"/>
    </row>
    <row r="31" spans="1:20" ht="15.75" hidden="1" customHeight="1">
      <c r="A31" s="2"/>
      <c r="B31" s="1124"/>
      <c r="C31" s="1124"/>
      <c r="D31" s="1124"/>
      <c r="E31" s="1124"/>
      <c r="F31" s="1124"/>
      <c r="G31" s="2155"/>
      <c r="H31" s="2160" t="s">
        <v>991</v>
      </c>
      <c r="I31" s="2160"/>
      <c r="J31" s="1998">
        <f>'XM.GUI MAIL'!I48</f>
        <v>0</v>
      </c>
      <c r="K31" s="1998">
        <f>'XM.GUI MAIL'!P48</f>
        <v>0</v>
      </c>
      <c r="L31" s="1998">
        <f>'XM.GUI MAIL'!W48</f>
        <v>0</v>
      </c>
      <c r="M31" s="1998">
        <f>'XM.GUI MAIL'!AD48</f>
        <v>0</v>
      </c>
      <c r="N31" s="1998">
        <f>'XM.GUI MAIL'!AK48</f>
        <v>0</v>
      </c>
      <c r="O31" s="1998">
        <f>'XM.GUI MAIL'!AR48</f>
        <v>0</v>
      </c>
      <c r="P31" s="1236"/>
      <c r="Q31" s="1236"/>
      <c r="R31" s="2135"/>
      <c r="S31" s="2135"/>
      <c r="T31" s="2135"/>
    </row>
    <row r="32" spans="1:20" ht="15.75" customHeight="1">
      <c r="A32" s="2" t="s">
        <v>1052</v>
      </c>
      <c r="B32" s="1124">
        <v>12.3</v>
      </c>
      <c r="C32" s="1124">
        <v>12.6</v>
      </c>
      <c r="D32" s="1124">
        <v>13.9</v>
      </c>
      <c r="E32" s="1124">
        <v>13.4</v>
      </c>
      <c r="F32" s="1124"/>
      <c r="G32" s="2155">
        <v>12.7</v>
      </c>
      <c r="H32" s="2160" t="str">
        <f>'XM.GUI MAIL'!$E$49</f>
        <v>50~70</v>
      </c>
      <c r="I32" s="2160" t="str">
        <f>'XM.GUI MAIL'!$F$49</f>
        <v>(60±10)</v>
      </c>
      <c r="J32" s="2067">
        <f>'XM.GUI MAIL'!I49</f>
        <v>56.826000000000008</v>
      </c>
      <c r="K32" s="2067">
        <f>'XM.GUI MAIL'!P49</f>
        <v>58.211999999999996</v>
      </c>
      <c r="L32" s="2067">
        <f>'XM.GUI MAIL'!W49</f>
        <v>64.218000000000004</v>
      </c>
      <c r="M32" s="2067">
        <f>'XM.GUI MAIL'!AD49</f>
        <v>61.908000000000001</v>
      </c>
      <c r="N32" s="2067">
        <f>'XM.GUI MAIL'!AK49</f>
        <v>0</v>
      </c>
      <c r="O32" s="2067">
        <f>'XM.GUI MAIL'!AR49</f>
        <v>58.673999999999999</v>
      </c>
      <c r="P32" s="1236" t="s">
        <v>1164</v>
      </c>
      <c r="Q32" s="1236"/>
    </row>
    <row r="33" spans="1:19" ht="15.75" hidden="1" customHeight="1">
      <c r="A33" s="2"/>
      <c r="B33" s="1124"/>
      <c r="C33" s="1124"/>
      <c r="D33" s="1124"/>
      <c r="E33" s="1124"/>
      <c r="F33" s="1124"/>
      <c r="G33" s="2155"/>
      <c r="H33" s="2160" t="s">
        <v>991</v>
      </c>
      <c r="I33" s="2160"/>
      <c r="J33" s="1998">
        <f>'XM.GUI MAIL'!I50</f>
        <v>0</v>
      </c>
      <c r="K33" s="1998">
        <f>'XM.GUI MAIL'!P50</f>
        <v>0</v>
      </c>
      <c r="L33" s="1998">
        <f>'XM.GUI MAIL'!W50</f>
        <v>0</v>
      </c>
      <c r="M33" s="1998">
        <f>'XM.GUI MAIL'!AD50</f>
        <v>0</v>
      </c>
      <c r="N33" s="1998">
        <f>'XM.GUI MAIL'!AK50</f>
        <v>0</v>
      </c>
      <c r="O33" s="1998">
        <f>'XM.GUI MAIL'!AR50</f>
        <v>0</v>
      </c>
      <c r="P33" s="1236"/>
      <c r="Q33" s="1236"/>
    </row>
    <row r="34" spans="1:19" ht="15.75" customHeight="1">
      <c r="A34" s="2" t="s">
        <v>1066</v>
      </c>
      <c r="B34" s="1124">
        <v>18.05</v>
      </c>
      <c r="C34" s="1124">
        <v>18.2</v>
      </c>
      <c r="D34" s="1124">
        <v>18.2</v>
      </c>
      <c r="E34" s="1124">
        <v>18.2</v>
      </c>
      <c r="F34" s="1124"/>
      <c r="G34" s="2155">
        <v>18.3</v>
      </c>
      <c r="H34" s="2167" t="str">
        <f>'XM.GUI MAIL'!$E$51</f>
        <v>130 - 150</v>
      </c>
      <c r="I34" s="2167" t="str">
        <f>'XM.GUI MAIL'!$F$51</f>
        <v>(140±7)</v>
      </c>
      <c r="J34" s="1862">
        <f>'XM.GUI MAIL'!I51</f>
        <v>144.4</v>
      </c>
      <c r="K34" s="1862">
        <f>'XM.GUI MAIL'!P51</f>
        <v>145.6</v>
      </c>
      <c r="L34" s="1862">
        <f>'XM.GUI MAIL'!W51</f>
        <v>145.6</v>
      </c>
      <c r="M34" s="1862">
        <f>'XM.GUI MAIL'!AD51</f>
        <v>145.6</v>
      </c>
      <c r="N34" s="1862">
        <f>'XM.GUI MAIL'!AK51</f>
        <v>0</v>
      </c>
      <c r="O34" s="1862">
        <f>'XM.GUI MAIL'!AR51</f>
        <v>146.4</v>
      </c>
      <c r="P34" s="1236" t="s">
        <v>1164</v>
      </c>
      <c r="Q34" s="1236"/>
      <c r="R34" s="1129" t="s">
        <v>151</v>
      </c>
      <c r="S34" s="1129"/>
    </row>
    <row r="35" spans="1:19" ht="15.75" customHeight="1" thickBot="1">
      <c r="A35" s="2252" t="s">
        <v>1067</v>
      </c>
      <c r="B35" s="2253">
        <v>8.9</v>
      </c>
      <c r="C35" s="2253">
        <v>8.6</v>
      </c>
      <c r="D35" s="2253">
        <v>8.6</v>
      </c>
      <c r="E35" s="2253">
        <v>8.6</v>
      </c>
      <c r="F35" s="2253"/>
      <c r="G35" s="2254">
        <v>8.4</v>
      </c>
      <c r="H35" s="2255" t="str">
        <f>'XM.GUI MAIL'!$E$52</f>
        <v>8~12</v>
      </c>
      <c r="I35" s="2255" t="str">
        <f>'XM.GUI MAIL'!$F$52</f>
        <v>(10±2)</v>
      </c>
      <c r="J35" s="1838">
        <f>'XM.GUI MAIL'!I52</f>
        <v>11.57</v>
      </c>
      <c r="K35" s="1838">
        <f>'XM.GUI MAIL'!P52</f>
        <v>11.18</v>
      </c>
      <c r="L35" s="1838">
        <f>'XM.GUI MAIL'!W52</f>
        <v>11.18</v>
      </c>
      <c r="M35" s="1838">
        <f>'XM.GUI MAIL'!AD52</f>
        <v>11.18</v>
      </c>
      <c r="N35" s="1838">
        <f>'XM.GUI MAIL'!AK52</f>
        <v>0</v>
      </c>
      <c r="O35" s="1838">
        <f>'XM.GUI MAIL'!AR52</f>
        <v>10.920000000000002</v>
      </c>
      <c r="P35" s="1236" t="s">
        <v>1164</v>
      </c>
      <c r="Q35" s="1236"/>
    </row>
    <row r="36" spans="1:19" ht="15.75" customHeight="1" thickBot="1">
      <c r="A36" s="2260" t="s">
        <v>1068</v>
      </c>
      <c r="B36" s="2261">
        <v>18.899999999999999</v>
      </c>
      <c r="C36" s="2261">
        <v>19</v>
      </c>
      <c r="D36" s="2261">
        <v>18.2</v>
      </c>
      <c r="E36" s="2261">
        <v>18.8</v>
      </c>
      <c r="F36" s="2261"/>
      <c r="G36" s="2262">
        <v>20.2</v>
      </c>
      <c r="H36" s="2263" t="str">
        <f>'XM.GUI MAIL'!$E$53</f>
        <v xml:space="preserve">6~10 </v>
      </c>
      <c r="I36" s="2351" t="str">
        <f>'XM.GUI MAIL'!$F$53</f>
        <v>(7±1)</v>
      </c>
      <c r="J36" s="1838">
        <f>'XM.GUI MAIL'!I53</f>
        <v>6.96183</v>
      </c>
      <c r="K36" s="1838">
        <f>'XM.GUI MAIL'!P53</f>
        <v>7.0042</v>
      </c>
      <c r="L36" s="1838">
        <f>'XM.GUI MAIL'!W53</f>
        <v>6.6652399999999998</v>
      </c>
      <c r="M36" s="1838">
        <f>'XM.GUI MAIL'!AD53</f>
        <v>6.9194600000000008</v>
      </c>
      <c r="N36" s="1838">
        <f>'XM.GUI MAIL'!AK53</f>
        <v>-1.0461</v>
      </c>
      <c r="O36" s="1838">
        <f>'XM.GUI MAIL'!AR53</f>
        <v>7.5126400000000002</v>
      </c>
      <c r="P36" s="1236" t="s">
        <v>1164</v>
      </c>
      <c r="Q36" s="2145"/>
      <c r="R36" s="1117" t="s">
        <v>153</v>
      </c>
    </row>
    <row r="37" spans="1:19" ht="15.75" hidden="1" customHeight="1">
      <c r="A37" s="2256"/>
      <c r="B37" s="2257"/>
      <c r="C37" s="2257"/>
      <c r="D37" s="2257"/>
      <c r="E37" s="2257"/>
      <c r="F37" s="2257"/>
      <c r="G37" s="2258"/>
      <c r="H37" s="2259" t="str">
        <f>'XM.GUI MAIL'!$E$54</f>
        <v>2~2.5</v>
      </c>
      <c r="I37" s="2259" t="str">
        <f>'XM.GUI MAIL'!$F$54</f>
        <v>(2.3±0.1 )</v>
      </c>
      <c r="J37" s="1838">
        <f>'XM.GUI MAIL'!I54</f>
        <v>2.5</v>
      </c>
      <c r="K37" s="1838">
        <f>'XM.GUI MAIL'!P54</f>
        <v>2.2999999999999998</v>
      </c>
      <c r="L37" s="1838">
        <f>'XM.GUI MAIL'!W54</f>
        <v>2.2999999999999998</v>
      </c>
      <c r="M37" s="1838">
        <f>'XM.GUI MAIL'!AD54</f>
        <v>2.2000000000000002</v>
      </c>
      <c r="N37" s="1838">
        <f>'XM.GUI MAIL'!AK54</f>
        <v>0</v>
      </c>
      <c r="O37" s="1838">
        <f>'XM.GUI MAIL'!AR54</f>
        <v>2.2000000000000002</v>
      </c>
      <c r="P37" s="1236"/>
      <c r="Q37" s="2145"/>
    </row>
    <row r="38" spans="1:19" ht="15.75" customHeight="1">
      <c r="A38" s="2" t="s">
        <v>1057</v>
      </c>
      <c r="B38" s="1124">
        <v>3.8</v>
      </c>
      <c r="C38" s="1124">
        <v>4</v>
      </c>
      <c r="D38" s="1124">
        <v>4.1500000000000004</v>
      </c>
      <c r="E38" s="1124">
        <v>4</v>
      </c>
      <c r="F38" s="1124"/>
      <c r="G38" s="2155">
        <v>3.8</v>
      </c>
      <c r="H38" s="2167" t="str">
        <f>'XM.GUI MAIL'!$E$55</f>
        <v xml:space="preserve">40~50 </v>
      </c>
      <c r="I38" s="2167" t="str">
        <f>'XM.GUI MAIL'!$F$55</f>
        <v>(45±5)</v>
      </c>
      <c r="J38" s="1843">
        <f>'XM.GUI MAIL'!I55</f>
        <v>0.43343749999999998</v>
      </c>
      <c r="K38" s="1843">
        <f>'XM.GUI MAIL'!P55</f>
        <v>0.45624999999999999</v>
      </c>
      <c r="L38" s="1843">
        <f>'XM.GUI MAIL'!W55</f>
        <v>0.47335937500000008</v>
      </c>
      <c r="M38" s="1843">
        <f>'XM.GUI MAIL'!AD55</f>
        <v>0.45624999999999999</v>
      </c>
      <c r="N38" s="1843">
        <f>'XM.GUI MAIL'!AK55</f>
        <v>0</v>
      </c>
      <c r="O38" s="1843">
        <f>'XM.GUI MAIL'!AR55</f>
        <v>0.43343749999999998</v>
      </c>
      <c r="P38" s="1236"/>
      <c r="Q38" s="1236"/>
      <c r="R38" s="1117">
        <f>5*1.162</f>
        <v>5.81</v>
      </c>
      <c r="S38" s="1130" t="s">
        <v>154</v>
      </c>
    </row>
    <row r="39" spans="1:19" ht="15.75" hidden="1" customHeight="1">
      <c r="A39" s="2" t="s">
        <v>1060</v>
      </c>
      <c r="B39" s="1124"/>
      <c r="C39" s="1124"/>
      <c r="D39" s="1124"/>
      <c r="E39" s="1124"/>
      <c r="F39" s="1124"/>
      <c r="G39" s="2155"/>
      <c r="H39" s="2167" t="str">
        <f>'XM.GUI MAIL'!$E$56</f>
        <v>(22±5) =17~27</v>
      </c>
      <c r="I39" s="2167" t="str">
        <f>'XM.GUI MAIL'!$F$56</f>
        <v>(22±5)</v>
      </c>
      <c r="J39" s="1843">
        <f>'XM.GUI MAIL'!I56</f>
        <v>0</v>
      </c>
      <c r="K39" s="1843">
        <f>'XM.GUI MAIL'!P56</f>
        <v>0</v>
      </c>
      <c r="L39" s="1843">
        <f>'XM.GUI MAIL'!W56</f>
        <v>0</v>
      </c>
      <c r="M39" s="1843">
        <f>'XM.GUI MAIL'!AD56</f>
        <v>0</v>
      </c>
      <c r="N39" s="1843">
        <f>'XM.GUI MAIL'!AK56</f>
        <v>0</v>
      </c>
      <c r="O39" s="1843">
        <f>'XM.GUI MAIL'!AR56</f>
        <v>0</v>
      </c>
      <c r="P39" s="1236"/>
      <c r="Q39" s="1236"/>
      <c r="R39" s="1117">
        <f>R38*1000</f>
        <v>5810</v>
      </c>
      <c r="S39" s="1130" t="s">
        <v>155</v>
      </c>
    </row>
    <row r="40" spans="1:19" ht="15.75" hidden="1" customHeight="1">
      <c r="A40" s="2" t="s">
        <v>1061</v>
      </c>
      <c r="B40" s="1124"/>
      <c r="C40" s="1124"/>
      <c r="D40" s="1124"/>
      <c r="E40" s="1124"/>
      <c r="F40" s="1124"/>
      <c r="G40" s="2155"/>
      <c r="H40" s="2167" t="str">
        <f>'XM.GUI MAIL'!$E$57</f>
        <v>5~15</v>
      </c>
      <c r="I40" s="2167" t="str">
        <f>'XM.GUI MAIL'!$F$57</f>
        <v>(10±3)</v>
      </c>
      <c r="J40" s="1843">
        <f>'XM.GUI MAIL'!I57</f>
        <v>0</v>
      </c>
      <c r="K40" s="1843">
        <f>'XM.GUI MAIL'!P57</f>
        <v>0</v>
      </c>
      <c r="L40" s="1843">
        <f>'XM.GUI MAIL'!W57</f>
        <v>0</v>
      </c>
      <c r="M40" s="1843">
        <f>'XM.GUI MAIL'!AD57</f>
        <v>0</v>
      </c>
      <c r="N40" s="1843">
        <f>'XM.GUI MAIL'!AK57</f>
        <v>0</v>
      </c>
      <c r="O40" s="1843">
        <f>'XM.GUI MAIL'!AR57</f>
        <v>0</v>
      </c>
      <c r="P40" s="1236"/>
      <c r="Q40" s="1236"/>
    </row>
    <row r="41" spans="1:19" ht="15.75" customHeight="1">
      <c r="A41" s="1096" t="s">
        <v>1062</v>
      </c>
      <c r="B41" s="1124">
        <v>9.4</v>
      </c>
      <c r="C41" s="1124">
        <v>8.4</v>
      </c>
      <c r="D41" s="1124">
        <v>8.1999999999999993</v>
      </c>
      <c r="E41" s="1124">
        <v>9.8000000000000007</v>
      </c>
      <c r="F41" s="1124"/>
      <c r="G41" s="1124">
        <v>7.5</v>
      </c>
      <c r="H41" s="2167" t="str">
        <f>'XM.GUI MAIL'!$E$58</f>
        <v>0.5~1.5</v>
      </c>
      <c r="I41" s="2167" t="str">
        <f>'XM.GUI MAIL'!$F$58</f>
        <v>(1±0.4)</v>
      </c>
      <c r="J41" s="1876">
        <f>'XM.GUI MAIL'!I58</f>
        <v>1.1844E-2</v>
      </c>
      <c r="K41" s="1876">
        <f>'XM.GUI MAIL'!P58</f>
        <v>1.0584E-2</v>
      </c>
      <c r="L41" s="1876">
        <f>'XM.GUI MAIL'!W58</f>
        <v>1.0331999999999999E-2</v>
      </c>
      <c r="M41" s="1876">
        <f>'XM.GUI MAIL'!AD58</f>
        <v>1.2348000000000001E-2</v>
      </c>
      <c r="N41" s="1876">
        <f>'XM.GUI MAIL'!AK58</f>
        <v>0</v>
      </c>
      <c r="O41" s="1876">
        <f>'XM.GUI MAIL'!AR58</f>
        <v>9.4500000000000001E-3</v>
      </c>
      <c r="P41" s="1236"/>
      <c r="Q41" s="1236"/>
    </row>
    <row r="42" spans="1:19" ht="16.5" customHeight="1">
      <c r="A42" s="1135" t="s">
        <v>1063</v>
      </c>
      <c r="B42" s="1233">
        <v>5.9</v>
      </c>
      <c r="C42" s="1233"/>
      <c r="D42" s="1233"/>
      <c r="E42" s="1233"/>
      <c r="F42" s="1233"/>
      <c r="G42" s="2157"/>
      <c r="H42" s="2167" t="str">
        <f>'XM.GUI MAIL'!$E$59</f>
        <v>5~8</v>
      </c>
      <c r="I42" s="2167" t="str">
        <f>'XM.GUI MAIL'!$F$59</f>
        <v>(6±0.5)</v>
      </c>
      <c r="J42" s="2177">
        <f>'XM.GUI MAIL'!I59</f>
        <v>6.120000000000001</v>
      </c>
      <c r="K42" s="2177" t="str">
        <f>'XM.GUI MAIL'!P59</f>
        <v>KO SX</v>
      </c>
      <c r="L42" s="2177" t="str">
        <f>'XM.GUI MAIL'!W59</f>
        <v>KO SX</v>
      </c>
      <c r="M42" s="2177" t="str">
        <f>'XM.GUI MAIL'!AD59</f>
        <v>KO SX</v>
      </c>
      <c r="N42" s="2177" t="str">
        <f>'XM.GUI MAIL'!AK59</f>
        <v/>
      </c>
      <c r="O42" s="2177" t="str">
        <f>'XM.GUI MAIL'!AR59</f>
        <v>KO SX</v>
      </c>
      <c r="P42" s="1236" t="s">
        <v>1164</v>
      </c>
      <c r="Q42" s="1236"/>
    </row>
    <row r="43" spans="1:19" ht="16.5" customHeight="1">
      <c r="A43" s="1135" t="s">
        <v>1167</v>
      </c>
      <c r="B43" s="1233">
        <v>2.2000000000000002</v>
      </c>
      <c r="C43" s="1233"/>
      <c r="D43" s="1233"/>
      <c r="E43" s="1233"/>
      <c r="F43" s="1233"/>
      <c r="G43" s="2157"/>
      <c r="H43" s="2167" t="str">
        <f>'XM.GUI MAIL'!$E$60</f>
        <v>1.8~2.4</v>
      </c>
      <c r="I43" s="2167" t="str">
        <f>'XM.GUI MAIL'!$F$60</f>
        <v>(2.1±0.1 )</v>
      </c>
      <c r="J43" s="2178">
        <f>'XM.GUI MAIL'!I60</f>
        <v>2.2000000000000002</v>
      </c>
      <c r="K43" s="2178" t="str">
        <f>'XM.GUI MAIL'!P60</f>
        <v>KO SX</v>
      </c>
      <c r="L43" s="2178" t="str">
        <f>'XM.GUI MAIL'!W60</f>
        <v>KO SX</v>
      </c>
      <c r="M43" s="2178" t="str">
        <f>'XM.GUI MAIL'!AD60</f>
        <v>KO SX</v>
      </c>
      <c r="N43" s="2178">
        <f>'XM.GUI MAIL'!AK60</f>
        <v>0</v>
      </c>
      <c r="O43" s="2178" t="str">
        <f>'XM.GUI MAIL'!AR60</f>
        <v>KO SX</v>
      </c>
      <c r="P43" s="1236" t="s">
        <v>1164</v>
      </c>
      <c r="Q43" s="1236"/>
    </row>
    <row r="44" spans="1:19" ht="20.25" customHeight="1">
      <c r="A44" s="1234" t="s">
        <v>1160</v>
      </c>
      <c r="B44" s="1235">
        <v>2.5</v>
      </c>
      <c r="C44" s="1235">
        <v>2.2999999999999998</v>
      </c>
      <c r="D44" s="1235">
        <v>2.2999999999999998</v>
      </c>
      <c r="E44" s="1235">
        <v>2.2000000000000002</v>
      </c>
      <c r="F44" s="1235"/>
      <c r="G44" s="2156">
        <v>2.2000000000000002</v>
      </c>
      <c r="H44" s="2161" t="str">
        <f>'XM.FILE GOC'!E54</f>
        <v>2~2.5</v>
      </c>
      <c r="I44" s="2161" t="str">
        <f>'XM.FILE GOC'!F54</f>
        <v>(2.3±0.1 )</v>
      </c>
      <c r="J44" s="1838">
        <f>B44</f>
        <v>2.5</v>
      </c>
      <c r="K44" s="1838">
        <f t="shared" ref="K44:O44" si="1">C44</f>
        <v>2.2999999999999998</v>
      </c>
      <c r="L44" s="1838">
        <f t="shared" si="1"/>
        <v>2.2999999999999998</v>
      </c>
      <c r="M44" s="1838">
        <f t="shared" si="1"/>
        <v>2.2000000000000002</v>
      </c>
      <c r="N44" s="1838">
        <f t="shared" si="1"/>
        <v>0</v>
      </c>
      <c r="O44" s="1838">
        <f t="shared" si="1"/>
        <v>2.2000000000000002</v>
      </c>
      <c r="P44" s="1236" t="s">
        <v>1164</v>
      </c>
      <c r="Q44" s="1236"/>
    </row>
    <row r="45" spans="1:19" ht="15.75" customHeight="1">
      <c r="H45" s="106"/>
      <c r="I45" s="106"/>
      <c r="J45" s="106"/>
      <c r="K45" s="106"/>
      <c r="L45" s="1"/>
      <c r="M45" s="1"/>
      <c r="N45" s="1"/>
      <c r="O45" s="1"/>
      <c r="Q45" s="1"/>
    </row>
    <row r="46" spans="1:19" ht="21.75" customHeight="1">
      <c r="A46" s="1131" t="s">
        <v>1523</v>
      </c>
      <c r="B46" s="1122" t="s">
        <v>1478</v>
      </c>
      <c r="C46" s="1123" t="s">
        <v>1479</v>
      </c>
      <c r="D46" s="1123" t="s">
        <v>1480</v>
      </c>
      <c r="E46" s="1123" t="s">
        <v>1481</v>
      </c>
      <c r="F46" s="1123" t="s">
        <v>1482</v>
      </c>
      <c r="G46" s="1122" t="s">
        <v>1483</v>
      </c>
      <c r="H46" s="2165" t="s">
        <v>1524</v>
      </c>
      <c r="I46" s="2165"/>
      <c r="J46" s="1115" t="s">
        <v>1478</v>
      </c>
      <c r="K46" s="1116" t="s">
        <v>1479</v>
      </c>
      <c r="L46" s="1116" t="s">
        <v>1480</v>
      </c>
      <c r="M46" s="1116" t="s">
        <v>1481</v>
      </c>
      <c r="N46" s="1116" t="s">
        <v>1482</v>
      </c>
      <c r="O46" s="1116" t="s">
        <v>1483</v>
      </c>
      <c r="P46" s="1238" t="s">
        <v>1166</v>
      </c>
      <c r="Q46" s="2147"/>
    </row>
    <row r="47" spans="1:19" ht="15.75" customHeight="1">
      <c r="A47" s="2" t="s">
        <v>1047</v>
      </c>
      <c r="B47" s="1124">
        <v>8.1</v>
      </c>
      <c r="C47" s="1124">
        <v>8</v>
      </c>
      <c r="D47" s="1124">
        <v>7.95</v>
      </c>
      <c r="E47" s="1124">
        <v>8</v>
      </c>
      <c r="F47" s="1124"/>
      <c r="G47" s="2155">
        <v>8</v>
      </c>
      <c r="H47" s="2160" t="str">
        <f>'XM.GUI MAIL'!$E$78</f>
        <v>40~60</v>
      </c>
      <c r="I47" s="2160" t="str">
        <f>'XM.GUI MAIL'!$F$78</f>
        <v>(50±5)</v>
      </c>
      <c r="J47" s="2067">
        <f>'XM.GUI MAIL'!I78</f>
        <v>52.569000000000003</v>
      </c>
      <c r="K47" s="2067">
        <f>'XM.GUI MAIL'!P78</f>
        <v>51.92</v>
      </c>
      <c r="L47" s="2067">
        <f>'XM.GUI MAIL'!W78</f>
        <v>51.595500000000001</v>
      </c>
      <c r="M47" s="2067">
        <f>'XM.GUI MAIL'!AD78</f>
        <v>51.92</v>
      </c>
      <c r="N47" s="2067">
        <f>'XM.GUI MAIL'!AK78</f>
        <v>0</v>
      </c>
      <c r="O47" s="2067">
        <f>'XM.GUI MAIL'!AR78</f>
        <v>51.92</v>
      </c>
      <c r="P47" s="1236" t="s">
        <v>1164</v>
      </c>
    </row>
    <row r="48" spans="1:19" ht="15.75" hidden="1" customHeight="1">
      <c r="A48" s="2"/>
      <c r="B48" s="1124"/>
      <c r="C48" s="1124"/>
      <c r="D48" s="1124"/>
      <c r="E48" s="1124"/>
      <c r="F48" s="1124"/>
      <c r="G48" s="2155"/>
      <c r="H48" s="2160" t="s">
        <v>1286</v>
      </c>
      <c r="I48" s="2160"/>
      <c r="J48" s="1998">
        <f>'XM.GUI MAIL'!I79</f>
        <v>0</v>
      </c>
      <c r="K48" s="1998">
        <f>'XM.GUI MAIL'!P79</f>
        <v>0</v>
      </c>
      <c r="L48" s="1998">
        <f>'XM.GUI MAIL'!W79</f>
        <v>0</v>
      </c>
      <c r="M48" s="1998">
        <f>'XM.GUI MAIL'!AD79</f>
        <v>0</v>
      </c>
      <c r="N48" s="1998">
        <f>'XM.GUI MAIL'!AK79</f>
        <v>0</v>
      </c>
      <c r="O48" s="1998">
        <f>'XM.GUI MAIL'!AR79</f>
        <v>0</v>
      </c>
      <c r="P48" s="1236"/>
    </row>
    <row r="49" spans="1:17" ht="15.75" customHeight="1">
      <c r="A49" s="2" t="s">
        <v>1065</v>
      </c>
      <c r="B49" s="1124">
        <v>7.75</v>
      </c>
      <c r="C49" s="1124">
        <v>7.75</v>
      </c>
      <c r="D49" s="1124">
        <v>7.75</v>
      </c>
      <c r="E49" s="1124">
        <v>7.8</v>
      </c>
      <c r="F49" s="1124"/>
      <c r="G49" s="2155">
        <v>7.9</v>
      </c>
      <c r="H49" s="2160" t="str">
        <f>'XM.GUI MAIL'!$E$80</f>
        <v>40~60</v>
      </c>
      <c r="I49" s="2160" t="str">
        <f>'XM.GUI MAIL'!$F$80</f>
        <v>(50±5)</v>
      </c>
      <c r="J49" s="2067">
        <f>'XM.GUI MAIL'!I80</f>
        <v>50.297499999999999</v>
      </c>
      <c r="K49" s="2067">
        <f>'XM.GUI MAIL'!P80</f>
        <v>50.297499999999999</v>
      </c>
      <c r="L49" s="2067">
        <f>'XM.GUI MAIL'!W80</f>
        <v>50.297499999999999</v>
      </c>
      <c r="M49" s="2067">
        <f>'XM.GUI MAIL'!AD80</f>
        <v>50.622</v>
      </c>
      <c r="N49" s="2067">
        <f>'XM.GUI MAIL'!AK80</f>
        <v>0</v>
      </c>
      <c r="O49" s="2067">
        <f>'XM.GUI MAIL'!AR80</f>
        <v>51.271000000000001</v>
      </c>
      <c r="P49" s="1236" t="s">
        <v>1164</v>
      </c>
    </row>
    <row r="50" spans="1:17" ht="15.75" hidden="1" customHeight="1">
      <c r="A50" s="2"/>
      <c r="B50" s="1124"/>
      <c r="C50" s="1124"/>
      <c r="D50" s="1124"/>
      <c r="E50" s="1124"/>
      <c r="F50" s="1124"/>
      <c r="G50" s="2155"/>
      <c r="H50" s="2160" t="s">
        <v>1286</v>
      </c>
      <c r="I50" s="2160"/>
      <c r="J50" s="1998">
        <f>'XM.GUI MAIL'!I81</f>
        <v>0</v>
      </c>
      <c r="K50" s="1998">
        <f>'XM.GUI MAIL'!P81</f>
        <v>0</v>
      </c>
      <c r="L50" s="1998">
        <f>'XM.GUI MAIL'!W81</f>
        <v>0</v>
      </c>
      <c r="M50" s="1998">
        <f>'XM.GUI MAIL'!AD81</f>
        <v>0</v>
      </c>
      <c r="N50" s="1998">
        <f>'XM.GUI MAIL'!AK81</f>
        <v>0</v>
      </c>
      <c r="O50" s="1998">
        <f>'XM.GUI MAIL'!AR81</f>
        <v>0</v>
      </c>
      <c r="P50" s="1236"/>
    </row>
    <row r="51" spans="1:17" ht="15.75" customHeight="1">
      <c r="A51" s="2" t="s">
        <v>1051</v>
      </c>
      <c r="B51" s="1124">
        <v>13.75</v>
      </c>
      <c r="C51" s="1124">
        <v>13.7</v>
      </c>
      <c r="D51" s="1124">
        <v>13.4</v>
      </c>
      <c r="E51" s="1124">
        <v>13.4</v>
      </c>
      <c r="F51" s="1124"/>
      <c r="G51" s="2155">
        <v>13.3</v>
      </c>
      <c r="H51" s="2160" t="str">
        <f>'XM.GUI MAIL'!$E$82</f>
        <v>50~70</v>
      </c>
      <c r="I51" s="2160" t="str">
        <f>'XM.GUI MAIL'!$F$82</f>
        <v>(60±5)</v>
      </c>
      <c r="J51" s="2067">
        <f>'XM.GUI MAIL'!I82</f>
        <v>63.524999999999999</v>
      </c>
      <c r="K51" s="2067">
        <f>'XM.GUI MAIL'!P82</f>
        <v>63.293999999999997</v>
      </c>
      <c r="L51" s="2067">
        <f>'XM.GUI MAIL'!W82</f>
        <v>61.908000000000001</v>
      </c>
      <c r="M51" s="2067">
        <f>'XM.GUI MAIL'!AD82</f>
        <v>61.908000000000001</v>
      </c>
      <c r="N51" s="2067">
        <f>'XM.GUI MAIL'!AK82</f>
        <v>0</v>
      </c>
      <c r="O51" s="2067">
        <f>'XM.GUI MAIL'!AR82</f>
        <v>61.446000000000005</v>
      </c>
      <c r="P51" s="1236" t="s">
        <v>1164</v>
      </c>
    </row>
    <row r="52" spans="1:17" ht="15.75" hidden="1" customHeight="1">
      <c r="A52" s="2"/>
      <c r="B52" s="1124"/>
      <c r="C52" s="1124"/>
      <c r="D52" s="1124"/>
      <c r="E52" s="1124"/>
      <c r="F52" s="1124"/>
      <c r="G52" s="2155"/>
      <c r="H52" s="2160" t="s">
        <v>1287</v>
      </c>
      <c r="I52" s="2160"/>
      <c r="J52" s="1998">
        <f>'XM.GUI MAIL'!I83</f>
        <v>0</v>
      </c>
      <c r="K52" s="1998">
        <f>'XM.GUI MAIL'!P83</f>
        <v>0</v>
      </c>
      <c r="L52" s="1998">
        <f>'XM.GUI MAIL'!W83</f>
        <v>0</v>
      </c>
      <c r="M52" s="1998">
        <f>'XM.GUI MAIL'!AD83</f>
        <v>0</v>
      </c>
      <c r="N52" s="1998">
        <f>'XM.GUI MAIL'!AK83</f>
        <v>0</v>
      </c>
      <c r="O52" s="1998">
        <f>'XM.GUI MAIL'!AR83</f>
        <v>0</v>
      </c>
      <c r="P52" s="1236"/>
    </row>
    <row r="53" spans="1:17" ht="15.75" customHeight="1">
      <c r="A53" s="2" t="s">
        <v>1052</v>
      </c>
      <c r="B53" s="1124">
        <v>13.35</v>
      </c>
      <c r="C53" s="1124">
        <v>13.65</v>
      </c>
      <c r="D53" s="1124">
        <v>13.1</v>
      </c>
      <c r="E53" s="1124">
        <v>13</v>
      </c>
      <c r="F53" s="1124"/>
      <c r="G53" s="2155">
        <v>13</v>
      </c>
      <c r="H53" s="2160" t="str">
        <f>'XM.GUI MAIL'!$E$84</f>
        <v>50~70</v>
      </c>
      <c r="I53" s="2160" t="str">
        <f>'XM.GUI MAIL'!$F$84</f>
        <v>(60±5)</v>
      </c>
      <c r="J53" s="2067">
        <f>'XM.GUI MAIL'!I84</f>
        <v>61.677</v>
      </c>
      <c r="K53" s="2067">
        <f>'XM.GUI MAIL'!P84</f>
        <v>63.063000000000002</v>
      </c>
      <c r="L53" s="2067">
        <f>'XM.GUI MAIL'!W84</f>
        <v>60.521999999999998</v>
      </c>
      <c r="M53" s="2067">
        <f>'XM.GUI MAIL'!AD84</f>
        <v>60.06</v>
      </c>
      <c r="N53" s="2067">
        <f>'XM.GUI MAIL'!AK84</f>
        <v>0</v>
      </c>
      <c r="O53" s="2067">
        <f>'XM.GUI MAIL'!AR84</f>
        <v>60.06</v>
      </c>
      <c r="P53" s="1236" t="s">
        <v>1164</v>
      </c>
    </row>
    <row r="54" spans="1:17" ht="15.75" hidden="1" customHeight="1">
      <c r="A54" s="2"/>
      <c r="B54" s="1124"/>
      <c r="C54" s="1124"/>
      <c r="D54" s="1124"/>
      <c r="E54" s="1124"/>
      <c r="F54" s="1124"/>
      <c r="G54" s="2155"/>
      <c r="H54" s="2160" t="s">
        <v>1287</v>
      </c>
      <c r="I54" s="2160"/>
      <c r="J54" s="1998">
        <f>'XM.GUI MAIL'!I85</f>
        <v>0</v>
      </c>
      <c r="K54" s="1998">
        <f>'XM.GUI MAIL'!P85</f>
        <v>0</v>
      </c>
      <c r="L54" s="1998">
        <f>'XM.GUI MAIL'!W85</f>
        <v>0</v>
      </c>
      <c r="M54" s="1998">
        <f>'XM.GUI MAIL'!AD85</f>
        <v>0</v>
      </c>
      <c r="N54" s="1998">
        <f>'XM.GUI MAIL'!AK85</f>
        <v>0</v>
      </c>
      <c r="O54" s="1998">
        <f>'XM.GUI MAIL'!AR85</f>
        <v>0</v>
      </c>
      <c r="P54" s="1236"/>
    </row>
    <row r="55" spans="1:17" ht="15.75" customHeight="1">
      <c r="A55" s="2" t="s">
        <v>0</v>
      </c>
      <c r="B55" s="1124">
        <v>17.95</v>
      </c>
      <c r="C55" s="1124">
        <v>18.100000000000001</v>
      </c>
      <c r="D55" s="1124">
        <v>17.899999999999999</v>
      </c>
      <c r="E55" s="1124">
        <v>17.8</v>
      </c>
      <c r="F55" s="1124"/>
      <c r="G55" s="2155">
        <v>17.8</v>
      </c>
      <c r="H55" s="2162" t="str">
        <f>'XM.GUI MAIL'!$E$86</f>
        <v>135~ 145</v>
      </c>
      <c r="I55" s="2162" t="str">
        <f>'XM.GUI MAIL'!$F$86</f>
        <v>(140±5)</v>
      </c>
      <c r="J55" s="1852">
        <f>'XM.GUI MAIL'!I86</f>
        <v>143.6</v>
      </c>
      <c r="K55" s="1852">
        <f>'XM.GUI MAIL'!P86</f>
        <v>144.80000000000001</v>
      </c>
      <c r="L55" s="1852">
        <f>'XM.GUI MAIL'!W86</f>
        <v>143.19999999999999</v>
      </c>
      <c r="M55" s="1852">
        <f>'XM.GUI MAIL'!AD86</f>
        <v>142.4</v>
      </c>
      <c r="N55" s="1852">
        <f>'XM.GUI MAIL'!AK86</f>
        <v>0</v>
      </c>
      <c r="O55" s="1852">
        <f>'XM.GUI MAIL'!AR86</f>
        <v>142.4</v>
      </c>
      <c r="P55" s="1236" t="s">
        <v>1164</v>
      </c>
    </row>
    <row r="56" spans="1:17" ht="15.75" customHeight="1" thickBot="1">
      <c r="A56" s="2252" t="s">
        <v>1069</v>
      </c>
      <c r="B56" s="2253">
        <v>6.6</v>
      </c>
      <c r="C56" s="2253">
        <v>6.4</v>
      </c>
      <c r="D56" s="2253">
        <v>6.45</v>
      </c>
      <c r="E56" s="2253">
        <v>6.5</v>
      </c>
      <c r="F56" s="2253"/>
      <c r="G56" s="2254">
        <v>6.5</v>
      </c>
      <c r="H56" s="2266" t="str">
        <f>'XM.GUI MAIL'!$E$87</f>
        <v>7~10</v>
      </c>
      <c r="I56" s="2266" t="str">
        <f>'XM.GUI MAIL'!$F$87</f>
        <v>(8.5±1)</v>
      </c>
      <c r="J56" s="1838">
        <f>'XM.GUI MAIL'!I87</f>
        <v>8.58</v>
      </c>
      <c r="K56" s="1838">
        <f>'XM.GUI MAIL'!P87</f>
        <v>8.32</v>
      </c>
      <c r="L56" s="1838">
        <f>'XM.GUI MAIL'!W87</f>
        <v>8.3849999999999998</v>
      </c>
      <c r="M56" s="1838">
        <f>'XM.GUI MAIL'!AD87</f>
        <v>8.4500000000000011</v>
      </c>
      <c r="N56" s="1838">
        <f>'XM.GUI MAIL'!AK87</f>
        <v>0</v>
      </c>
      <c r="O56" s="1838">
        <f>'XM.GUI MAIL'!AR87</f>
        <v>8.4500000000000011</v>
      </c>
      <c r="P56" s="1236" t="s">
        <v>1164</v>
      </c>
    </row>
    <row r="57" spans="1:17" ht="17.25" customHeight="1" thickBot="1">
      <c r="A57" s="2260" t="s">
        <v>1158</v>
      </c>
      <c r="B57" s="2261">
        <v>17.7</v>
      </c>
      <c r="C57" s="2261">
        <v>17.649999999999999</v>
      </c>
      <c r="D57" s="2261">
        <v>17</v>
      </c>
      <c r="E57" s="2261">
        <v>18.3</v>
      </c>
      <c r="F57" s="2261"/>
      <c r="G57" s="2262">
        <v>17.899999999999999</v>
      </c>
      <c r="H57" s="2268" t="str">
        <f>'XM.GUI MAIL'!$E$88</f>
        <v>5~8</v>
      </c>
      <c r="I57" s="2352" t="str">
        <f>'XM.GUI MAIL'!$F$88</f>
        <v>(6±1)</v>
      </c>
      <c r="J57" s="1838">
        <f>'XM.GUI MAIL'!I88</f>
        <v>6.4533899999999997</v>
      </c>
      <c r="K57" s="1838">
        <f>'XM.GUI MAIL'!P88</f>
        <v>6.4322049999999997</v>
      </c>
      <c r="L57" s="1838">
        <f>'XM.GUI MAIL'!W88</f>
        <v>6.1568000000000005</v>
      </c>
      <c r="M57" s="1838">
        <f>'XM.GUI MAIL'!AD88</f>
        <v>6.7076100000000007</v>
      </c>
      <c r="N57" s="1838">
        <f>'XM.GUI MAIL'!AK88</f>
        <v>-1.0461</v>
      </c>
      <c r="O57" s="1838">
        <f>'XM.GUI MAIL'!AR88</f>
        <v>6.5381299999999998</v>
      </c>
      <c r="P57" s="1236" t="s">
        <v>1164</v>
      </c>
      <c r="Q57" s="2145"/>
    </row>
    <row r="58" spans="1:17" ht="15.75" hidden="1" customHeight="1">
      <c r="A58" s="2256"/>
      <c r="B58" s="2257"/>
      <c r="C58" s="2257"/>
      <c r="D58" s="2257"/>
      <c r="E58" s="2257"/>
      <c r="F58" s="2257"/>
      <c r="G58" s="2258"/>
      <c r="H58" s="2267" t="str">
        <f>'XM.GUI MAIL'!$E$89</f>
        <v>2.0~2.4</v>
      </c>
      <c r="I58" s="2267" t="str">
        <f>'XM.GUI MAIL'!$F$89</f>
        <v>(2.2±0.1)</v>
      </c>
      <c r="J58" s="1838">
        <f>'XM.GUI MAIL'!I89</f>
        <v>2.2999999999999998</v>
      </c>
      <c r="K58" s="1838">
        <f>'XM.GUI MAIL'!P89</f>
        <v>2.2400000000000002</v>
      </c>
      <c r="L58" s="1838">
        <f>'XM.GUI MAIL'!W89</f>
        <v>2.2999999999999998</v>
      </c>
      <c r="M58" s="1838">
        <f>'XM.GUI MAIL'!AD89</f>
        <v>2.2000000000000002</v>
      </c>
      <c r="N58" s="1838">
        <f>'XM.GUI MAIL'!AK89</f>
        <v>0</v>
      </c>
      <c r="O58" s="1838">
        <f>'XM.GUI MAIL'!AR89</f>
        <v>2.2000000000000002</v>
      </c>
      <c r="P58" s="1236"/>
      <c r="Q58" s="2145"/>
    </row>
    <row r="59" spans="1:17" ht="15.75" customHeight="1">
      <c r="A59" s="2" t="s">
        <v>1598</v>
      </c>
      <c r="B59" s="1124">
        <v>2.1800000000000002</v>
      </c>
      <c r="C59" s="1124">
        <v>2.14</v>
      </c>
      <c r="D59" s="1124">
        <v>2.1</v>
      </c>
      <c r="E59" s="1124">
        <v>2.1800000000000002</v>
      </c>
      <c r="F59" s="1124"/>
      <c r="G59" s="1124">
        <v>2.14</v>
      </c>
      <c r="H59" s="2166" t="str">
        <f>'XM.GUI MAIL'!$E$90</f>
        <v>40~50</v>
      </c>
      <c r="I59" s="2166" t="str">
        <f>'XM.GUI MAIL'!$F$90</f>
        <v>(45±5)</v>
      </c>
      <c r="J59" s="1854">
        <f>'XM.GUI MAIL'!I90</f>
        <v>0.49731250000000005</v>
      </c>
      <c r="K59" s="1854">
        <f>'XM.GUI MAIL'!P90</f>
        <v>0.4881875</v>
      </c>
      <c r="L59" s="1854">
        <f>'XM.GUI MAIL'!W90</f>
        <v>0.47906250000000006</v>
      </c>
      <c r="M59" s="1854">
        <f>'XM.GUI MAIL'!AD90</f>
        <v>0.49731250000000005</v>
      </c>
      <c r="N59" s="1854">
        <f>'XM.GUI MAIL'!AK90</f>
        <v>0</v>
      </c>
      <c r="O59" s="1854">
        <f>'XM.GUI MAIL'!AR90</f>
        <v>0.4881875</v>
      </c>
      <c r="P59" s="1236"/>
    </row>
    <row r="60" spans="1:17" ht="15.75" customHeight="1">
      <c r="A60" s="2" t="s">
        <v>1599</v>
      </c>
      <c r="B60" s="1124">
        <v>2.02</v>
      </c>
      <c r="C60" s="1124">
        <v>1.98</v>
      </c>
      <c r="D60" s="1124">
        <v>2</v>
      </c>
      <c r="E60" s="1124">
        <v>2.04</v>
      </c>
      <c r="F60" s="1124"/>
      <c r="G60" s="1124">
        <v>1.96</v>
      </c>
      <c r="H60" s="2166" t="str">
        <f>'XM.GUI MAIL'!$E$90</f>
        <v>40~50</v>
      </c>
      <c r="I60" s="2166" t="str">
        <f>'XM.GUI MAIL'!$F$90</f>
        <v>(45±5)</v>
      </c>
      <c r="J60" s="1854">
        <f>'XM.GUI MAIL'!I91</f>
        <v>0.46081249999999996</v>
      </c>
      <c r="K60" s="1854">
        <f>'XM.GUI MAIL'!P91</f>
        <v>0.45168749999999996</v>
      </c>
      <c r="L60" s="1854">
        <f>'XM.GUI MAIL'!W91</f>
        <v>0.45624999999999999</v>
      </c>
      <c r="M60" s="1854">
        <f>'XM.GUI MAIL'!AD91</f>
        <v>0.46537500000000004</v>
      </c>
      <c r="N60" s="1854">
        <f>'XM.GUI MAIL'!AK91</f>
        <v>0</v>
      </c>
      <c r="O60" s="1854">
        <f>'XM.GUI MAIL'!AR91</f>
        <v>0.44712499999999994</v>
      </c>
      <c r="P60" s="1236"/>
    </row>
    <row r="61" spans="1:17" ht="15.75" customHeight="1">
      <c r="A61" s="2" t="s">
        <v>1600</v>
      </c>
      <c r="B61" s="1124">
        <v>1.98</v>
      </c>
      <c r="C61" s="1124">
        <v>1.92</v>
      </c>
      <c r="D61" s="1124">
        <v>1.9</v>
      </c>
      <c r="E61" s="1124">
        <v>1.98</v>
      </c>
      <c r="F61" s="1124"/>
      <c r="G61" s="1124">
        <v>1.94</v>
      </c>
      <c r="H61" s="2166" t="str">
        <f>'XM.GUI MAIL'!$E$92</f>
        <v>40~50</v>
      </c>
      <c r="I61" s="2166" t="str">
        <f>'XM.GUI MAIL'!$F$92</f>
        <v>(45±5)</v>
      </c>
      <c r="J61" s="1854">
        <f>'XM.GUI MAIL'!I92</f>
        <v>0.45168749999999996</v>
      </c>
      <c r="K61" s="1854">
        <f>'XM.GUI MAIL'!P92</f>
        <v>0.43799999999999994</v>
      </c>
      <c r="L61" s="1854">
        <f>'XM.GUI MAIL'!W92</f>
        <v>0.43343749999999998</v>
      </c>
      <c r="M61" s="1854">
        <f>'XM.GUI MAIL'!AD92</f>
        <v>0.45168749999999996</v>
      </c>
      <c r="N61" s="1854">
        <f>'XM.GUI MAIL'!AK92</f>
        <v>0</v>
      </c>
      <c r="O61" s="1854">
        <f>'XM.GUI MAIL'!AR92</f>
        <v>0.44256250000000003</v>
      </c>
      <c r="P61" s="1236"/>
    </row>
    <row r="62" spans="1:17" ht="15.75" customHeight="1">
      <c r="A62" s="2" t="s">
        <v>1070</v>
      </c>
      <c r="B62" s="1124">
        <v>0.57999999999999996</v>
      </c>
      <c r="C62" s="1124">
        <v>0.56000000000000005</v>
      </c>
      <c r="D62" s="1124">
        <v>0.57999999999999996</v>
      </c>
      <c r="E62" s="1124">
        <v>0.57999999999999996</v>
      </c>
      <c r="F62" s="1124"/>
      <c r="G62" s="1124">
        <v>0.57999999999999996</v>
      </c>
      <c r="H62" s="2166" t="str">
        <f>'XM.GUI MAIL'!$E$93</f>
        <v>10~20</v>
      </c>
      <c r="I62" s="2166" t="str">
        <f>'XM.GUI MAIL'!$F$93</f>
        <v>(15±5)</v>
      </c>
      <c r="J62" s="1843">
        <f>'XM.GUI MAIL'!I93</f>
        <v>0.1323125</v>
      </c>
      <c r="K62" s="1843">
        <f>'XM.GUI MAIL'!P93</f>
        <v>0.12775</v>
      </c>
      <c r="L62" s="1843">
        <f>'XM.GUI MAIL'!W93</f>
        <v>0.1323125</v>
      </c>
      <c r="M62" s="1843">
        <f>'XM.GUI MAIL'!AD93</f>
        <v>0.1323125</v>
      </c>
      <c r="N62" s="1843">
        <f>'XM.GUI MAIL'!AK93</f>
        <v>0</v>
      </c>
      <c r="O62" s="1843">
        <f>'XM.GUI MAIL'!AR93</f>
        <v>0.1323125</v>
      </c>
      <c r="P62" s="1236"/>
    </row>
    <row r="63" spans="1:17" ht="15.75" customHeight="1">
      <c r="A63" s="1097" t="s">
        <v>1071</v>
      </c>
      <c r="B63" s="1124">
        <v>6</v>
      </c>
      <c r="C63" s="1124">
        <v>6</v>
      </c>
      <c r="D63" s="1124">
        <v>5.9</v>
      </c>
      <c r="E63" s="1124">
        <v>5.7</v>
      </c>
      <c r="F63" s="1124"/>
      <c r="G63" s="1124">
        <v>5.5</v>
      </c>
      <c r="H63" s="2166" t="str">
        <f>'XM.GUI MAIL'!$E$94</f>
        <v>(1±0.4)=0.6~1.4</v>
      </c>
      <c r="I63" s="2166" t="str">
        <f>'XM.GUI MAIL'!$F$94</f>
        <v>(1±0.4)</v>
      </c>
      <c r="J63" s="1876">
        <f>'XM.GUI MAIL'!I94</f>
        <v>7.5599999999999999E-3</v>
      </c>
      <c r="K63" s="1876">
        <f>'XM.GUI MAIL'!P94</f>
        <v>7.5599999999999999E-3</v>
      </c>
      <c r="L63" s="1876">
        <f>'XM.GUI MAIL'!W94</f>
        <v>7.4340000000000005E-3</v>
      </c>
      <c r="M63" s="1876">
        <f>'XM.GUI MAIL'!AD94</f>
        <v>7.1820000000000009E-3</v>
      </c>
      <c r="N63" s="1876">
        <f>'XM.GUI MAIL'!AK94</f>
        <v>0</v>
      </c>
      <c r="O63" s="1876">
        <f>'XM.GUI MAIL'!AR94</f>
        <v>6.9300000000000004E-3</v>
      </c>
      <c r="P63" s="1236"/>
    </row>
    <row r="64" spans="1:17" ht="18" customHeight="1">
      <c r="A64" s="1135" t="s">
        <v>1063</v>
      </c>
      <c r="B64" s="1233">
        <v>5.45</v>
      </c>
      <c r="C64" s="1233">
        <v>5.4</v>
      </c>
      <c r="D64" s="1233">
        <v>5.4</v>
      </c>
      <c r="E64" s="1233">
        <v>5.7</v>
      </c>
      <c r="F64" s="1233"/>
      <c r="G64" s="1233">
        <v>5.6</v>
      </c>
      <c r="H64" s="2160" t="str">
        <f>'XM.GUI MAIL'!$E$95</f>
        <v>5~8</v>
      </c>
      <c r="I64" s="2160" t="str">
        <f>'XM.GUI MAIL'!$F$95</f>
        <v>(6±0.5)</v>
      </c>
      <c r="J64" s="2177">
        <f>'XM.GUI MAIL'!I95</f>
        <v>5.76</v>
      </c>
      <c r="K64" s="2177">
        <f>'XM.GUI MAIL'!P95</f>
        <v>5.7200000000000006</v>
      </c>
      <c r="L64" s="2177">
        <f>'XM.GUI MAIL'!W95</f>
        <v>5.7200000000000006</v>
      </c>
      <c r="M64" s="2177">
        <f>'XM.GUI MAIL'!AD95</f>
        <v>5.9600000000000009</v>
      </c>
      <c r="N64" s="2177" t="str">
        <f>'XM.GUI MAIL'!AK95</f>
        <v/>
      </c>
      <c r="O64" s="2177">
        <f>'XM.GUI MAIL'!AR95</f>
        <v>5.879999999999999</v>
      </c>
      <c r="P64" s="1236" t="s">
        <v>1164</v>
      </c>
    </row>
    <row r="65" spans="1:16" ht="18" customHeight="1">
      <c r="A65" s="1135" t="s">
        <v>1064</v>
      </c>
      <c r="B65" s="1233">
        <v>2.1</v>
      </c>
      <c r="C65" s="1233">
        <v>2</v>
      </c>
      <c r="D65" s="1233">
        <v>2.08</v>
      </c>
      <c r="E65" s="1233">
        <v>2</v>
      </c>
      <c r="F65" s="1233"/>
      <c r="G65" s="2157">
        <v>2.0299999999999998</v>
      </c>
      <c r="H65" s="2160" t="str">
        <f>'XM.GUI MAIL'!$E$96</f>
        <v>1.8~2.4</v>
      </c>
      <c r="I65" s="2160" t="str">
        <f>'XM.GUI MAIL'!$F$96</f>
        <v>(2.1±0.1)</v>
      </c>
      <c r="J65" s="2178">
        <f>'XM.GUI MAIL'!I96</f>
        <v>2.1</v>
      </c>
      <c r="K65" s="2178">
        <f>'XM.GUI MAIL'!P96</f>
        <v>2</v>
      </c>
      <c r="L65" s="2178">
        <f>'XM.GUI MAIL'!W96</f>
        <v>2.08</v>
      </c>
      <c r="M65" s="2178">
        <f>'XM.GUI MAIL'!AD96</f>
        <v>2</v>
      </c>
      <c r="N65" s="2178">
        <f>'XM.GUI MAIL'!AK96</f>
        <v>0</v>
      </c>
      <c r="O65" s="2178">
        <f>'XM.GUI MAIL'!AR96</f>
        <v>2.0299999999999998</v>
      </c>
      <c r="P65" s="1236" t="s">
        <v>1164</v>
      </c>
    </row>
    <row r="66" spans="1:16" ht="18" customHeight="1">
      <c r="A66" s="1234" t="s">
        <v>1159</v>
      </c>
      <c r="B66" s="1235">
        <v>2.2999999999999998</v>
      </c>
      <c r="C66" s="1235">
        <v>2.2400000000000002</v>
      </c>
      <c r="D66" s="1235">
        <v>2.2999999999999998</v>
      </c>
      <c r="E66" s="1235">
        <v>2.2000000000000002</v>
      </c>
      <c r="F66" s="1235"/>
      <c r="G66" s="2156">
        <v>2.2000000000000002</v>
      </c>
      <c r="H66" s="2164" t="str">
        <f>'XM.FILE GOC'!E89</f>
        <v>2.0~2.4</v>
      </c>
      <c r="I66" s="2164" t="str">
        <f>'XM.FILE GOC'!F89</f>
        <v>(2.2±0.1)</v>
      </c>
      <c r="J66" s="1838">
        <f>B66</f>
        <v>2.2999999999999998</v>
      </c>
      <c r="K66" s="1838">
        <f t="shared" ref="K66:O66" si="2">C66</f>
        <v>2.2400000000000002</v>
      </c>
      <c r="L66" s="1838">
        <f t="shared" si="2"/>
        <v>2.2999999999999998</v>
      </c>
      <c r="M66" s="1838">
        <f t="shared" si="2"/>
        <v>2.2000000000000002</v>
      </c>
      <c r="N66" s="1838">
        <f t="shared" si="2"/>
        <v>0</v>
      </c>
      <c r="O66" s="1838">
        <f t="shared" si="2"/>
        <v>2.2000000000000002</v>
      </c>
      <c r="P66" s="1236" t="s">
        <v>1164</v>
      </c>
    </row>
    <row r="67" spans="1:16" ht="18" customHeight="1">
      <c r="A67" s="1231" t="s">
        <v>1157</v>
      </c>
      <c r="B67" s="1232"/>
      <c r="C67" s="1232"/>
      <c r="D67" s="1232"/>
      <c r="E67" s="1232"/>
      <c r="F67" s="1232"/>
      <c r="G67" s="2158"/>
      <c r="H67" s="2164"/>
      <c r="I67" s="2164"/>
      <c r="P67" s="1237" t="s">
        <v>1163</v>
      </c>
    </row>
    <row r="68" spans="1:16" ht="18" customHeight="1">
      <c r="A68" s="1231" t="s">
        <v>1156</v>
      </c>
      <c r="B68" s="1232"/>
      <c r="C68" s="1232"/>
      <c r="D68" s="1232"/>
      <c r="E68" s="1232"/>
      <c r="F68" s="1232"/>
      <c r="G68" s="2158"/>
      <c r="H68" s="2164" t="str">
        <f>'XM.FILE GOC'!E98</f>
        <v>1.8~2.4</v>
      </c>
      <c r="I68" s="2164" t="str">
        <f>'XM.FILE GOC'!F98</f>
        <v>(2.0 ±0.2 )</v>
      </c>
      <c r="P68" s="1237" t="s">
        <v>1163</v>
      </c>
    </row>
    <row r="69" spans="1:16" ht="15.75" customHeight="1">
      <c r="H69" s="106"/>
      <c r="I69" s="106"/>
    </row>
    <row r="70" spans="1:16" ht="16.5" customHeight="1">
      <c r="A70" s="1132" t="s">
        <v>1072</v>
      </c>
      <c r="B70" s="1122" t="s">
        <v>1478</v>
      </c>
      <c r="C70" s="1123" t="s">
        <v>1479</v>
      </c>
      <c r="D70" s="1123" t="s">
        <v>1480</v>
      </c>
      <c r="E70" s="1123" t="s">
        <v>1481</v>
      </c>
      <c r="F70" s="1123" t="s">
        <v>1482</v>
      </c>
      <c r="G70" s="1122" t="s">
        <v>1483</v>
      </c>
      <c r="H70" s="2163" t="s">
        <v>1524</v>
      </c>
      <c r="I70" s="2164"/>
      <c r="J70" s="1122" t="s">
        <v>1478</v>
      </c>
      <c r="K70" s="1123" t="s">
        <v>1479</v>
      </c>
      <c r="L70" s="1123" t="s">
        <v>1480</v>
      </c>
      <c r="M70" s="1123" t="s">
        <v>1481</v>
      </c>
      <c r="N70" s="1123" t="s">
        <v>1482</v>
      </c>
      <c r="O70" s="1122" t="s">
        <v>1483</v>
      </c>
      <c r="P70" s="1238" t="s">
        <v>1166</v>
      </c>
    </row>
    <row r="71" spans="1:16" ht="15.75" customHeight="1">
      <c r="A71" s="216" t="s">
        <v>119</v>
      </c>
      <c r="B71" s="1133">
        <v>4.3</v>
      </c>
      <c r="C71" s="1133">
        <v>4.1500000000000004</v>
      </c>
      <c r="D71" s="1133">
        <v>4.2</v>
      </c>
      <c r="E71" s="1133">
        <v>4.5</v>
      </c>
      <c r="F71" s="1133"/>
      <c r="G71" s="1133">
        <v>4.5</v>
      </c>
      <c r="H71" s="929" t="str">
        <f>'XM.GUI MAIL'!$E$99</f>
        <v>5~6</v>
      </c>
      <c r="I71" s="2213" t="str">
        <f>'XM.GUI MAIL'!$F$99</f>
        <v>(5.5± 0.5)</v>
      </c>
      <c r="J71" s="1833">
        <f>'XM.GUI MAIL'!I125</f>
        <v>5.59</v>
      </c>
      <c r="K71" s="1833">
        <f>'XM.GUI MAIL'!P125</f>
        <v>5.3950000000000005</v>
      </c>
      <c r="L71" s="1833">
        <f>'XM.GUI MAIL'!W125</f>
        <v>5.4600000000000009</v>
      </c>
      <c r="M71" s="1833">
        <f>'XM.GUI MAIL'!AD125</f>
        <v>5.8500000000000005</v>
      </c>
      <c r="N71" s="1833">
        <f>'XM.GUI MAIL'!AK125</f>
        <v>0</v>
      </c>
      <c r="O71" s="1833">
        <f>'XM.GUI MAIL'!AR125</f>
        <v>5.8500000000000005</v>
      </c>
      <c r="P71" s="1236" t="s">
        <v>1164</v>
      </c>
    </row>
    <row r="72" spans="1:16" ht="15.75" customHeight="1">
      <c r="A72" s="216" t="s">
        <v>120</v>
      </c>
      <c r="B72" s="1133">
        <v>16.75</v>
      </c>
      <c r="C72" s="1133">
        <v>17</v>
      </c>
      <c r="D72" s="1133">
        <v>16.95</v>
      </c>
      <c r="E72" s="1133">
        <v>16.7</v>
      </c>
      <c r="F72" s="1133"/>
      <c r="G72" s="1133">
        <v>16.600000000000001</v>
      </c>
      <c r="H72" s="929" t="str">
        <f>'XM.GUI MAIL'!$E$100</f>
        <v>130~140</v>
      </c>
      <c r="I72" s="929" t="str">
        <f>'XM.GUI MAIL'!$F$100</f>
        <v>(135 ± 5)</v>
      </c>
      <c r="J72" s="1886">
        <f>'XM.GUI MAIL'!I126</f>
        <v>134</v>
      </c>
      <c r="K72" s="1886">
        <f>'XM.GUI MAIL'!P126</f>
        <v>136</v>
      </c>
      <c r="L72" s="1886">
        <f>'XM.GUI MAIL'!W126</f>
        <v>135.6</v>
      </c>
      <c r="M72" s="1886">
        <f>'XM.GUI MAIL'!AD126</f>
        <v>133.6</v>
      </c>
      <c r="N72" s="1886">
        <f>'XM.GUI MAIL'!AK126</f>
        <v>0</v>
      </c>
      <c r="O72" s="1886">
        <f>'XM.GUI MAIL'!AR126</f>
        <v>132.80000000000001</v>
      </c>
      <c r="P72" s="1236" t="s">
        <v>1164</v>
      </c>
    </row>
    <row r="73" spans="1:16" ht="15.75" customHeight="1">
      <c r="A73" s="1134" t="s">
        <v>1035</v>
      </c>
      <c r="B73" s="1133">
        <v>4.0999999999999996</v>
      </c>
      <c r="C73" s="1133">
        <v>4.0999999999999996</v>
      </c>
      <c r="D73" s="1133">
        <v>4.0999999999999996</v>
      </c>
      <c r="E73" s="1133">
        <v>4.1500000000000004</v>
      </c>
      <c r="F73" s="1133"/>
      <c r="G73" s="1133">
        <v>4.1100000000000003</v>
      </c>
      <c r="H73" s="2164" t="str">
        <f>'XM.FILE GOC'!E101</f>
        <v>3.0-4.5</v>
      </c>
      <c r="I73" s="2164" t="str">
        <f>'XM.FILE GOC'!F101</f>
        <v>(4.3±0.2)</v>
      </c>
      <c r="J73" s="1833">
        <f>'XM.GUI MAIL'!I127</f>
        <v>4.0999999999999996</v>
      </c>
      <c r="K73" s="1833">
        <f>'XM.GUI MAIL'!P127</f>
        <v>4.0999999999999996</v>
      </c>
      <c r="L73" s="1833">
        <f>'XM.GUI MAIL'!W127</f>
        <v>4.0999999999999996</v>
      </c>
      <c r="M73" s="1833">
        <f>'XM.GUI MAIL'!AD127</f>
        <v>4.1500000000000004</v>
      </c>
      <c r="N73" s="1833">
        <f>'XM.GUI MAIL'!AK127</f>
        <v>0</v>
      </c>
      <c r="O73" s="1833">
        <f>'XM.GUI MAIL'!AR127</f>
        <v>4.1100000000000003</v>
      </c>
      <c r="P73" s="1237" t="s">
        <v>1165</v>
      </c>
    </row>
    <row r="75" spans="1:16" ht="15.75" customHeight="1">
      <c r="A75" s="1132" t="s">
        <v>1268</v>
      </c>
      <c r="B75" s="1123" t="s">
        <v>1478</v>
      </c>
    </row>
    <row r="76" spans="1:16" ht="17.25" customHeight="1">
      <c r="A76" s="2" t="s">
        <v>1269</v>
      </c>
      <c r="B76" s="1124"/>
      <c r="E76" s="1364">
        <f>B76*10.6</f>
        <v>0</v>
      </c>
    </row>
    <row r="77" spans="1:16" ht="17.25" customHeight="1">
      <c r="A77" s="2" t="s">
        <v>1270</v>
      </c>
      <c r="B77" s="1124"/>
      <c r="E77" s="1364">
        <f>B77*10.8</f>
        <v>0</v>
      </c>
    </row>
    <row r="78" spans="1:16" ht="17.25" customHeight="1">
      <c r="A78" s="2" t="s">
        <v>1271</v>
      </c>
      <c r="B78" s="1124"/>
      <c r="E78" s="1364">
        <f>B78*10.8</f>
        <v>0</v>
      </c>
    </row>
    <row r="80" spans="1:16" ht="21" customHeight="1">
      <c r="A80" s="1366" t="str">
        <f>MENU!AD9</f>
        <v>2024/01/09</v>
      </c>
      <c r="B80" s="1366"/>
      <c r="C80" s="1366"/>
      <c r="D80" s="1366"/>
      <c r="E80" s="1366"/>
    </row>
    <row r="81" spans="1:6" ht="21" customHeight="1">
      <c r="A81" s="1365" t="s">
        <v>1219</v>
      </c>
      <c r="B81" s="1365" t="s">
        <v>1220</v>
      </c>
      <c r="C81" s="1365" t="s">
        <v>1251</v>
      </c>
      <c r="D81" s="1365" t="s">
        <v>1221</v>
      </c>
      <c r="E81" s="1365" t="s">
        <v>1222</v>
      </c>
    </row>
    <row r="82" spans="1:6" ht="21" customHeight="1">
      <c r="A82" s="1367" t="s">
        <v>1277</v>
      </c>
      <c r="B82" s="1367" t="s">
        <v>1278</v>
      </c>
      <c r="C82" s="1367" t="s">
        <v>1279</v>
      </c>
      <c r="D82" s="1367" t="s">
        <v>1280</v>
      </c>
      <c r="E82" s="1367">
        <f>E76</f>
        <v>0</v>
      </c>
      <c r="F82" s="106" t="s">
        <v>1272</v>
      </c>
    </row>
    <row r="83" spans="1:6" ht="21" customHeight="1">
      <c r="A83" s="1367" t="s">
        <v>1275</v>
      </c>
      <c r="B83" s="1367" t="s">
        <v>1278</v>
      </c>
      <c r="C83" s="1367" t="s">
        <v>1279</v>
      </c>
      <c r="D83" s="1367" t="s">
        <v>1280</v>
      </c>
      <c r="E83" s="1367">
        <f t="shared" ref="E83:E84" si="3">E77</f>
        <v>0</v>
      </c>
      <c r="F83" s="106" t="s">
        <v>1273</v>
      </c>
    </row>
    <row r="84" spans="1:6" ht="21" customHeight="1">
      <c r="A84" s="1367" t="s">
        <v>1276</v>
      </c>
      <c r="B84" s="1367" t="s">
        <v>1278</v>
      </c>
      <c r="C84" s="1367" t="s">
        <v>1279</v>
      </c>
      <c r="D84" s="1367" t="s">
        <v>1280</v>
      </c>
      <c r="E84" s="1367">
        <f t="shared" si="3"/>
        <v>0</v>
      </c>
      <c r="F84" s="106" t="s">
        <v>1273</v>
      </c>
    </row>
  </sheetData>
  <sheetProtection sheet="1" objects="1" scenarios="1" formatCells="0" formatColumns="0" formatRows="0" insertColumns="0" insertRows="0" insertHyperlinks="0" deleteColumns="0" deleteRows="0" selectLockedCells="1" sort="0" autoFilter="0" pivotTables="0"/>
  <mergeCells count="2">
    <mergeCell ref="R2:T2"/>
    <mergeCell ref="R28:T30"/>
  </mergeCells>
  <phoneticPr fontId="7" type="noConversion"/>
  <conditionalFormatting sqref="J72">
    <cfRule type="expression" dxfId="7275" priority="625" stopIfTrue="1">
      <formula>J72&gt;130</formula>
    </cfRule>
    <cfRule type="expression" dxfId="7274" priority="626" stopIfTrue="1">
      <formula>J72&lt;120</formula>
    </cfRule>
  </conditionalFormatting>
  <conditionalFormatting sqref="J71">
    <cfRule type="expression" dxfId="7273" priority="623">
      <formula>J71&lt;5</formula>
    </cfRule>
    <cfRule type="expression" dxfId="7272" priority="624">
      <formula>J71&gt;6</formula>
    </cfRule>
  </conditionalFormatting>
  <conditionalFormatting sqref="J73">
    <cfRule type="cellIs" dxfId="7271" priority="620" operator="between">
      <formula>3</formula>
      <formula>4.099</formula>
    </cfRule>
    <cfRule type="expression" dxfId="7270" priority="621">
      <formula>J73&lt;3</formula>
    </cfRule>
    <cfRule type="expression" dxfId="7269" priority="622">
      <formula>J73&gt;4.5</formula>
    </cfRule>
  </conditionalFormatting>
  <conditionalFormatting sqref="J72">
    <cfRule type="expression" dxfId="7268" priority="618" stopIfTrue="1">
      <formula>J72&gt;130</formula>
    </cfRule>
    <cfRule type="expression" dxfId="7267" priority="619" stopIfTrue="1">
      <formula>J72&lt;120</formula>
    </cfRule>
  </conditionalFormatting>
  <conditionalFormatting sqref="J73">
    <cfRule type="cellIs" dxfId="7266" priority="615" operator="between">
      <formula>3</formula>
      <formula>4.099</formula>
    </cfRule>
    <cfRule type="expression" dxfId="7265" priority="616">
      <formula>J73&lt;3</formula>
    </cfRule>
    <cfRule type="expression" dxfId="7264" priority="617">
      <formula>J73&gt;4.5</formula>
    </cfRule>
  </conditionalFormatting>
  <conditionalFormatting sqref="J71">
    <cfRule type="expression" dxfId="7263" priority="613">
      <formula>J71&lt;5</formula>
    </cfRule>
    <cfRule type="expression" dxfId="7262" priority="614">
      <formula>J71&gt;6</formula>
    </cfRule>
  </conditionalFormatting>
  <conditionalFormatting sqref="K72:O72">
    <cfRule type="expression" dxfId="7261" priority="611" stopIfTrue="1">
      <formula>K72&gt;130</formula>
    </cfRule>
    <cfRule type="expression" dxfId="7260" priority="612" stopIfTrue="1">
      <formula>K72&lt;120</formula>
    </cfRule>
  </conditionalFormatting>
  <conditionalFormatting sqref="K71:O71">
    <cfRule type="expression" dxfId="7259" priority="609">
      <formula>K71&lt;5</formula>
    </cfRule>
    <cfRule type="expression" dxfId="7258" priority="610">
      <formula>K71&gt;6</formula>
    </cfRule>
  </conditionalFormatting>
  <conditionalFormatting sqref="K73:O73">
    <cfRule type="cellIs" dxfId="7257" priority="606" operator="between">
      <formula>3</formula>
      <formula>4.099</formula>
    </cfRule>
    <cfRule type="expression" dxfId="7256" priority="607">
      <formula>K73&lt;3</formula>
    </cfRule>
    <cfRule type="expression" dxfId="7255" priority="608">
      <formula>K73&gt;4.5</formula>
    </cfRule>
  </conditionalFormatting>
  <conditionalFormatting sqref="K72:O72">
    <cfRule type="expression" dxfId="7254" priority="604" stopIfTrue="1">
      <formula>K72&gt;130</formula>
    </cfRule>
    <cfRule type="expression" dxfId="7253" priority="605" stopIfTrue="1">
      <formula>K72&lt;120</formula>
    </cfRule>
  </conditionalFormatting>
  <conditionalFormatting sqref="K73:O73">
    <cfRule type="cellIs" dxfId="7252" priority="601" operator="between">
      <formula>3</formula>
      <formula>4.099</formula>
    </cfRule>
    <cfRule type="expression" dxfId="7251" priority="602">
      <formula>K73&lt;3</formula>
    </cfRule>
    <cfRule type="expression" dxfId="7250" priority="603">
      <formula>K73&gt;4.5</formula>
    </cfRule>
  </conditionalFormatting>
  <conditionalFormatting sqref="K71:O71">
    <cfRule type="expression" dxfId="7249" priority="599">
      <formula>K71&lt;5</formula>
    </cfRule>
    <cfRule type="expression" dxfId="7248" priority="600">
      <formula>K71&gt;6</formula>
    </cfRule>
  </conditionalFormatting>
  <conditionalFormatting sqref="J13">
    <cfRule type="cellIs" dxfId="7247" priority="203" operator="between">
      <formula>130</formula>
      <formula>132.99</formula>
    </cfRule>
    <cfRule type="cellIs" dxfId="7246" priority="204" operator="between">
      <formula>147.1</formula>
      <formula>150</formula>
    </cfRule>
    <cfRule type="expression" dxfId="7245" priority="205">
      <formula>J13&lt;130</formula>
    </cfRule>
    <cfRule type="expression" dxfId="7244" priority="206">
      <formula>J13&gt;150</formula>
    </cfRule>
  </conditionalFormatting>
  <conditionalFormatting sqref="J14">
    <cfRule type="expression" dxfId="7243" priority="201">
      <formula>J14&lt;8</formula>
    </cfRule>
    <cfRule type="expression" dxfId="7242" priority="202">
      <formula>J14&gt;12</formula>
    </cfRule>
  </conditionalFormatting>
  <conditionalFormatting sqref="J16">
    <cfRule type="cellIs" dxfId="7241" priority="198" operator="between">
      <formula>1.6</formula>
      <formula>1.799</formula>
    </cfRule>
    <cfRule type="expression" dxfId="7240" priority="199">
      <formula>J16&lt;1.6</formula>
    </cfRule>
    <cfRule type="expression" dxfId="7239" priority="200">
      <formula>J16&gt;2.2</formula>
    </cfRule>
  </conditionalFormatting>
  <conditionalFormatting sqref="J18">
    <cfRule type="cellIs" dxfId="7238" priority="194" operator="between">
      <formula>15%</formula>
      <formula>16.99%</formula>
    </cfRule>
    <cfRule type="cellIs" dxfId="7237" priority="195" operator="between">
      <formula>27.01%</formula>
      <formula>30%</formula>
    </cfRule>
    <cfRule type="expression" dxfId="7236" priority="196">
      <formula>J18&lt;15%</formula>
    </cfRule>
    <cfRule type="expression" dxfId="7235" priority="197">
      <formula>J18&gt;30%</formula>
    </cfRule>
  </conditionalFormatting>
  <conditionalFormatting sqref="J19">
    <cfRule type="cellIs" dxfId="7234" priority="190" operator="between">
      <formula>5%</formula>
      <formula>6.99%</formula>
    </cfRule>
    <cfRule type="cellIs" dxfId="7233" priority="191" operator="between">
      <formula>12.99%</formula>
      <formula>15%</formula>
    </cfRule>
    <cfRule type="expression" dxfId="7232" priority="192">
      <formula>J19&lt;5%</formula>
    </cfRule>
    <cfRule type="expression" dxfId="7231" priority="193">
      <formula>J19&gt;15%</formula>
    </cfRule>
  </conditionalFormatting>
  <conditionalFormatting sqref="J3 J6">
    <cfRule type="cellIs" dxfId="7230" priority="186" operator="between">
      <formula>20</formula>
      <formula>24.99</formula>
    </cfRule>
    <cfRule type="cellIs" dxfId="7229" priority="187" operator="between">
      <formula>35.1</formula>
      <formula>40</formula>
    </cfRule>
    <cfRule type="expression" dxfId="7228" priority="188">
      <formula>J3&lt;20</formula>
    </cfRule>
    <cfRule type="expression" dxfId="7227" priority="189">
      <formula>J3&gt;40</formula>
    </cfRule>
  </conditionalFormatting>
  <conditionalFormatting sqref="J9 J11">
    <cfRule type="expression" dxfId="7226" priority="184" stopIfTrue="1">
      <formula>J9&gt;80</formula>
    </cfRule>
    <cfRule type="expression" dxfId="7225" priority="185" stopIfTrue="1">
      <formula>J9&lt;60</formula>
    </cfRule>
  </conditionalFormatting>
  <conditionalFormatting sqref="J17">
    <cfRule type="cellIs" dxfId="7224" priority="180" operator="between">
      <formula>30%</formula>
      <formula>39.99%</formula>
    </cfRule>
    <cfRule type="cellIs" dxfId="7223" priority="181" operator="between">
      <formula>50.01%</formula>
      <formula>60%</formula>
    </cfRule>
    <cfRule type="expression" dxfId="7222" priority="182">
      <formula>J17&lt;30%</formula>
    </cfRule>
    <cfRule type="expression" dxfId="7221" priority="183">
      <formula>J17&gt;60%</formula>
    </cfRule>
  </conditionalFormatting>
  <conditionalFormatting sqref="J15">
    <cfRule type="cellIs" dxfId="7220" priority="177" operator="between">
      <formula>16.1</formula>
      <formula>18</formula>
    </cfRule>
    <cfRule type="expression" dxfId="7219" priority="178">
      <formula>J15&lt;12</formula>
    </cfRule>
    <cfRule type="expression" dxfId="7218" priority="179">
      <formula>J15&gt;18</formula>
    </cfRule>
  </conditionalFormatting>
  <conditionalFormatting sqref="J20">
    <cfRule type="cellIs" dxfId="7217" priority="173" operator="between">
      <formula>0.5%</formula>
      <formula>0.599%</formula>
    </cfRule>
    <cfRule type="cellIs" dxfId="7216" priority="174" operator="between">
      <formula>1.41%</formula>
      <formula>1.5%</formula>
    </cfRule>
    <cfRule type="expression" dxfId="7215" priority="175">
      <formula>J20&lt;0.5%</formula>
    </cfRule>
    <cfRule type="expression" dxfId="7214" priority="176">
      <formula>J20&gt;1.5%</formula>
    </cfRule>
  </conditionalFormatting>
  <conditionalFormatting sqref="K13:O13">
    <cfRule type="cellIs" dxfId="7213" priority="169" operator="between">
      <formula>130</formula>
      <formula>132.99</formula>
    </cfRule>
    <cfRule type="cellIs" dxfId="7212" priority="170" operator="between">
      <formula>147.1</formula>
      <formula>150</formula>
    </cfRule>
    <cfRule type="expression" dxfId="7211" priority="171">
      <formula>K13&lt;130</formula>
    </cfRule>
    <cfRule type="expression" dxfId="7210" priority="172">
      <formula>K13&gt;150</formula>
    </cfRule>
  </conditionalFormatting>
  <conditionalFormatting sqref="K14:O14">
    <cfRule type="expression" dxfId="7209" priority="167">
      <formula>K14&lt;8</formula>
    </cfRule>
    <cfRule type="expression" dxfId="7208" priority="168">
      <formula>K14&gt;12</formula>
    </cfRule>
  </conditionalFormatting>
  <conditionalFormatting sqref="K16:O16">
    <cfRule type="cellIs" dxfId="7207" priority="164" operator="between">
      <formula>1.6</formula>
      <formula>1.799</formula>
    </cfRule>
    <cfRule type="expression" dxfId="7206" priority="165">
      <formula>K16&lt;1.6</formula>
    </cfRule>
    <cfRule type="expression" dxfId="7205" priority="166">
      <formula>K16&gt;2.2</formula>
    </cfRule>
  </conditionalFormatting>
  <conditionalFormatting sqref="K18:O18">
    <cfRule type="cellIs" dxfId="7204" priority="160" operator="between">
      <formula>15%</formula>
      <formula>16.99%</formula>
    </cfRule>
    <cfRule type="cellIs" dxfId="7203" priority="161" operator="between">
      <formula>27.01%</formula>
      <formula>30%</formula>
    </cfRule>
    <cfRule type="expression" dxfId="7202" priority="162">
      <formula>K18&lt;15%</formula>
    </cfRule>
    <cfRule type="expression" dxfId="7201" priority="163">
      <formula>K18&gt;30%</formula>
    </cfRule>
  </conditionalFormatting>
  <conditionalFormatting sqref="K19:O19">
    <cfRule type="cellIs" dxfId="7200" priority="156" operator="between">
      <formula>5%</formula>
      <formula>6.99%</formula>
    </cfRule>
    <cfRule type="cellIs" dxfId="7199" priority="157" operator="between">
      <formula>12.99%</formula>
      <formula>15%</formula>
    </cfRule>
    <cfRule type="expression" dxfId="7198" priority="158">
      <formula>K19&lt;5%</formula>
    </cfRule>
    <cfRule type="expression" dxfId="7197" priority="159">
      <formula>K19&gt;15%</formula>
    </cfRule>
  </conditionalFormatting>
  <conditionalFormatting sqref="K3:O3 K6:O6">
    <cfRule type="cellIs" dxfId="7196" priority="152" operator="between">
      <formula>20</formula>
      <formula>24.99</formula>
    </cfRule>
    <cfRule type="cellIs" dxfId="7195" priority="153" operator="between">
      <formula>35.1</formula>
      <formula>40</formula>
    </cfRule>
    <cfRule type="expression" dxfId="7194" priority="154">
      <formula>K3&lt;20</formula>
    </cfRule>
    <cfRule type="expression" dxfId="7193" priority="155">
      <formula>K3&gt;40</formula>
    </cfRule>
  </conditionalFormatting>
  <conditionalFormatting sqref="K9:O9 K11:O11">
    <cfRule type="expression" dxfId="7192" priority="150" stopIfTrue="1">
      <formula>K9&gt;80</formula>
    </cfRule>
    <cfRule type="expression" dxfId="7191" priority="151" stopIfTrue="1">
      <formula>K9&lt;60</formula>
    </cfRule>
  </conditionalFormatting>
  <conditionalFormatting sqref="K17:O17">
    <cfRule type="cellIs" dxfId="7190" priority="146" operator="between">
      <formula>30%</formula>
      <formula>39.99%</formula>
    </cfRule>
    <cfRule type="cellIs" dxfId="7189" priority="147" operator="between">
      <formula>50.01%</formula>
      <formula>60%</formula>
    </cfRule>
    <cfRule type="expression" dxfId="7188" priority="148">
      <formula>K17&lt;30%</formula>
    </cfRule>
    <cfRule type="expression" dxfId="7187" priority="149">
      <formula>K17&gt;60%</formula>
    </cfRule>
  </conditionalFormatting>
  <conditionalFormatting sqref="K15:O15">
    <cfRule type="cellIs" dxfId="7186" priority="143" operator="between">
      <formula>16.1</formula>
      <formula>18</formula>
    </cfRule>
    <cfRule type="expression" dxfId="7185" priority="144">
      <formula>K15&lt;12</formula>
    </cfRule>
    <cfRule type="expression" dxfId="7184" priority="145">
      <formula>K15&gt;18</formula>
    </cfRule>
  </conditionalFormatting>
  <conditionalFormatting sqref="K20:O20">
    <cfRule type="cellIs" dxfId="7183" priority="139" operator="between">
      <formula>0.5%</formula>
      <formula>0.599%</formula>
    </cfRule>
    <cfRule type="cellIs" dxfId="7182" priority="140" operator="between">
      <formula>1.41%</formula>
      <formula>1.5%</formula>
    </cfRule>
    <cfRule type="expression" dxfId="7181" priority="141">
      <formula>K20&lt;0.5%</formula>
    </cfRule>
    <cfRule type="expression" dxfId="7180" priority="142">
      <formula>K20&gt;1.5%</formula>
    </cfRule>
  </conditionalFormatting>
  <conditionalFormatting sqref="J23">
    <cfRule type="cellIs" dxfId="7179" priority="136" operator="between">
      <formula>1.6</formula>
      <formula>1.799</formula>
    </cfRule>
    <cfRule type="expression" dxfId="7178" priority="137">
      <formula>J23&lt;1.6</formula>
    </cfRule>
    <cfRule type="expression" dxfId="7177" priority="138">
      <formula>J23&gt;2.2</formula>
    </cfRule>
  </conditionalFormatting>
  <conditionalFormatting sqref="K23:O23">
    <cfRule type="cellIs" dxfId="7176" priority="133" operator="between">
      <formula>1.6</formula>
      <formula>1.799</formula>
    </cfRule>
    <cfRule type="expression" dxfId="7175" priority="134">
      <formula>K23&lt;1.6</formula>
    </cfRule>
    <cfRule type="expression" dxfId="7174" priority="135">
      <formula>K23&gt;2.2</formula>
    </cfRule>
  </conditionalFormatting>
  <conditionalFormatting sqref="J39">
    <cfRule type="cellIs" dxfId="7173" priority="129" operator="between">
      <formula>15%</formula>
      <formula>16.99%</formula>
    </cfRule>
    <cfRule type="cellIs" dxfId="7172" priority="130" operator="between">
      <formula>27.01%</formula>
      <formula>30%</formula>
    </cfRule>
    <cfRule type="expression" dxfId="7171" priority="131">
      <formula>J39&lt;15%</formula>
    </cfRule>
    <cfRule type="expression" dxfId="7170" priority="132">
      <formula>J39&gt;30%</formula>
    </cfRule>
  </conditionalFormatting>
  <conditionalFormatting sqref="J35">
    <cfRule type="expression" dxfId="7169" priority="127">
      <formula>J35&lt;8</formula>
    </cfRule>
    <cfRule type="expression" dxfId="7168" priority="128">
      <formula>J35&gt;12</formula>
    </cfRule>
  </conditionalFormatting>
  <conditionalFormatting sqref="J37">
    <cfRule type="cellIs" dxfId="7167" priority="123" operator="between">
      <formula>2</formula>
      <formula>2.199</formula>
    </cfRule>
    <cfRule type="cellIs" dxfId="7166" priority="124" operator="between">
      <formula>2.41</formula>
      <formula>2.5</formula>
    </cfRule>
    <cfRule type="expression" dxfId="7165" priority="125">
      <formula>J37&lt;2</formula>
    </cfRule>
    <cfRule type="expression" dxfId="7164" priority="126">
      <formula>J37&gt;2.5</formula>
    </cfRule>
  </conditionalFormatting>
  <conditionalFormatting sqref="J40">
    <cfRule type="expression" dxfId="7163" priority="121">
      <formula>J40&lt;5%</formula>
    </cfRule>
    <cfRule type="expression" dxfId="7162" priority="122">
      <formula>J40&gt;15%</formula>
    </cfRule>
  </conditionalFormatting>
  <conditionalFormatting sqref="J40">
    <cfRule type="cellIs" dxfId="7161" priority="119" operator="between">
      <formula>5%</formula>
      <formula>6.99%</formula>
    </cfRule>
    <cfRule type="cellIs" dxfId="7160" priority="120" operator="between">
      <formula>13.1%</formula>
      <formula>15%</formula>
    </cfRule>
  </conditionalFormatting>
  <conditionalFormatting sqref="J26 J28">
    <cfRule type="cellIs" dxfId="7159" priority="115" operator="between">
      <formula>60</formula>
      <formula>64.99</formula>
    </cfRule>
    <cfRule type="cellIs" dxfId="7158" priority="116" operator="between">
      <formula>75.1</formula>
      <formula>80</formula>
    </cfRule>
    <cfRule type="expression" dxfId="7157" priority="117">
      <formula>J26&lt;60</formula>
    </cfRule>
    <cfRule type="expression" dxfId="7156" priority="118">
      <formula>J26&gt;80</formula>
    </cfRule>
  </conditionalFormatting>
  <conditionalFormatting sqref="J36">
    <cfRule type="cellIs" dxfId="7155" priority="112" operator="between">
      <formula>8.01</formula>
      <formula>10</formula>
    </cfRule>
    <cfRule type="expression" dxfId="7154" priority="113">
      <formula>J36&lt;6</formula>
    </cfRule>
    <cfRule type="expression" dxfId="7153" priority="114">
      <formula>J36&gt;10</formula>
    </cfRule>
  </conditionalFormatting>
  <conditionalFormatting sqref="J38">
    <cfRule type="cellIs" dxfId="7152" priority="108" operator="between">
      <formula>30%</formula>
      <formula>39.99%</formula>
    </cfRule>
    <cfRule type="cellIs" dxfId="7151" priority="109" operator="between">
      <formula>50.01%</formula>
      <formula>60%</formula>
    </cfRule>
    <cfRule type="expression" dxfId="7150" priority="110">
      <formula>J38&lt;30%</formula>
    </cfRule>
    <cfRule type="expression" dxfId="7149" priority="111">
      <formula>J38&gt;60%</formula>
    </cfRule>
  </conditionalFormatting>
  <conditionalFormatting sqref="J30">
    <cfRule type="expression" dxfId="7148" priority="106">
      <formula>J30&lt;50</formula>
    </cfRule>
    <cfRule type="expression" dxfId="7147" priority="107">
      <formula>J30&gt;70</formula>
    </cfRule>
  </conditionalFormatting>
  <conditionalFormatting sqref="J32">
    <cfRule type="expression" dxfId="7146" priority="104">
      <formula>J32&lt;50</formula>
    </cfRule>
    <cfRule type="expression" dxfId="7145" priority="105">
      <formula>J32&gt;70</formula>
    </cfRule>
  </conditionalFormatting>
  <conditionalFormatting sqref="J34">
    <cfRule type="cellIs" dxfId="7144" priority="100" operator="between">
      <formula>130</formula>
      <formula>132.99</formula>
    </cfRule>
    <cfRule type="cellIs" dxfId="7143" priority="101" operator="between">
      <formula>147.1</formula>
      <formula>150</formula>
    </cfRule>
    <cfRule type="expression" dxfId="7142" priority="102">
      <formula>J34&lt;130</formula>
    </cfRule>
    <cfRule type="expression" dxfId="7141" priority="103">
      <formula>J34&gt;150</formula>
    </cfRule>
  </conditionalFormatting>
  <conditionalFormatting sqref="J41">
    <cfRule type="cellIs" dxfId="7140" priority="96" operator="between">
      <formula>0.5%</formula>
      <formula>0.599%</formula>
    </cfRule>
    <cfRule type="cellIs" dxfId="7139" priority="97" operator="between">
      <formula>1.41%</formula>
      <formula>1.5%</formula>
    </cfRule>
    <cfRule type="expression" dxfId="7138" priority="98">
      <formula>J41&lt;0.5%</formula>
    </cfRule>
    <cfRule type="expression" dxfId="7137" priority="99">
      <formula>J41&gt;1.5%</formula>
    </cfRule>
  </conditionalFormatting>
  <conditionalFormatting sqref="K39:O39">
    <cfRule type="cellIs" dxfId="7136" priority="92" operator="between">
      <formula>15%</formula>
      <formula>16.99%</formula>
    </cfRule>
    <cfRule type="cellIs" dxfId="7135" priority="93" operator="between">
      <formula>27.01%</formula>
      <formula>30%</formula>
    </cfRule>
    <cfRule type="expression" dxfId="7134" priority="94">
      <formula>K39&lt;15%</formula>
    </cfRule>
    <cfRule type="expression" dxfId="7133" priority="95">
      <formula>K39&gt;30%</formula>
    </cfRule>
  </conditionalFormatting>
  <conditionalFormatting sqref="K35:O35">
    <cfRule type="expression" dxfId="7132" priority="90">
      <formula>K35&lt;8</formula>
    </cfRule>
    <cfRule type="expression" dxfId="7131" priority="91">
      <formula>K35&gt;12</formula>
    </cfRule>
  </conditionalFormatting>
  <conditionalFormatting sqref="K37:O37">
    <cfRule type="cellIs" dxfId="7130" priority="86" operator="between">
      <formula>2</formula>
      <formula>2.199</formula>
    </cfRule>
    <cfRule type="cellIs" dxfId="7129" priority="87" operator="between">
      <formula>2.41</formula>
      <formula>2.5</formula>
    </cfRule>
    <cfRule type="expression" dxfId="7128" priority="88">
      <formula>K37&lt;2</formula>
    </cfRule>
    <cfRule type="expression" dxfId="7127" priority="89">
      <formula>K37&gt;2.5</formula>
    </cfRule>
  </conditionalFormatting>
  <conditionalFormatting sqref="K40:O40">
    <cfRule type="expression" dxfId="7126" priority="84">
      <formula>K40&lt;5%</formula>
    </cfRule>
    <cfRule type="expression" dxfId="7125" priority="85">
      <formula>K40&gt;15%</formula>
    </cfRule>
  </conditionalFormatting>
  <conditionalFormatting sqref="K40:O40">
    <cfRule type="cellIs" dxfId="7124" priority="82" operator="between">
      <formula>5%</formula>
      <formula>6.99%</formula>
    </cfRule>
    <cfRule type="cellIs" dxfId="7123" priority="83" operator="between">
      <formula>13.1%</formula>
      <formula>15%</formula>
    </cfRule>
  </conditionalFormatting>
  <conditionalFormatting sqref="K26:O26 K28:O28">
    <cfRule type="cellIs" dxfId="7122" priority="78" operator="between">
      <formula>60</formula>
      <formula>64.99</formula>
    </cfRule>
    <cfRule type="cellIs" dxfId="7121" priority="79" operator="between">
      <formula>75.1</formula>
      <formula>80</formula>
    </cfRule>
    <cfRule type="expression" dxfId="7120" priority="80">
      <formula>K26&lt;60</formula>
    </cfRule>
    <cfRule type="expression" dxfId="7119" priority="81">
      <formula>K26&gt;80</formula>
    </cfRule>
  </conditionalFormatting>
  <conditionalFormatting sqref="K36:O36">
    <cfRule type="cellIs" dxfId="7118" priority="75" operator="between">
      <formula>8.01</formula>
      <formula>10</formula>
    </cfRule>
    <cfRule type="expression" dxfId="7117" priority="76">
      <formula>K36&lt;6</formula>
    </cfRule>
    <cfRule type="expression" dxfId="7116" priority="77">
      <formula>K36&gt;10</formula>
    </cfRule>
  </conditionalFormatting>
  <conditionalFormatting sqref="K38:O38">
    <cfRule type="cellIs" dxfId="7115" priority="71" operator="between">
      <formula>30%</formula>
      <formula>39.99%</formula>
    </cfRule>
    <cfRule type="cellIs" dxfId="7114" priority="72" operator="between">
      <formula>50.01%</formula>
      <formula>60%</formula>
    </cfRule>
    <cfRule type="expression" dxfId="7113" priority="73">
      <formula>K38&lt;30%</formula>
    </cfRule>
    <cfRule type="expression" dxfId="7112" priority="74">
      <formula>K38&gt;60%</formula>
    </cfRule>
  </conditionalFormatting>
  <conditionalFormatting sqref="K30:O30">
    <cfRule type="expression" dxfId="7111" priority="69">
      <formula>K30&lt;50</formula>
    </cfRule>
    <cfRule type="expression" dxfId="7110" priority="70">
      <formula>K30&gt;70</formula>
    </cfRule>
  </conditionalFormatting>
  <conditionalFormatting sqref="K32:O32">
    <cfRule type="expression" dxfId="7109" priority="67">
      <formula>K32&lt;50</formula>
    </cfRule>
    <cfRule type="expression" dxfId="7108" priority="68">
      <formula>K32&gt;70</formula>
    </cfRule>
  </conditionalFormatting>
  <conditionalFormatting sqref="K34:O34">
    <cfRule type="cellIs" dxfId="7107" priority="63" operator="between">
      <formula>130</formula>
      <formula>132.99</formula>
    </cfRule>
    <cfRule type="cellIs" dxfId="7106" priority="64" operator="between">
      <formula>147.1</formula>
      <formula>150</formula>
    </cfRule>
    <cfRule type="expression" dxfId="7105" priority="65">
      <formula>K34&lt;130</formula>
    </cfRule>
    <cfRule type="expression" dxfId="7104" priority="66">
      <formula>K34&gt;150</formula>
    </cfRule>
  </conditionalFormatting>
  <conditionalFormatting sqref="K41:O41">
    <cfRule type="cellIs" dxfId="7103" priority="59" operator="between">
      <formula>0.5%</formula>
      <formula>0.599%</formula>
    </cfRule>
    <cfRule type="cellIs" dxfId="7102" priority="60" operator="between">
      <formula>1.41%</formula>
      <formula>1.5%</formula>
    </cfRule>
    <cfRule type="expression" dxfId="7101" priority="61">
      <formula>K41&lt;0.5%</formula>
    </cfRule>
    <cfRule type="expression" dxfId="7100" priority="62">
      <formula>K41&gt;1.5%</formula>
    </cfRule>
  </conditionalFormatting>
  <conditionalFormatting sqref="J44">
    <cfRule type="cellIs" dxfId="7099" priority="55" operator="between">
      <formula>2</formula>
      <formula>2.199</formula>
    </cfRule>
    <cfRule type="cellIs" dxfId="7098" priority="56" operator="between">
      <formula>2.41</formula>
      <formula>2.5</formula>
    </cfRule>
    <cfRule type="expression" dxfId="7097" priority="57">
      <formula>J44&lt;2</formula>
    </cfRule>
    <cfRule type="expression" dxfId="7096" priority="58">
      <formula>J44&gt;2.5</formula>
    </cfRule>
  </conditionalFormatting>
  <conditionalFormatting sqref="K44:O44">
    <cfRule type="cellIs" dxfId="7095" priority="51" operator="between">
      <formula>2</formula>
      <formula>2.199</formula>
    </cfRule>
    <cfRule type="cellIs" dxfId="7094" priority="52" operator="between">
      <formula>2.41</formula>
      <formula>2.5</formula>
    </cfRule>
    <cfRule type="expression" dxfId="7093" priority="53">
      <formula>K44&lt;2</formula>
    </cfRule>
    <cfRule type="expression" dxfId="7092" priority="54">
      <formula>K44&gt;2.5</formula>
    </cfRule>
  </conditionalFormatting>
  <conditionalFormatting sqref="J55">
    <cfRule type="expression" dxfId="7091" priority="50" stopIfTrue="1">
      <formula>J55&lt;135</formula>
    </cfRule>
  </conditionalFormatting>
  <conditionalFormatting sqref="J55">
    <cfRule type="expression" dxfId="7090" priority="49" stopIfTrue="1">
      <formula>J55&gt;145</formula>
    </cfRule>
  </conditionalFormatting>
  <conditionalFormatting sqref="J56">
    <cfRule type="expression" dxfId="7089" priority="47">
      <formula>J56&lt;7.5</formula>
    </cfRule>
    <cfRule type="expression" dxfId="7088" priority="48">
      <formula>J56&gt;9.5</formula>
    </cfRule>
  </conditionalFormatting>
  <conditionalFormatting sqref="J57">
    <cfRule type="cellIs" dxfId="7087" priority="44" operator="between">
      <formula>7.01</formula>
      <formula>8</formula>
    </cfRule>
    <cfRule type="expression" dxfId="7086" priority="45">
      <formula>J57&lt;5</formula>
    </cfRule>
    <cfRule type="expression" dxfId="7085" priority="46">
      <formula>J57&gt;8</formula>
    </cfRule>
  </conditionalFormatting>
  <conditionalFormatting sqref="J58">
    <cfRule type="expression" dxfId="7084" priority="42">
      <formula>J58&lt;2</formula>
    </cfRule>
    <cfRule type="expression" dxfId="7083" priority="43">
      <formula>J58&gt;2.4</formula>
    </cfRule>
  </conditionalFormatting>
  <conditionalFormatting sqref="J62">
    <cfRule type="expression" dxfId="7082" priority="40">
      <formula>J62&lt;10%</formula>
    </cfRule>
    <cfRule type="expression" dxfId="7081" priority="41">
      <formula>J62&gt;20%</formula>
    </cfRule>
  </conditionalFormatting>
  <conditionalFormatting sqref="J51 J53">
    <cfRule type="cellIs" dxfId="7080" priority="36" operator="between">
      <formula>50</formula>
      <formula>54.99</formula>
    </cfRule>
    <cfRule type="cellIs" dxfId="7079" priority="37" operator="between">
      <formula>65.01</formula>
      <formula>70</formula>
    </cfRule>
    <cfRule type="expression" dxfId="7078" priority="38">
      <formula>J51&lt;50</formula>
    </cfRule>
    <cfRule type="expression" dxfId="7077" priority="39">
      <formula>J51&gt;70</formula>
    </cfRule>
  </conditionalFormatting>
  <conditionalFormatting sqref="J47 J49">
    <cfRule type="cellIs" dxfId="7076" priority="32" operator="between">
      <formula>40</formula>
      <formula>44.99</formula>
    </cfRule>
    <cfRule type="cellIs" dxfId="7075" priority="33" operator="between">
      <formula>55.1</formula>
      <formula>60</formula>
    </cfRule>
    <cfRule type="expression" dxfId="7074" priority="34">
      <formula>J47&lt;40</formula>
    </cfRule>
    <cfRule type="expression" dxfId="7073" priority="35">
      <formula>J47&gt;60</formula>
    </cfRule>
  </conditionalFormatting>
  <conditionalFormatting sqref="J59:J61">
    <cfRule type="expression" dxfId="7072" priority="30">
      <formula>J59&lt;40%</formula>
    </cfRule>
    <cfRule type="expression" dxfId="7071" priority="31">
      <formula>J59&gt;50%</formula>
    </cfRule>
  </conditionalFormatting>
  <conditionalFormatting sqref="J63">
    <cfRule type="expression" dxfId="7070" priority="28">
      <formula>J63&lt;0.6%</formula>
    </cfRule>
    <cfRule type="expression" dxfId="7069" priority="29">
      <formula>J63&gt;1.4%</formula>
    </cfRule>
  </conditionalFormatting>
  <conditionalFormatting sqref="K55:O55">
    <cfRule type="expression" dxfId="7068" priority="27" stopIfTrue="1">
      <formula>K55&lt;135</formula>
    </cfRule>
  </conditionalFormatting>
  <conditionalFormatting sqref="K55:O55">
    <cfRule type="expression" dxfId="7067" priority="26" stopIfTrue="1">
      <formula>K55&gt;145</formula>
    </cfRule>
  </conditionalFormatting>
  <conditionalFormatting sqref="K56:O56">
    <cfRule type="expression" dxfId="7066" priority="24">
      <formula>K56&lt;7.5</formula>
    </cfRule>
    <cfRule type="expression" dxfId="7065" priority="25">
      <formula>K56&gt;9.5</formula>
    </cfRule>
  </conditionalFormatting>
  <conditionalFormatting sqref="K57:O57">
    <cfRule type="cellIs" dxfId="7064" priority="21" operator="between">
      <formula>7.01</formula>
      <formula>8</formula>
    </cfRule>
    <cfRule type="expression" dxfId="7063" priority="22">
      <formula>K57&lt;5</formula>
    </cfRule>
    <cfRule type="expression" dxfId="7062" priority="23">
      <formula>K57&gt;8</formula>
    </cfRule>
  </conditionalFormatting>
  <conditionalFormatting sqref="K58:O58">
    <cfRule type="expression" dxfId="7061" priority="19">
      <formula>K58&lt;2</formula>
    </cfRule>
    <cfRule type="expression" dxfId="7060" priority="20">
      <formula>K58&gt;2.4</formula>
    </cfRule>
  </conditionalFormatting>
  <conditionalFormatting sqref="K62:O62">
    <cfRule type="expression" dxfId="7059" priority="17">
      <formula>K62&lt;10%</formula>
    </cfRule>
    <cfRule type="expression" dxfId="7058" priority="18">
      <formula>K62&gt;20%</formula>
    </cfRule>
  </conditionalFormatting>
  <conditionalFormatting sqref="K51:O51 K53:O53">
    <cfRule type="cellIs" dxfId="7057" priority="13" operator="between">
      <formula>50</formula>
      <formula>54.99</formula>
    </cfRule>
    <cfRule type="cellIs" dxfId="7056" priority="14" operator="between">
      <formula>65.01</formula>
      <formula>70</formula>
    </cfRule>
    <cfRule type="expression" dxfId="7055" priority="15">
      <formula>K51&lt;50</formula>
    </cfRule>
    <cfRule type="expression" dxfId="7054" priority="16">
      <formula>K51&gt;70</formula>
    </cfRule>
  </conditionalFormatting>
  <conditionalFormatting sqref="K47:O47 K49:O49">
    <cfRule type="cellIs" dxfId="7053" priority="9" operator="between">
      <formula>40</formula>
      <formula>44.99</formula>
    </cfRule>
    <cfRule type="cellIs" dxfId="7052" priority="10" operator="between">
      <formula>55.1</formula>
      <formula>60</formula>
    </cfRule>
    <cfRule type="expression" dxfId="7051" priority="11">
      <formula>K47&lt;40</formula>
    </cfRule>
    <cfRule type="expression" dxfId="7050" priority="12">
      <formula>K47&gt;60</formula>
    </cfRule>
  </conditionalFormatting>
  <conditionalFormatting sqref="K59:O61">
    <cfRule type="expression" dxfId="7049" priority="7">
      <formula>K59&lt;40%</formula>
    </cfRule>
    <cfRule type="expression" dxfId="7048" priority="8">
      <formula>K59&gt;50%</formula>
    </cfRule>
  </conditionalFormatting>
  <conditionalFormatting sqref="K63:O63">
    <cfRule type="expression" dxfId="7047" priority="5">
      <formula>K63&lt;0.6%</formula>
    </cfRule>
    <cfRule type="expression" dxfId="7046" priority="6">
      <formula>K63&gt;1.4%</formula>
    </cfRule>
  </conditionalFormatting>
  <conditionalFormatting sqref="J66">
    <cfRule type="expression" dxfId="7045" priority="3">
      <formula>J66&lt;2</formula>
    </cfRule>
    <cfRule type="expression" dxfId="7044" priority="4">
      <formula>J66&gt;2.4</formula>
    </cfRule>
  </conditionalFormatting>
  <conditionalFormatting sqref="K66:O66">
    <cfRule type="expression" dxfId="7043" priority="1">
      <formula>K66&lt;2</formula>
    </cfRule>
    <cfRule type="expression" dxfId="7042" priority="2">
      <formula>K66&gt;2.4</formula>
    </cfRule>
  </conditionalFormatting>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BE132"/>
  <sheetViews>
    <sheetView showGridLines="0" zoomScale="55" zoomScaleNormal="55" workbookViewId="0">
      <pane xSplit="8" ySplit="2" topLeftCell="I83" activePane="bottomRight" state="frozen"/>
      <selection pane="topRight" activeCell="I1" sqref="I1"/>
      <selection pane="bottomLeft" activeCell="A3" sqref="A3"/>
      <selection pane="bottomRight" activeCell="AR6" sqref="AR6:AX101"/>
    </sheetView>
  </sheetViews>
  <sheetFormatPr defaultRowHeight="15.75"/>
  <cols>
    <col min="1" max="1" width="12.375" style="274" customWidth="1"/>
    <col min="2" max="2" width="16.25" style="274" hidden="1" customWidth="1"/>
    <col min="3" max="3" width="32.125" style="274" customWidth="1"/>
    <col min="4" max="4" width="12.25" style="274" customWidth="1"/>
    <col min="5" max="5" width="15.375" style="12" customWidth="1"/>
    <col min="6" max="6" width="12.375" style="274" customWidth="1"/>
    <col min="7" max="7" width="13.125" style="12" hidden="1" customWidth="1"/>
    <col min="8" max="8" width="13.125" style="274" hidden="1" customWidth="1"/>
    <col min="9" max="9" width="9.5" style="274" customWidth="1"/>
    <col min="10" max="10" width="11.375" style="274" hidden="1" customWidth="1"/>
    <col min="11" max="11" width="3" style="274" customWidth="1"/>
    <col min="12" max="12" width="7.875" style="274" customWidth="1"/>
    <col min="13" max="13" width="7.875" style="274" hidden="1" customWidth="1"/>
    <col min="14" max="14" width="4.75" style="274" customWidth="1"/>
    <col min="15" max="15" width="6.25" style="274" hidden="1" customWidth="1"/>
    <col min="16" max="16" width="9.125" style="274" customWidth="1"/>
    <col min="17" max="17" width="11.25" style="274" hidden="1" customWidth="1"/>
    <col min="18" max="18" width="3" style="274" customWidth="1"/>
    <col min="19" max="19" width="8.125" style="274" customWidth="1"/>
    <col min="20" max="20" width="8.125" style="274" hidden="1" customWidth="1"/>
    <col min="21" max="21" width="5.875" style="274" customWidth="1"/>
    <col min="22" max="22" width="9" style="274" hidden="1" customWidth="1"/>
    <col min="23" max="23" width="9.625" style="274" customWidth="1"/>
    <col min="24" max="24" width="9" style="274" hidden="1" customWidth="1"/>
    <col min="25" max="25" width="3.75" style="274" customWidth="1"/>
    <col min="26" max="26" width="8.75" style="274" customWidth="1"/>
    <col min="27" max="27" width="7.375" style="274" hidden="1" customWidth="1"/>
    <col min="28" max="28" width="4.75" style="274" customWidth="1"/>
    <col min="29" max="29" width="9" style="274" hidden="1" customWidth="1"/>
    <col min="30" max="30" width="8.625" style="274" customWidth="1"/>
    <col min="31" max="31" width="9" style="274" hidden="1" customWidth="1"/>
    <col min="32" max="32" width="4" style="274" customWidth="1"/>
    <col min="33" max="33" width="7.5" style="274" customWidth="1"/>
    <col min="34" max="34" width="7.5" style="274" hidden="1" customWidth="1"/>
    <col min="35" max="35" width="4.875" style="43" customWidth="1"/>
    <col min="36" max="36" width="9" style="274" hidden="1" customWidth="1"/>
    <col min="37" max="37" width="9.25" style="274" customWidth="1"/>
    <col min="38" max="38" width="9" style="274" hidden="1" customWidth="1"/>
    <col min="39" max="39" width="4" style="274" customWidth="1"/>
    <col min="40" max="40" width="8.5" style="274" customWidth="1"/>
    <col min="41" max="41" width="7.375" style="274" hidden="1" customWidth="1"/>
    <col min="42" max="42" width="4.875" style="43" customWidth="1"/>
    <col min="43" max="43" width="6.625" style="274" hidden="1" customWidth="1"/>
    <col min="44" max="44" width="8.75" style="274" customWidth="1"/>
    <col min="45" max="45" width="9" style="274" hidden="1" customWidth="1"/>
    <col min="46" max="46" width="4" style="274" customWidth="1"/>
    <col min="47" max="47" width="8" style="274" customWidth="1"/>
    <col min="48" max="48" width="7.375" style="274" hidden="1" customWidth="1"/>
    <col min="49" max="49" width="4.875" style="43" customWidth="1"/>
    <col min="50" max="50" width="11.5" style="2229" customWidth="1"/>
    <col min="51" max="51" width="12.625" style="274" bestFit="1" customWidth="1"/>
    <col min="52" max="56" width="0" style="274" hidden="1" customWidth="1"/>
    <col min="57" max="57" width="10.5" style="274" customWidth="1"/>
    <col min="58" max="16384" width="9" style="274"/>
  </cols>
  <sheetData>
    <row r="1" spans="1:57" ht="39" customHeight="1">
      <c r="A1" s="298"/>
      <c r="B1" s="298"/>
      <c r="C1" s="299" t="s">
        <v>1538</v>
      </c>
      <c r="D1" s="300"/>
      <c r="E1" s="1403"/>
      <c r="F1" s="1713"/>
      <c r="G1" s="1403"/>
      <c r="H1" s="300"/>
      <c r="I1" s="300"/>
      <c r="J1" s="300"/>
      <c r="K1" s="300"/>
      <c r="L1" s="300"/>
      <c r="M1" s="300"/>
      <c r="N1" s="300"/>
      <c r="O1" s="300"/>
      <c r="P1" s="300"/>
      <c r="Q1" s="300"/>
      <c r="R1" s="300"/>
      <c r="S1" s="300"/>
      <c r="T1" s="300"/>
      <c r="U1" s="300"/>
      <c r="V1" s="300"/>
      <c r="W1" s="300"/>
      <c r="X1" s="300"/>
      <c r="Y1" s="300"/>
      <c r="Z1" s="300"/>
      <c r="AA1" s="300"/>
      <c r="AB1" s="300"/>
      <c r="AC1" s="300"/>
      <c r="AD1" s="300"/>
      <c r="AE1" s="300"/>
      <c r="AF1" s="300"/>
      <c r="AG1" s="300"/>
      <c r="AH1" s="300"/>
      <c r="AI1" s="300"/>
      <c r="AJ1" s="300"/>
      <c r="AK1" s="300"/>
      <c r="AL1" s="300"/>
      <c r="AM1" s="300"/>
      <c r="AN1" s="300"/>
      <c r="AO1" s="300"/>
      <c r="AP1" s="300"/>
      <c r="AQ1" s="300"/>
      <c r="AR1" s="300"/>
      <c r="AS1" s="300"/>
      <c r="AT1" s="300"/>
      <c r="AU1" s="300"/>
      <c r="AV1" s="300"/>
      <c r="AW1" s="300"/>
    </row>
    <row r="2" spans="1:57" ht="30.75" customHeight="1">
      <c r="A2" s="2093" t="str">
        <f>MENU!$AC$9</f>
        <v>Thứ 3,</v>
      </c>
      <c r="B2" s="2094"/>
      <c r="C2" s="2095" t="str">
        <f>MENU!$AD$9</f>
        <v>2024/01/09</v>
      </c>
      <c r="D2" s="301"/>
      <c r="E2" s="1404"/>
      <c r="F2" s="1715"/>
      <c r="G2" s="1404"/>
      <c r="H2" s="301"/>
      <c r="I2" s="301"/>
      <c r="J2" s="301"/>
      <c r="K2" s="301"/>
      <c r="L2" s="301"/>
      <c r="M2" s="1702"/>
      <c r="N2" s="301"/>
      <c r="O2" s="301"/>
      <c r="P2" s="301"/>
      <c r="Q2" s="301"/>
      <c r="R2" s="301"/>
      <c r="S2" s="301"/>
      <c r="T2" s="1702"/>
      <c r="U2" s="301"/>
      <c r="V2" s="301"/>
      <c r="W2" s="301"/>
      <c r="X2" s="301"/>
      <c r="Y2" s="301"/>
      <c r="Z2" s="301"/>
      <c r="AA2" s="1702"/>
      <c r="AB2" s="301"/>
      <c r="AC2" s="301"/>
      <c r="AD2" s="301"/>
      <c r="AE2" s="301"/>
      <c r="AF2" s="301"/>
      <c r="AG2" s="301"/>
      <c r="AH2" s="301"/>
      <c r="AI2" s="301"/>
      <c r="AJ2" s="301"/>
      <c r="AK2" s="301"/>
      <c r="AL2" s="301"/>
      <c r="AM2" s="301"/>
      <c r="AN2" s="301"/>
      <c r="AO2" s="301"/>
      <c r="AP2" s="301"/>
      <c r="AQ2" s="301"/>
      <c r="AR2" s="301"/>
      <c r="AS2" s="301"/>
      <c r="AT2" s="301"/>
      <c r="AU2" s="301"/>
      <c r="AV2" s="301"/>
      <c r="AW2" s="301"/>
    </row>
    <row r="3" spans="1:57" ht="41.25" customHeight="1">
      <c r="A3" s="1087" t="s">
        <v>212</v>
      </c>
      <c r="B3" s="1088"/>
      <c r="C3" s="1089"/>
      <c r="D3" s="1089"/>
      <c r="E3" s="1457"/>
      <c r="F3" s="2038" t="str">
        <f>MENU!$AC$9</f>
        <v>Thứ 3,</v>
      </c>
      <c r="G3" s="2037"/>
      <c r="H3" s="1090"/>
      <c r="I3" s="1944" t="str">
        <f>MENU!$AD$9</f>
        <v>2024/01/09</v>
      </c>
      <c r="J3" s="1090"/>
      <c r="K3" s="1090"/>
      <c r="L3" s="1091"/>
      <c r="M3" s="1091"/>
      <c r="N3" s="1091"/>
      <c r="O3" s="1091"/>
      <c r="P3" s="1091"/>
      <c r="Q3" s="1091"/>
      <c r="R3" s="1091"/>
      <c r="S3" s="1091"/>
      <c r="T3" s="1091"/>
      <c r="U3" s="1090"/>
      <c r="V3" s="1090"/>
      <c r="W3" s="1090"/>
      <c r="X3" s="1090"/>
      <c r="Y3" s="1090"/>
      <c r="Z3" s="1090"/>
      <c r="AA3" s="1090"/>
      <c r="AB3" s="1090"/>
      <c r="AC3" s="1090"/>
      <c r="AD3" s="1090"/>
      <c r="AE3" s="1090"/>
      <c r="AF3" s="1090"/>
      <c r="AG3" s="1090"/>
      <c r="AH3" s="1090"/>
      <c r="AI3" s="1090"/>
      <c r="AJ3" s="1085"/>
      <c r="AK3" s="1088"/>
      <c r="AL3" s="1092"/>
      <c r="AM3" s="1092"/>
      <c r="AN3" s="1092"/>
      <c r="AO3" s="1092"/>
      <c r="AP3" s="1092"/>
      <c r="AQ3" s="1092"/>
      <c r="AR3" s="1092"/>
      <c r="AS3" s="1092"/>
      <c r="AT3" s="1092"/>
      <c r="AU3" s="1092"/>
      <c r="AV3" s="1092"/>
      <c r="AW3" s="1093"/>
      <c r="AX3" s="2243" t="str">
        <f>A2</f>
        <v>Thứ 3,</v>
      </c>
    </row>
    <row r="4" spans="1:57" ht="36.75" customHeight="1">
      <c r="A4" s="1458"/>
      <c r="B4" s="1453"/>
      <c r="C4" s="1458"/>
      <c r="D4" s="1458"/>
      <c r="E4" s="1458"/>
      <c r="F4" s="2013"/>
      <c r="G4" s="2843" t="s">
        <v>126</v>
      </c>
      <c r="H4" s="87"/>
      <c r="I4" s="279" t="s">
        <v>1489</v>
      </c>
      <c r="J4" s="279"/>
      <c r="K4" s="279"/>
      <c r="L4" s="279"/>
      <c r="M4" s="279"/>
      <c r="N4" s="279"/>
      <c r="O4" s="88"/>
      <c r="P4" s="292" t="s">
        <v>1479</v>
      </c>
      <c r="Q4" s="279"/>
      <c r="R4" s="279"/>
      <c r="S4" s="279"/>
      <c r="T4" s="279"/>
      <c r="U4" s="280"/>
      <c r="V4" s="279"/>
      <c r="W4" s="279" t="s">
        <v>1480</v>
      </c>
      <c r="X4" s="279"/>
      <c r="Y4" s="279"/>
      <c r="Z4" s="279"/>
      <c r="AA4" s="279"/>
      <c r="AB4" s="279"/>
      <c r="AC4" s="88"/>
      <c r="AD4" s="292" t="s">
        <v>1481</v>
      </c>
      <c r="AE4" s="279"/>
      <c r="AF4" s="279"/>
      <c r="AG4" s="279"/>
      <c r="AH4" s="279"/>
      <c r="AI4" s="280"/>
      <c r="AJ4" s="279"/>
      <c r="AK4" s="279" t="s">
        <v>1482</v>
      </c>
      <c r="AL4" s="279"/>
      <c r="AM4" s="279"/>
      <c r="AN4" s="279"/>
      <c r="AO4" s="279"/>
      <c r="AP4" s="279"/>
      <c r="AQ4" s="279"/>
      <c r="AR4" s="292" t="s">
        <v>1483</v>
      </c>
      <c r="AS4" s="279"/>
      <c r="AT4" s="279"/>
      <c r="AU4" s="280"/>
      <c r="AV4" s="280"/>
      <c r="AW4" s="1035"/>
      <c r="AX4" s="2244" t="str">
        <f>C2</f>
        <v>2024/01/09</v>
      </c>
      <c r="AY4" s="2230">
        <f>AX4-1</f>
        <v>45299</v>
      </c>
      <c r="BE4" s="2230">
        <f>AY4</f>
        <v>45299</v>
      </c>
    </row>
    <row r="5" spans="1:57" ht="63.75" customHeight="1">
      <c r="A5" s="1456" t="s">
        <v>239</v>
      </c>
      <c r="B5" s="1453" t="s">
        <v>318</v>
      </c>
      <c r="C5" s="1456" t="s">
        <v>317</v>
      </c>
      <c r="D5" s="1456" t="s">
        <v>1324</v>
      </c>
      <c r="E5" s="1456" t="s">
        <v>1318</v>
      </c>
      <c r="F5" s="2014" t="s">
        <v>1317</v>
      </c>
      <c r="G5" s="2844"/>
      <c r="H5" s="20"/>
      <c r="I5" s="1993" t="s">
        <v>130</v>
      </c>
      <c r="J5" s="1992" t="s">
        <v>1</v>
      </c>
      <c r="K5" s="293" t="s">
        <v>1</v>
      </c>
      <c r="L5" s="293"/>
      <c r="M5" s="293"/>
      <c r="N5" s="294"/>
      <c r="O5" s="89"/>
      <c r="P5" s="1993" t="s">
        <v>130</v>
      </c>
      <c r="Q5" s="1992" t="s">
        <v>1</v>
      </c>
      <c r="R5" s="293" t="s">
        <v>1</v>
      </c>
      <c r="S5" s="293"/>
      <c r="T5" s="293"/>
      <c r="U5" s="294"/>
      <c r="V5" s="20"/>
      <c r="W5" s="1993" t="s">
        <v>130</v>
      </c>
      <c r="X5" s="1992" t="s">
        <v>1</v>
      </c>
      <c r="Y5" s="293" t="s">
        <v>1</v>
      </c>
      <c r="Z5" s="293"/>
      <c r="AA5" s="293"/>
      <c r="AB5" s="294"/>
      <c r="AC5" s="89"/>
      <c r="AD5" s="1993" t="s">
        <v>130</v>
      </c>
      <c r="AE5" s="1992" t="s">
        <v>1</v>
      </c>
      <c r="AF5" s="293" t="s">
        <v>1</v>
      </c>
      <c r="AG5" s="293"/>
      <c r="AH5" s="293"/>
      <c r="AI5" s="294"/>
      <c r="AJ5" s="89"/>
      <c r="AK5" s="1993" t="s">
        <v>130</v>
      </c>
      <c r="AL5" s="1992" t="s">
        <v>1</v>
      </c>
      <c r="AM5" s="293" t="s">
        <v>1</v>
      </c>
      <c r="AN5" s="293"/>
      <c r="AO5" s="293"/>
      <c r="AP5" s="294"/>
      <c r="AQ5" s="89"/>
      <c r="AR5" s="1993" t="s">
        <v>130</v>
      </c>
      <c r="AS5" s="1992" t="s">
        <v>1</v>
      </c>
      <c r="AT5" s="293" t="s">
        <v>1</v>
      </c>
      <c r="AU5" s="293"/>
      <c r="AV5" s="293"/>
      <c r="AW5" s="294"/>
      <c r="AX5" s="2245" t="s">
        <v>773</v>
      </c>
      <c r="AY5" s="1601" t="s">
        <v>1535</v>
      </c>
      <c r="BE5" s="2234" t="s">
        <v>773</v>
      </c>
    </row>
    <row r="6" spans="1:57" ht="34.5" customHeight="1">
      <c r="A6" s="1946" t="s">
        <v>240</v>
      </c>
      <c r="B6" s="1947" t="s">
        <v>216</v>
      </c>
      <c r="C6" s="1947" t="s">
        <v>78</v>
      </c>
      <c r="D6" s="1948" t="s">
        <v>4</v>
      </c>
      <c r="E6" s="1949" t="str">
        <f>'XM.GUI MAIL'!E6</f>
        <v>20~40</v>
      </c>
      <c r="F6" s="2015" t="str">
        <f>'XM.GUI MAIL'!F6</f>
        <v>(30±5)</v>
      </c>
      <c r="G6" s="1950">
        <f>'XM.GUI MAIL'!G6</f>
        <v>30</v>
      </c>
      <c r="H6" s="1951">
        <f>XM.HN!B3</f>
        <v>0</v>
      </c>
      <c r="I6" s="1952">
        <f>H6*4</f>
        <v>0</v>
      </c>
      <c r="J6" s="1953">
        <f>($G$6-I6)*2693/1000</f>
        <v>80.790000000000006</v>
      </c>
      <c r="K6" s="1954" t="s">
        <v>8</v>
      </c>
      <c r="L6" s="1955">
        <f>IF(J6&lt;0,0,J6)</f>
        <v>80.790000000000006</v>
      </c>
      <c r="M6" s="1956"/>
      <c r="N6" s="1957" t="s">
        <v>9</v>
      </c>
      <c r="O6" s="1958">
        <f>XM.HN!C3</f>
        <v>0</v>
      </c>
      <c r="P6" s="1952">
        <f>O6*4</f>
        <v>0</v>
      </c>
      <c r="Q6" s="1953">
        <f>($G$6-P6)*2693/1000</f>
        <v>80.790000000000006</v>
      </c>
      <c r="R6" s="1954" t="s">
        <v>8</v>
      </c>
      <c r="S6" s="1955">
        <f>IF(Q6&lt;0,0,Q6)</f>
        <v>80.790000000000006</v>
      </c>
      <c r="T6" s="1956"/>
      <c r="U6" s="1957" t="s">
        <v>9</v>
      </c>
      <c r="V6" s="1958">
        <f>XM.HN!D3</f>
        <v>0</v>
      </c>
      <c r="W6" s="1952">
        <f>V6*4</f>
        <v>0</v>
      </c>
      <c r="X6" s="1953">
        <f>($G$6-W6)*2693/1000</f>
        <v>80.790000000000006</v>
      </c>
      <c r="Y6" s="1954" t="s">
        <v>8</v>
      </c>
      <c r="Z6" s="1955">
        <f>IF(X6&lt;0,0,X6)</f>
        <v>80.790000000000006</v>
      </c>
      <c r="AA6" s="1956"/>
      <c r="AB6" s="1957" t="s">
        <v>9</v>
      </c>
      <c r="AC6" s="1958">
        <f>XM.HN!E3</f>
        <v>0</v>
      </c>
      <c r="AD6" s="1952">
        <f>AC6*4</f>
        <v>0</v>
      </c>
      <c r="AE6" s="1953">
        <f>($G$6-AD6)*2693/1000</f>
        <v>80.790000000000006</v>
      </c>
      <c r="AF6" s="1954" t="s">
        <v>8</v>
      </c>
      <c r="AG6" s="1955">
        <f>IF(AE6&lt;0,0,AE6)</f>
        <v>80.790000000000006</v>
      </c>
      <c r="AH6" s="1956"/>
      <c r="AI6" s="1957" t="s">
        <v>9</v>
      </c>
      <c r="AJ6" s="1958">
        <f>XM.HN!F3</f>
        <v>0</v>
      </c>
      <c r="AK6" s="1952">
        <f>AJ6*4</f>
        <v>0</v>
      </c>
      <c r="AL6" s="1953">
        <f>($G$6-AK6)*2693/1000</f>
        <v>80.790000000000006</v>
      </c>
      <c r="AM6" s="1954" t="s">
        <v>8</v>
      </c>
      <c r="AN6" s="1955">
        <f>IF(AL6&lt;0,0,AL6)</f>
        <v>80.790000000000006</v>
      </c>
      <c r="AO6" s="1956"/>
      <c r="AP6" s="1957" t="s">
        <v>9</v>
      </c>
      <c r="AQ6" s="1958">
        <f>XM.HN!G3</f>
        <v>0</v>
      </c>
      <c r="AR6" s="1952">
        <f>AQ6*4</f>
        <v>0</v>
      </c>
      <c r="AS6" s="1953">
        <f>($G$6-AR6)*2693/1000</f>
        <v>80.790000000000006</v>
      </c>
      <c r="AT6" s="1954" t="s">
        <v>8</v>
      </c>
      <c r="AU6" s="1955">
        <f>IF(AS6&lt;0,0,AS6)</f>
        <v>80.790000000000006</v>
      </c>
      <c r="AV6" s="1956"/>
      <c r="AW6" s="1957" t="s">
        <v>9</v>
      </c>
      <c r="AX6" s="2232">
        <f>'R.FILE GOC'!W57</f>
        <v>15</v>
      </c>
      <c r="AY6" s="1952">
        <v>0</v>
      </c>
      <c r="AZ6" s="274">
        <v>80.790000000000006</v>
      </c>
      <c r="BA6" s="274" t="s">
        <v>8</v>
      </c>
      <c r="BB6" s="274">
        <v>80.790000000000006</v>
      </c>
      <c r="BD6" s="274" t="s">
        <v>9</v>
      </c>
      <c r="BE6" s="2232">
        <v>15.2</v>
      </c>
    </row>
    <row r="7" spans="1:57" ht="34.5" customHeight="1">
      <c r="A7" s="1959"/>
      <c r="B7" s="1960"/>
      <c r="C7" s="1961" t="s">
        <v>102</v>
      </c>
      <c r="D7" s="1962"/>
      <c r="E7" s="1963" t="s">
        <v>103</v>
      </c>
      <c r="F7" s="2016"/>
      <c r="G7" s="1964"/>
      <c r="H7" s="1965"/>
      <c r="I7" s="1997"/>
      <c r="J7" s="1966"/>
      <c r="K7" s="1967" t="s">
        <v>8</v>
      </c>
      <c r="L7" s="1983">
        <f>L6/25*840/1000</f>
        <v>2.7145440000000005</v>
      </c>
      <c r="M7" s="1968" t="str">
        <f>IF('1. XL-1E TT'!AB7="","",'1. XL-1E TT'!AB7)</f>
        <v/>
      </c>
      <c r="N7" s="1969" t="s">
        <v>10</v>
      </c>
      <c r="O7" s="1970"/>
      <c r="P7" s="1997"/>
      <c r="Q7" s="1966"/>
      <c r="R7" s="1967" t="s">
        <v>8</v>
      </c>
      <c r="S7" s="1983">
        <f>S6/25*840/1000</f>
        <v>2.7145440000000005</v>
      </c>
      <c r="T7" s="1968" t="str">
        <f>IF('1. XL-1E TT'!AF7="","",'1. XL-1E TT'!AF7)</f>
        <v/>
      </c>
      <c r="U7" s="1969" t="s">
        <v>10</v>
      </c>
      <c r="V7" s="1970"/>
      <c r="W7" s="1997"/>
      <c r="X7" s="1966"/>
      <c r="Y7" s="1967" t="s">
        <v>8</v>
      </c>
      <c r="Z7" s="1983">
        <f>Z6/25*840/1000</f>
        <v>2.7145440000000005</v>
      </c>
      <c r="AA7" s="1968" t="str">
        <f>IF('1. XL-1E TT'!AJ7="","",'1. XL-1E TT'!AJ7)</f>
        <v/>
      </c>
      <c r="AB7" s="1969" t="s">
        <v>10</v>
      </c>
      <c r="AC7" s="1970"/>
      <c r="AD7" s="1997"/>
      <c r="AE7" s="1966"/>
      <c r="AF7" s="1967" t="s">
        <v>8</v>
      </c>
      <c r="AG7" s="1983">
        <f>AG6/25*840/1000</f>
        <v>2.7145440000000005</v>
      </c>
      <c r="AH7" s="1968" t="str">
        <f>IF('1. XL-1E TT(CA2)'!AB7="","",'1. XL-1E TT(CA2)'!AB7)</f>
        <v/>
      </c>
      <c r="AI7" s="1969" t="s">
        <v>10</v>
      </c>
      <c r="AJ7" s="1970"/>
      <c r="AK7" s="1997"/>
      <c r="AL7" s="1966"/>
      <c r="AM7" s="1967" t="s">
        <v>8</v>
      </c>
      <c r="AN7" s="1983">
        <f>AN6/25*840/1000</f>
        <v>2.7145440000000005</v>
      </c>
      <c r="AO7" s="1968" t="str">
        <f>IF('1. XL-1E TT(CA2)'!AF7="","",'1. XL-1E TT(CA2)'!AF7)</f>
        <v/>
      </c>
      <c r="AP7" s="1969" t="s">
        <v>10</v>
      </c>
      <c r="AQ7" s="1970"/>
      <c r="AR7" s="1997"/>
      <c r="AS7" s="1966"/>
      <c r="AT7" s="1967" t="s">
        <v>8</v>
      </c>
      <c r="AU7" s="1983">
        <f>AU6/25*840/1000</f>
        <v>2.7145440000000005</v>
      </c>
      <c r="AV7" s="1968" t="str">
        <f>IF('1. XL-1E TT(CA2)'!AJ7="","",'1. XL-1E TT(CA2)'!AJ7)</f>
        <v/>
      </c>
      <c r="AW7" s="1969" t="s">
        <v>10</v>
      </c>
      <c r="AX7" s="2232">
        <f>'R.FILE GOC'!W58</f>
        <v>15</v>
      </c>
      <c r="AY7" s="1997"/>
      <c r="BA7" s="274" t="s">
        <v>8</v>
      </c>
      <c r="BB7" s="274">
        <v>2.7145440000000005</v>
      </c>
      <c r="BC7" s="274" t="s">
        <v>1534</v>
      </c>
      <c r="BD7" s="274" t="s">
        <v>10</v>
      </c>
      <c r="BE7" s="2232">
        <v>15.3</v>
      </c>
    </row>
    <row r="8" spans="1:57" ht="34.5" customHeight="1">
      <c r="A8" s="1971"/>
      <c r="B8" s="1972"/>
      <c r="C8" s="1973" t="s">
        <v>104</v>
      </c>
      <c r="D8" s="1974"/>
      <c r="E8" s="1975" t="s">
        <v>103</v>
      </c>
      <c r="F8" s="2017"/>
      <c r="G8" s="1976"/>
      <c r="H8" s="1977"/>
      <c r="I8" s="1998"/>
      <c r="J8" s="1978"/>
      <c r="K8" s="1967" t="s">
        <v>8</v>
      </c>
      <c r="L8" s="1984">
        <f>L7*10</f>
        <v>27.145440000000004</v>
      </c>
      <c r="M8" s="1980" t="str">
        <f>IF('1. XL-1E TT'!AB8="","",'1. XL-1E TT'!AB8)</f>
        <v/>
      </c>
      <c r="N8" s="1981" t="s">
        <v>10</v>
      </c>
      <c r="O8" s="1982"/>
      <c r="P8" s="1998"/>
      <c r="Q8" s="1978"/>
      <c r="R8" s="1967" t="s">
        <v>8</v>
      </c>
      <c r="S8" s="1984">
        <f>S7*10</f>
        <v>27.145440000000004</v>
      </c>
      <c r="T8" s="1980" t="str">
        <f>IF('1. XL-1E TT'!AF8="","",'1. XL-1E TT'!AF8)</f>
        <v/>
      </c>
      <c r="U8" s="1981" t="s">
        <v>10</v>
      </c>
      <c r="V8" s="1982"/>
      <c r="W8" s="1998"/>
      <c r="X8" s="1978"/>
      <c r="Y8" s="1967" t="s">
        <v>8</v>
      </c>
      <c r="Z8" s="1984">
        <f>Z7*10</f>
        <v>27.145440000000004</v>
      </c>
      <c r="AA8" s="1980" t="str">
        <f>IF('1. XL-1E TT'!AJ8="","",'1. XL-1E TT'!AJ8)</f>
        <v/>
      </c>
      <c r="AB8" s="1981" t="s">
        <v>10</v>
      </c>
      <c r="AC8" s="1982"/>
      <c r="AD8" s="1998"/>
      <c r="AE8" s="1978"/>
      <c r="AF8" s="1967" t="s">
        <v>8</v>
      </c>
      <c r="AG8" s="1984">
        <f>AG7*10</f>
        <v>27.145440000000004</v>
      </c>
      <c r="AH8" s="1980" t="str">
        <f>IF('1. XL-1E TT(CA2)'!AB8="","",'1. XL-1E TT(CA2)'!AB8)</f>
        <v/>
      </c>
      <c r="AI8" s="1981" t="s">
        <v>10</v>
      </c>
      <c r="AJ8" s="1982"/>
      <c r="AK8" s="1998"/>
      <c r="AL8" s="1978"/>
      <c r="AM8" s="1967" t="s">
        <v>8</v>
      </c>
      <c r="AN8" s="1984">
        <f>AN7*10</f>
        <v>27.145440000000004</v>
      </c>
      <c r="AO8" s="1980" t="str">
        <f>IF('1. XL-1E TT(CA2)'!AF8="","",'1. XL-1E TT(CA2)'!AF8)</f>
        <v/>
      </c>
      <c r="AP8" s="1981" t="s">
        <v>10</v>
      </c>
      <c r="AQ8" s="1982"/>
      <c r="AR8" s="1998"/>
      <c r="AS8" s="1978"/>
      <c r="AT8" s="1967" t="s">
        <v>8</v>
      </c>
      <c r="AU8" s="1984">
        <f>AU7*10</f>
        <v>27.145440000000004</v>
      </c>
      <c r="AV8" s="1980" t="str">
        <f>IF('1. XL-1E TT(CA2)'!AJ8="","",'1. XL-1E TT(CA2)'!AJ8)</f>
        <v/>
      </c>
      <c r="AW8" s="1981" t="s">
        <v>10</v>
      </c>
      <c r="AX8" s="2232">
        <f>'R.FILE GOC'!W59</f>
        <v>15</v>
      </c>
      <c r="AY8" s="1998"/>
      <c r="BA8" s="274" t="s">
        <v>8</v>
      </c>
      <c r="BB8" s="274">
        <v>27.145440000000004</v>
      </c>
      <c r="BC8" s="274" t="s">
        <v>1534</v>
      </c>
      <c r="BD8" s="274" t="s">
        <v>10</v>
      </c>
      <c r="BE8" s="2232">
        <v>15</v>
      </c>
    </row>
    <row r="9" spans="1:57" ht="34.5" customHeight="1">
      <c r="A9" s="1946" t="s">
        <v>241</v>
      </c>
      <c r="B9" s="1947" t="s">
        <v>216</v>
      </c>
      <c r="C9" s="1947" t="s">
        <v>79</v>
      </c>
      <c r="D9" s="1948" t="s">
        <v>4</v>
      </c>
      <c r="E9" s="1949" t="str">
        <f>'XM.GUI MAIL'!E9</f>
        <v>20~40</v>
      </c>
      <c r="F9" s="2015" t="str">
        <f>'XM.GUI MAIL'!F9</f>
        <v>(30±5)</v>
      </c>
      <c r="G9" s="1950">
        <f>'XM.GUI MAIL'!G9</f>
        <v>30</v>
      </c>
      <c r="H9" s="1951">
        <f>XM.HN!B6</f>
        <v>0</v>
      </c>
      <c r="I9" s="1952">
        <f>H9*4</f>
        <v>0</v>
      </c>
      <c r="J9" s="1953">
        <f>($G$9-I9)*3305/1000</f>
        <v>99.15</v>
      </c>
      <c r="K9" s="1954" t="s">
        <v>8</v>
      </c>
      <c r="L9" s="1955">
        <f t="shared" ref="L9:L18" si="0">IF(J9&lt;0,0,J9)</f>
        <v>99.15</v>
      </c>
      <c r="M9" s="1956"/>
      <c r="N9" s="1957" t="s">
        <v>9</v>
      </c>
      <c r="O9" s="1958">
        <f>XM.HN!C6</f>
        <v>0</v>
      </c>
      <c r="P9" s="1952">
        <f>O9*4</f>
        <v>0</v>
      </c>
      <c r="Q9" s="1953">
        <f>($G$9-P9)*3305/1000</f>
        <v>99.15</v>
      </c>
      <c r="R9" s="1954" t="s">
        <v>8</v>
      </c>
      <c r="S9" s="1955">
        <f t="shared" ref="S9" si="1">IF(Q9&lt;0,0,Q9)</f>
        <v>99.15</v>
      </c>
      <c r="T9" s="1956"/>
      <c r="U9" s="1957" t="s">
        <v>9</v>
      </c>
      <c r="V9" s="1958">
        <f>XM.HN!D6</f>
        <v>0</v>
      </c>
      <c r="W9" s="1952">
        <f>V9*4</f>
        <v>0</v>
      </c>
      <c r="X9" s="1953">
        <f>($G$9-W9)*3305/1000</f>
        <v>99.15</v>
      </c>
      <c r="Y9" s="1954" t="s">
        <v>8</v>
      </c>
      <c r="Z9" s="1955">
        <f t="shared" ref="Z9" si="2">IF(X9&lt;0,0,X9)</f>
        <v>99.15</v>
      </c>
      <c r="AA9" s="1956"/>
      <c r="AB9" s="1957" t="s">
        <v>9</v>
      </c>
      <c r="AC9" s="1958">
        <f>XM.HN!E6</f>
        <v>0</v>
      </c>
      <c r="AD9" s="1952">
        <f>AC9*4</f>
        <v>0</v>
      </c>
      <c r="AE9" s="1953">
        <f>($G$9-AD9)*3305/1000</f>
        <v>99.15</v>
      </c>
      <c r="AF9" s="1954" t="s">
        <v>8</v>
      </c>
      <c r="AG9" s="1955">
        <f t="shared" ref="AG9" si="3">IF(AE9&lt;0,0,AE9)</f>
        <v>99.15</v>
      </c>
      <c r="AH9" s="1956"/>
      <c r="AI9" s="1957" t="s">
        <v>9</v>
      </c>
      <c r="AJ9" s="1958">
        <f>XM.HN!F6</f>
        <v>0</v>
      </c>
      <c r="AK9" s="1952">
        <f>AJ9*4</f>
        <v>0</v>
      </c>
      <c r="AL9" s="1953">
        <f>($G$9-AK9)*3305/1000</f>
        <v>99.15</v>
      </c>
      <c r="AM9" s="1954" t="s">
        <v>8</v>
      </c>
      <c r="AN9" s="1955">
        <f t="shared" ref="AN9" si="4">IF(AL9&lt;0,0,AL9)</f>
        <v>99.15</v>
      </c>
      <c r="AO9" s="1956"/>
      <c r="AP9" s="1957" t="s">
        <v>9</v>
      </c>
      <c r="AQ9" s="1958">
        <f>XM.HN!G6</f>
        <v>0</v>
      </c>
      <c r="AR9" s="1952">
        <f>AQ9*4</f>
        <v>0</v>
      </c>
      <c r="AS9" s="1953">
        <f>($G$9-AR9)*3305/1000</f>
        <v>99.15</v>
      </c>
      <c r="AT9" s="1954" t="s">
        <v>8</v>
      </c>
      <c r="AU9" s="1955">
        <f t="shared" ref="AU9" si="5">IF(AS9&lt;0,0,AS9)</f>
        <v>99.15</v>
      </c>
      <c r="AV9" s="1956"/>
      <c r="AW9" s="1957" t="s">
        <v>9</v>
      </c>
      <c r="AX9" s="2232">
        <f>'R.FILE GOC'!W60</f>
        <v>9.9</v>
      </c>
      <c r="AY9" s="1952">
        <v>0</v>
      </c>
      <c r="AZ9" s="274">
        <v>99.15</v>
      </c>
      <c r="BA9" s="274" t="s">
        <v>8</v>
      </c>
      <c r="BB9" s="274">
        <v>99.15</v>
      </c>
      <c r="BD9" s="274" t="s">
        <v>9</v>
      </c>
      <c r="BE9" s="2232">
        <v>10.1</v>
      </c>
    </row>
    <row r="10" spans="1:57" ht="34.5" customHeight="1">
      <c r="A10" s="1959"/>
      <c r="B10" s="1960"/>
      <c r="C10" s="1961" t="s">
        <v>102</v>
      </c>
      <c r="D10" s="1962"/>
      <c r="E10" s="1963" t="s">
        <v>103</v>
      </c>
      <c r="F10" s="2016"/>
      <c r="G10" s="1964"/>
      <c r="H10" s="1965"/>
      <c r="I10" s="1997"/>
      <c r="J10" s="1966"/>
      <c r="K10" s="1967" t="s">
        <v>8</v>
      </c>
      <c r="L10" s="1983">
        <f>L9/25*840/1000</f>
        <v>3.3314400000000002</v>
      </c>
      <c r="M10" s="1968" t="str">
        <f>IF('1. XL-1E TT'!AB10="","",'1. XL-1E TT'!AB10)</f>
        <v/>
      </c>
      <c r="N10" s="1969" t="s">
        <v>10</v>
      </c>
      <c r="O10" s="1970"/>
      <c r="P10" s="1997"/>
      <c r="Q10" s="1966"/>
      <c r="R10" s="1967" t="s">
        <v>8</v>
      </c>
      <c r="S10" s="1983">
        <f>S9/25*840/1000</f>
        <v>3.3314400000000002</v>
      </c>
      <c r="T10" s="1968" t="str">
        <f>IF('1. XL-1E TT'!AF10="","",'1. XL-1E TT'!AF10)</f>
        <v/>
      </c>
      <c r="U10" s="1969" t="s">
        <v>10</v>
      </c>
      <c r="V10" s="1970"/>
      <c r="W10" s="1997"/>
      <c r="X10" s="1966"/>
      <c r="Y10" s="1967" t="s">
        <v>8</v>
      </c>
      <c r="Z10" s="1983">
        <f>Z9/25*840/1000</f>
        <v>3.3314400000000002</v>
      </c>
      <c r="AA10" s="1968" t="str">
        <f>IF('1. XL-1E TT'!AJ10="","",'1. XL-1E TT'!AJ10)</f>
        <v/>
      </c>
      <c r="AB10" s="1969" t="s">
        <v>10</v>
      </c>
      <c r="AC10" s="1970"/>
      <c r="AD10" s="1997"/>
      <c r="AE10" s="1966"/>
      <c r="AF10" s="1967" t="s">
        <v>8</v>
      </c>
      <c r="AG10" s="1983">
        <f>AG9/25*840/1000</f>
        <v>3.3314400000000002</v>
      </c>
      <c r="AH10" s="1968" t="str">
        <f>IF('1. XL-1E TT(CA2)'!AB10="","",'1. XL-1E TT(CA2)'!AB10)</f>
        <v/>
      </c>
      <c r="AI10" s="1969" t="s">
        <v>10</v>
      </c>
      <c r="AJ10" s="1970"/>
      <c r="AK10" s="1997"/>
      <c r="AL10" s="1966"/>
      <c r="AM10" s="1967" t="s">
        <v>8</v>
      </c>
      <c r="AN10" s="1983">
        <f>AN9/25*840/1000</f>
        <v>3.3314400000000002</v>
      </c>
      <c r="AO10" s="1968" t="str">
        <f>IF('1. XL-1E TT(CA2)'!AF10="","",'1. XL-1E TT(CA2)'!AF10)</f>
        <v/>
      </c>
      <c r="AP10" s="1969" t="s">
        <v>10</v>
      </c>
      <c r="AQ10" s="1970"/>
      <c r="AR10" s="1997"/>
      <c r="AS10" s="1966"/>
      <c r="AT10" s="1967" t="s">
        <v>8</v>
      </c>
      <c r="AU10" s="1983">
        <f>AU9/25*840/1000</f>
        <v>3.3314400000000002</v>
      </c>
      <c r="AV10" s="1968" t="str">
        <f>IF('1. XL-1E TT(CA2)'!AJ10="","",'1. XL-1E TT(CA2)'!AJ10)</f>
        <v/>
      </c>
      <c r="AW10" s="1969" t="s">
        <v>10</v>
      </c>
      <c r="AX10" s="2232">
        <f>'R.FILE GOC'!W61</f>
        <v>0.96</v>
      </c>
      <c r="AY10" s="1997"/>
      <c r="BA10" s="274" t="s">
        <v>8</v>
      </c>
      <c r="BB10" s="274">
        <v>3.3314400000000002</v>
      </c>
      <c r="BC10" s="274" t="s">
        <v>1534</v>
      </c>
      <c r="BD10" s="274" t="s">
        <v>10</v>
      </c>
      <c r="BE10" s="2232">
        <v>1.34</v>
      </c>
    </row>
    <row r="11" spans="1:57" ht="34.5" customHeight="1">
      <c r="A11" s="1971"/>
      <c r="B11" s="1972"/>
      <c r="C11" s="1973" t="s">
        <v>104</v>
      </c>
      <c r="D11" s="1974"/>
      <c r="E11" s="1975" t="s">
        <v>103</v>
      </c>
      <c r="F11" s="2017"/>
      <c r="G11" s="1976"/>
      <c r="H11" s="1977"/>
      <c r="I11" s="1998"/>
      <c r="J11" s="1978"/>
      <c r="K11" s="1967" t="s">
        <v>8</v>
      </c>
      <c r="L11" s="1984">
        <f>L10*10</f>
        <v>33.314399999999999</v>
      </c>
      <c r="M11" s="1980" t="str">
        <f>IF('1. XL-1E TT'!AB11="","",'1. XL-1E TT'!AB11)</f>
        <v/>
      </c>
      <c r="N11" s="1981" t="s">
        <v>10</v>
      </c>
      <c r="O11" s="1982"/>
      <c r="P11" s="1998"/>
      <c r="Q11" s="1978"/>
      <c r="R11" s="1967" t="s">
        <v>8</v>
      </c>
      <c r="S11" s="1984">
        <f>S10*10</f>
        <v>33.314399999999999</v>
      </c>
      <c r="T11" s="1980" t="str">
        <f>IF('1. XL-1E TT'!AF11="","",'1. XL-1E TT'!AF11)</f>
        <v/>
      </c>
      <c r="U11" s="1981" t="s">
        <v>10</v>
      </c>
      <c r="V11" s="1982"/>
      <c r="W11" s="1998"/>
      <c r="X11" s="1978"/>
      <c r="Y11" s="1967" t="s">
        <v>8</v>
      </c>
      <c r="Z11" s="1984">
        <f>Z10*10</f>
        <v>33.314399999999999</v>
      </c>
      <c r="AA11" s="1980" t="str">
        <f>IF('1. XL-1E TT'!AJ11="","",'1. XL-1E TT'!AJ11)</f>
        <v/>
      </c>
      <c r="AB11" s="1981" t="s">
        <v>10</v>
      </c>
      <c r="AC11" s="1982"/>
      <c r="AD11" s="1998"/>
      <c r="AE11" s="1978"/>
      <c r="AF11" s="1967" t="s">
        <v>8</v>
      </c>
      <c r="AG11" s="1984">
        <f>AG10*10</f>
        <v>33.314399999999999</v>
      </c>
      <c r="AH11" s="1980" t="str">
        <f>IF('1. XL-1E TT(CA2)'!AB11="","",'1. XL-1E TT(CA2)'!AB11)</f>
        <v/>
      </c>
      <c r="AI11" s="1981" t="s">
        <v>10</v>
      </c>
      <c r="AJ11" s="1982"/>
      <c r="AK11" s="1998"/>
      <c r="AL11" s="1978"/>
      <c r="AM11" s="1967" t="s">
        <v>8</v>
      </c>
      <c r="AN11" s="1984">
        <f>AN10*10</f>
        <v>33.314399999999999</v>
      </c>
      <c r="AO11" s="1980" t="str">
        <f>IF('1. XL-1E TT(CA2)'!AF11="","",'1. XL-1E TT(CA2)'!AF11)</f>
        <v/>
      </c>
      <c r="AP11" s="1981" t="s">
        <v>10</v>
      </c>
      <c r="AQ11" s="1982"/>
      <c r="AR11" s="1998"/>
      <c r="AS11" s="1978"/>
      <c r="AT11" s="1967" t="s">
        <v>8</v>
      </c>
      <c r="AU11" s="1984">
        <f>AU10*10</f>
        <v>33.314399999999999</v>
      </c>
      <c r="AV11" s="1980" t="str">
        <f>IF('1. XL-1E TT(CA2)'!AJ11="","",'1. XL-1E TT(CA2)'!AJ11)</f>
        <v/>
      </c>
      <c r="AW11" s="1981" t="s">
        <v>10</v>
      </c>
      <c r="AX11" s="2232">
        <f>'R.FILE GOC'!W62</f>
        <v>22.5</v>
      </c>
      <c r="AY11" s="1998"/>
      <c r="BA11" s="274" t="s">
        <v>8</v>
      </c>
      <c r="BB11" s="274">
        <v>33.314399999999999</v>
      </c>
      <c r="BC11" s="274" t="s">
        <v>1534</v>
      </c>
      <c r="BD11" s="274" t="s">
        <v>10</v>
      </c>
      <c r="BE11" s="2232">
        <v>23.1</v>
      </c>
    </row>
    <row r="12" spans="1:57" ht="34.5" customHeight="1">
      <c r="A12" s="1946" t="s">
        <v>242</v>
      </c>
      <c r="B12" s="1947" t="s">
        <v>216</v>
      </c>
      <c r="C12" s="1947" t="s">
        <v>50</v>
      </c>
      <c r="D12" s="1948" t="s">
        <v>4</v>
      </c>
      <c r="E12" s="1949" t="str">
        <f>'XM.GUI MAIL'!E12</f>
        <v>60~80</v>
      </c>
      <c r="F12" s="2015" t="str">
        <f>'XM.GUI MAIL'!F12</f>
        <v>(70±10)</v>
      </c>
      <c r="G12" s="1950">
        <f>'XM.GUI MAIL'!G12</f>
        <v>70</v>
      </c>
      <c r="H12" s="1951">
        <f>XM.HN!B9</f>
        <v>0</v>
      </c>
      <c r="I12" s="1985">
        <f>H12*4</f>
        <v>0</v>
      </c>
      <c r="J12" s="1953">
        <f>($G$12-I12)*1156/1000</f>
        <v>80.92</v>
      </c>
      <c r="K12" s="1954" t="s">
        <v>8</v>
      </c>
      <c r="L12" s="1955">
        <f t="shared" si="0"/>
        <v>80.92</v>
      </c>
      <c r="M12" s="1956"/>
      <c r="N12" s="1957" t="s">
        <v>9</v>
      </c>
      <c r="O12" s="1958">
        <f>XM.HN!C9</f>
        <v>0</v>
      </c>
      <c r="P12" s="1985">
        <f>O12*4</f>
        <v>0</v>
      </c>
      <c r="Q12" s="1953">
        <f>($G$12-P12)*1156/1000</f>
        <v>80.92</v>
      </c>
      <c r="R12" s="1954" t="s">
        <v>8</v>
      </c>
      <c r="S12" s="1955">
        <f t="shared" ref="S12:S18" si="6">IF(Q12&lt;0,0,Q12)</f>
        <v>80.92</v>
      </c>
      <c r="T12" s="1956"/>
      <c r="U12" s="1957" t="s">
        <v>9</v>
      </c>
      <c r="V12" s="1958">
        <f>XM.HN!D9</f>
        <v>0</v>
      </c>
      <c r="W12" s="1985">
        <f>V12*4</f>
        <v>0</v>
      </c>
      <c r="X12" s="1953">
        <f>($G$12-W12)*1156/1000</f>
        <v>80.92</v>
      </c>
      <c r="Y12" s="1954" t="s">
        <v>8</v>
      </c>
      <c r="Z12" s="1955">
        <f t="shared" ref="Z12:Z18" si="7">IF(X12&lt;0,0,X12)</f>
        <v>80.92</v>
      </c>
      <c r="AA12" s="1956"/>
      <c r="AB12" s="1957" t="s">
        <v>9</v>
      </c>
      <c r="AC12" s="1958">
        <f>XM.HN!E9</f>
        <v>0</v>
      </c>
      <c r="AD12" s="1985">
        <f>AC12*4</f>
        <v>0</v>
      </c>
      <c r="AE12" s="1953">
        <f>($G$12-AD12)*1156/1000</f>
        <v>80.92</v>
      </c>
      <c r="AF12" s="1954" t="s">
        <v>8</v>
      </c>
      <c r="AG12" s="1955">
        <f t="shared" ref="AG12:AG18" si="8">IF(AE12&lt;0,0,AE12)</f>
        <v>80.92</v>
      </c>
      <c r="AH12" s="1956"/>
      <c r="AI12" s="1957" t="s">
        <v>9</v>
      </c>
      <c r="AJ12" s="1958">
        <f>XM.HN!F9</f>
        <v>0</v>
      </c>
      <c r="AK12" s="1985">
        <f>AJ12*4</f>
        <v>0</v>
      </c>
      <c r="AL12" s="1953">
        <f>($G$12-AK12)*1156/1000</f>
        <v>80.92</v>
      </c>
      <c r="AM12" s="1954" t="s">
        <v>8</v>
      </c>
      <c r="AN12" s="1955">
        <f t="shared" ref="AN12:AN18" si="9">IF(AL12&lt;0,0,AL12)</f>
        <v>80.92</v>
      </c>
      <c r="AO12" s="1956"/>
      <c r="AP12" s="1957" t="s">
        <v>9</v>
      </c>
      <c r="AQ12" s="1958">
        <f>XM.HN!G9</f>
        <v>0</v>
      </c>
      <c r="AR12" s="1985">
        <f>AQ12*4</f>
        <v>0</v>
      </c>
      <c r="AS12" s="1953">
        <f>($G$12-AR12)*1156/1000</f>
        <v>80.92</v>
      </c>
      <c r="AT12" s="1954" t="s">
        <v>8</v>
      </c>
      <c r="AU12" s="1955">
        <f t="shared" ref="AU12:AU18" si="10">IF(AS12&lt;0,0,AS12)</f>
        <v>80.92</v>
      </c>
      <c r="AV12" s="1956"/>
      <c r="AW12" s="1957" t="s">
        <v>9</v>
      </c>
      <c r="AX12" s="2232">
        <f>'R.FILE GOC'!W63</f>
        <v>9</v>
      </c>
      <c r="AY12" s="1985">
        <v>0</v>
      </c>
      <c r="AZ12" s="274">
        <v>80.92</v>
      </c>
      <c r="BA12" s="274" t="s">
        <v>8</v>
      </c>
      <c r="BB12" s="274">
        <v>80.92</v>
      </c>
      <c r="BD12" s="274" t="s">
        <v>9</v>
      </c>
      <c r="BE12" s="2232">
        <v>8.6</v>
      </c>
    </row>
    <row r="13" spans="1:57" ht="34.5" customHeight="1">
      <c r="A13" s="1971"/>
      <c r="B13" s="1972"/>
      <c r="C13" s="1986" t="s">
        <v>105</v>
      </c>
      <c r="D13" s="1974"/>
      <c r="E13" s="1975" t="s">
        <v>103</v>
      </c>
      <c r="F13" s="2017"/>
      <c r="G13" s="1976"/>
      <c r="H13" s="1977"/>
      <c r="I13" s="1999"/>
      <c r="J13" s="1978"/>
      <c r="K13" s="1979" t="s">
        <v>8</v>
      </c>
      <c r="L13" s="1984">
        <f>L12/25*7.5</f>
        <v>24.276</v>
      </c>
      <c r="M13" s="1980" t="str">
        <f>IF('1. XL-1E TT'!AB13="","",'1. XL-1E TT'!AB13)</f>
        <v/>
      </c>
      <c r="N13" s="1981" t="s">
        <v>10</v>
      </c>
      <c r="O13" s="1982"/>
      <c r="P13" s="1999"/>
      <c r="Q13" s="1978"/>
      <c r="R13" s="1979" t="s">
        <v>8</v>
      </c>
      <c r="S13" s="1984">
        <f>S12/25*7.5</f>
        <v>24.276</v>
      </c>
      <c r="T13" s="1980" t="str">
        <f>IF('1. XL-1E TT'!AF13="","",'1. XL-1E TT'!AF13)</f>
        <v/>
      </c>
      <c r="U13" s="1981" t="s">
        <v>10</v>
      </c>
      <c r="V13" s="1982"/>
      <c r="W13" s="1999"/>
      <c r="X13" s="1978"/>
      <c r="Y13" s="1979" t="s">
        <v>8</v>
      </c>
      <c r="Z13" s="1984">
        <f>Z12/25*7.5</f>
        <v>24.276</v>
      </c>
      <c r="AA13" s="1980" t="str">
        <f>IF('1. XL-1E TT'!AJ13="","",'1. XL-1E TT'!AJ13)</f>
        <v/>
      </c>
      <c r="AB13" s="1981" t="s">
        <v>10</v>
      </c>
      <c r="AC13" s="1982"/>
      <c r="AD13" s="1999"/>
      <c r="AE13" s="1978"/>
      <c r="AF13" s="1979" t="s">
        <v>8</v>
      </c>
      <c r="AG13" s="1984">
        <f>AG12/25*7.5</f>
        <v>24.276</v>
      </c>
      <c r="AH13" s="1980" t="str">
        <f>IF('1. XL-1E TT(CA2)'!AB13="","",'1. XL-1E TT(CA2)'!AB13)</f>
        <v/>
      </c>
      <c r="AI13" s="1981" t="s">
        <v>10</v>
      </c>
      <c r="AJ13" s="1982"/>
      <c r="AK13" s="1999"/>
      <c r="AL13" s="1978"/>
      <c r="AM13" s="1979" t="s">
        <v>8</v>
      </c>
      <c r="AN13" s="1984">
        <f>AN12/25*7.5</f>
        <v>24.276</v>
      </c>
      <c r="AO13" s="1980" t="str">
        <f>IF('1. XL-1E TT(CA2)'!AF13="","",'1. XL-1E TT(CA2)'!AF13)</f>
        <v/>
      </c>
      <c r="AP13" s="1981" t="s">
        <v>10</v>
      </c>
      <c r="AQ13" s="1982"/>
      <c r="AR13" s="1999"/>
      <c r="AS13" s="1978"/>
      <c r="AT13" s="1979" t="s">
        <v>8</v>
      </c>
      <c r="AU13" s="1984">
        <f>AU12/25*7.5</f>
        <v>24.276</v>
      </c>
      <c r="AV13" s="1980" t="str">
        <f>IF('1. XL-1E TT(CA2)'!AJ13="","",'1. XL-1E TT(CA2)'!AJ13)</f>
        <v/>
      </c>
      <c r="AW13" s="1981" t="s">
        <v>10</v>
      </c>
      <c r="AX13" s="2232">
        <f>'R.FILE GOC'!W64</f>
        <v>7.8</v>
      </c>
      <c r="AY13" s="1999"/>
      <c r="BA13" s="274" t="s">
        <v>8</v>
      </c>
      <c r="BB13" s="274">
        <v>24.276</v>
      </c>
      <c r="BC13" s="274" t="s">
        <v>1534</v>
      </c>
      <c r="BD13" s="274" t="s">
        <v>10</v>
      </c>
      <c r="BE13" s="2232">
        <v>7.7</v>
      </c>
    </row>
    <row r="14" spans="1:57" ht="34.5" customHeight="1">
      <c r="A14" s="1946" t="s">
        <v>243</v>
      </c>
      <c r="B14" s="1947" t="s">
        <v>216</v>
      </c>
      <c r="C14" s="1947" t="s">
        <v>51</v>
      </c>
      <c r="D14" s="1948" t="s">
        <v>4</v>
      </c>
      <c r="E14" s="1949" t="str">
        <f>'XM.GUI MAIL'!E14</f>
        <v>60~80</v>
      </c>
      <c r="F14" s="2015" t="str">
        <f>'XM.GUI MAIL'!F14</f>
        <v>(70±10)</v>
      </c>
      <c r="G14" s="1950">
        <f>'XM.GUI MAIL'!G14</f>
        <v>70</v>
      </c>
      <c r="H14" s="1951">
        <f>XM.HN!B11</f>
        <v>0</v>
      </c>
      <c r="I14" s="1985">
        <f>H14*4</f>
        <v>0</v>
      </c>
      <c r="J14" s="1953">
        <f>($G$14-I14)*1459/1000</f>
        <v>102.13</v>
      </c>
      <c r="K14" s="1954" t="s">
        <v>8</v>
      </c>
      <c r="L14" s="1955">
        <f t="shared" si="0"/>
        <v>102.13</v>
      </c>
      <c r="M14" s="1956"/>
      <c r="N14" s="1957" t="s">
        <v>9</v>
      </c>
      <c r="O14" s="1958">
        <f>XM.HN!C11</f>
        <v>0</v>
      </c>
      <c r="P14" s="1985">
        <f>O14*4</f>
        <v>0</v>
      </c>
      <c r="Q14" s="1953">
        <f>($G$14-P14)*1459/1000</f>
        <v>102.13</v>
      </c>
      <c r="R14" s="1954" t="s">
        <v>8</v>
      </c>
      <c r="S14" s="1955">
        <f t="shared" si="6"/>
        <v>102.13</v>
      </c>
      <c r="T14" s="1956"/>
      <c r="U14" s="1957" t="s">
        <v>9</v>
      </c>
      <c r="V14" s="1958">
        <f>XM.HN!D11</f>
        <v>0</v>
      </c>
      <c r="W14" s="1985">
        <f>V14*4</f>
        <v>0</v>
      </c>
      <c r="X14" s="1953">
        <f>($G$14-W14)*1459/1000</f>
        <v>102.13</v>
      </c>
      <c r="Y14" s="1954" t="s">
        <v>8</v>
      </c>
      <c r="Z14" s="1955">
        <f t="shared" si="7"/>
        <v>102.13</v>
      </c>
      <c r="AA14" s="1956"/>
      <c r="AB14" s="1957" t="s">
        <v>9</v>
      </c>
      <c r="AC14" s="1958">
        <f>XM.HN!E11</f>
        <v>0</v>
      </c>
      <c r="AD14" s="1985">
        <f>AC14*4</f>
        <v>0</v>
      </c>
      <c r="AE14" s="1953">
        <f>($G$14-AD14)*1459/1000</f>
        <v>102.13</v>
      </c>
      <c r="AF14" s="1954" t="s">
        <v>8</v>
      </c>
      <c r="AG14" s="1955">
        <f t="shared" si="8"/>
        <v>102.13</v>
      </c>
      <c r="AH14" s="1956"/>
      <c r="AI14" s="1957" t="s">
        <v>9</v>
      </c>
      <c r="AJ14" s="1958">
        <f>XM.HN!F11</f>
        <v>0</v>
      </c>
      <c r="AK14" s="1985">
        <f>AJ14*4</f>
        <v>0</v>
      </c>
      <c r="AL14" s="1953">
        <f>($G$14-AK14)*1459/1000</f>
        <v>102.13</v>
      </c>
      <c r="AM14" s="1954" t="s">
        <v>8</v>
      </c>
      <c r="AN14" s="1955">
        <f t="shared" si="9"/>
        <v>102.13</v>
      </c>
      <c r="AO14" s="1956"/>
      <c r="AP14" s="1957" t="s">
        <v>9</v>
      </c>
      <c r="AQ14" s="1958">
        <f>XM.HN!G11</f>
        <v>0</v>
      </c>
      <c r="AR14" s="1985">
        <f>AQ14*4</f>
        <v>0</v>
      </c>
      <c r="AS14" s="1953">
        <f>($G$14-AR14)*1459/1000</f>
        <v>102.13</v>
      </c>
      <c r="AT14" s="1954" t="s">
        <v>8</v>
      </c>
      <c r="AU14" s="1955">
        <f t="shared" si="10"/>
        <v>102.13</v>
      </c>
      <c r="AV14" s="1956"/>
      <c r="AW14" s="1957" t="s">
        <v>9</v>
      </c>
      <c r="AX14" s="2232">
        <f>'R.FILE GOC'!W65</f>
        <v>5.5</v>
      </c>
      <c r="AY14" s="1985">
        <v>0</v>
      </c>
      <c r="AZ14" s="274">
        <v>102.13</v>
      </c>
      <c r="BA14" s="274" t="s">
        <v>8</v>
      </c>
      <c r="BB14" s="274">
        <v>102.13</v>
      </c>
      <c r="BD14" s="274" t="s">
        <v>9</v>
      </c>
      <c r="BE14" s="2232">
        <v>5.7</v>
      </c>
    </row>
    <row r="15" spans="1:57" ht="34.5" customHeight="1">
      <c r="A15" s="1971"/>
      <c r="B15" s="1972"/>
      <c r="C15" s="1986" t="s">
        <v>105</v>
      </c>
      <c r="D15" s="1974"/>
      <c r="E15" s="1975" t="s">
        <v>103</v>
      </c>
      <c r="F15" s="2017"/>
      <c r="G15" s="1976"/>
      <c r="H15" s="1977"/>
      <c r="I15" s="1998"/>
      <c r="J15" s="1978"/>
      <c r="K15" s="1979" t="s">
        <v>8</v>
      </c>
      <c r="L15" s="1984">
        <f>L14/25*7.5</f>
        <v>30.638999999999996</v>
      </c>
      <c r="M15" s="1980" t="str">
        <f>IF('1. XL-1E TT'!AB15="","",'1. XL-1E TT'!AB15)</f>
        <v/>
      </c>
      <c r="N15" s="1981" t="s">
        <v>10</v>
      </c>
      <c r="O15" s="1982"/>
      <c r="P15" s="1998"/>
      <c r="Q15" s="1978"/>
      <c r="R15" s="1979" t="s">
        <v>8</v>
      </c>
      <c r="S15" s="1984">
        <f>S14/25*7.5</f>
        <v>30.638999999999996</v>
      </c>
      <c r="T15" s="1980" t="str">
        <f>IF('1. XL-1E TT'!AF15="","",'1. XL-1E TT'!AF15)</f>
        <v/>
      </c>
      <c r="U15" s="1981" t="s">
        <v>10</v>
      </c>
      <c r="V15" s="1982"/>
      <c r="W15" s="1998"/>
      <c r="X15" s="1978"/>
      <c r="Y15" s="1979" t="s">
        <v>8</v>
      </c>
      <c r="Z15" s="1984">
        <f>Z14/25*7.5</f>
        <v>30.638999999999996</v>
      </c>
      <c r="AA15" s="1980" t="str">
        <f>IF('1. XL-1E TT'!AJ15="","",'1. XL-1E TT'!AJ15)</f>
        <v/>
      </c>
      <c r="AB15" s="1981" t="s">
        <v>10</v>
      </c>
      <c r="AC15" s="1982"/>
      <c r="AD15" s="1998"/>
      <c r="AE15" s="1978"/>
      <c r="AF15" s="1979" t="s">
        <v>8</v>
      </c>
      <c r="AG15" s="1984">
        <f>AG14/25*7.5</f>
        <v>30.638999999999996</v>
      </c>
      <c r="AH15" s="1980" t="str">
        <f>IF('1. XL-1E TT(CA2)'!AB15="","",'1. XL-1E TT(CA2)'!AB15)</f>
        <v/>
      </c>
      <c r="AI15" s="1981" t="s">
        <v>10</v>
      </c>
      <c r="AJ15" s="1982"/>
      <c r="AK15" s="1998"/>
      <c r="AL15" s="1978"/>
      <c r="AM15" s="1979" t="s">
        <v>8</v>
      </c>
      <c r="AN15" s="1984">
        <f>AN14/25*7.5</f>
        <v>30.638999999999996</v>
      </c>
      <c r="AO15" s="1980" t="str">
        <f>IF('1. XL-1E TT(CA2)'!AF15="","",'1. XL-1E TT(CA2)'!AF15)</f>
        <v/>
      </c>
      <c r="AP15" s="1981" t="s">
        <v>10</v>
      </c>
      <c r="AQ15" s="1982"/>
      <c r="AR15" s="1998"/>
      <c r="AS15" s="1978"/>
      <c r="AT15" s="1979" t="s">
        <v>8</v>
      </c>
      <c r="AU15" s="1984">
        <f>AU14/25*7.5</f>
        <v>30.638999999999996</v>
      </c>
      <c r="AV15" s="1980" t="str">
        <f>IF('1. XL-1E TT(CA2)'!AJ15="","",'1. XL-1E TT(CA2)'!AJ15)</f>
        <v/>
      </c>
      <c r="AW15" s="1981" t="s">
        <v>10</v>
      </c>
      <c r="AX15" s="2232">
        <f>'R.FILE GOC'!W66</f>
        <v>0</v>
      </c>
      <c r="AY15" s="1998"/>
      <c r="BA15" s="274" t="s">
        <v>8</v>
      </c>
      <c r="BB15" s="274">
        <v>30.638999999999996</v>
      </c>
      <c r="BC15" s="274" t="s">
        <v>1534</v>
      </c>
      <c r="BD15" s="274" t="s">
        <v>10</v>
      </c>
      <c r="BE15" s="2232">
        <v>0</v>
      </c>
    </row>
    <row r="16" spans="1:57" ht="34.5" customHeight="1">
      <c r="A16" s="1028" t="s">
        <v>244</v>
      </c>
      <c r="B16" s="1028" t="s">
        <v>216</v>
      </c>
      <c r="C16" s="1029" t="s">
        <v>57</v>
      </c>
      <c r="D16" s="1034" t="s">
        <v>4</v>
      </c>
      <c r="E16" s="13" t="str">
        <f>'XM.GUI MAIL'!E16</f>
        <v>130 - 150</v>
      </c>
      <c r="F16" s="2018" t="str">
        <f>'XM.GUI MAIL'!F16</f>
        <v>(140±7)</v>
      </c>
      <c r="G16" s="1109">
        <f>'XM.GUI MAIL'!G16</f>
        <v>140</v>
      </c>
      <c r="H16" s="91">
        <f>XM.HN!B13</f>
        <v>0</v>
      </c>
      <c r="I16" s="1862">
        <f>H16*8</f>
        <v>0</v>
      </c>
      <c r="J16" s="1834">
        <f>($G$16-I16)*19951/1000</f>
        <v>2793.14</v>
      </c>
      <c r="K16" s="1835" t="s">
        <v>8</v>
      </c>
      <c r="L16" s="1836">
        <f t="shared" si="0"/>
        <v>2793.14</v>
      </c>
      <c r="M16" s="1836"/>
      <c r="N16" s="1837" t="s">
        <v>9</v>
      </c>
      <c r="O16" s="91">
        <f>XM.HN!C13</f>
        <v>0</v>
      </c>
      <c r="P16" s="1862">
        <f>O16*8</f>
        <v>0</v>
      </c>
      <c r="Q16" s="1834">
        <f>($G$16-P16)*19951/1000</f>
        <v>2793.14</v>
      </c>
      <c r="R16" s="1835" t="s">
        <v>8</v>
      </c>
      <c r="S16" s="1836">
        <f t="shared" si="6"/>
        <v>2793.14</v>
      </c>
      <c r="T16" s="1836"/>
      <c r="U16" s="1837" t="s">
        <v>9</v>
      </c>
      <c r="V16" s="91">
        <f>XM.HN!D13</f>
        <v>0</v>
      </c>
      <c r="W16" s="1862">
        <f>V16*8</f>
        <v>0</v>
      </c>
      <c r="X16" s="1834">
        <f>($G$16-W16)*19951/1000</f>
        <v>2793.14</v>
      </c>
      <c r="Y16" s="1835" t="s">
        <v>8</v>
      </c>
      <c r="Z16" s="1836">
        <f t="shared" si="7"/>
        <v>2793.14</v>
      </c>
      <c r="AA16" s="1836"/>
      <c r="AB16" s="1837" t="s">
        <v>9</v>
      </c>
      <c r="AC16" s="91">
        <f>XM.HN!E13</f>
        <v>0</v>
      </c>
      <c r="AD16" s="1862">
        <f>AC16*8</f>
        <v>0</v>
      </c>
      <c r="AE16" s="1834">
        <f>($G$16-AD16)*19951/1000</f>
        <v>2793.14</v>
      </c>
      <c r="AF16" s="1835" t="s">
        <v>8</v>
      </c>
      <c r="AG16" s="1836">
        <f t="shared" si="8"/>
        <v>2793.14</v>
      </c>
      <c r="AH16" s="1836"/>
      <c r="AI16" s="1837" t="s">
        <v>9</v>
      </c>
      <c r="AJ16" s="91">
        <f>XM.HN!F13</f>
        <v>0</v>
      </c>
      <c r="AK16" s="1862">
        <f>AJ16*8</f>
        <v>0</v>
      </c>
      <c r="AL16" s="1834">
        <f>($G$16-AK16)*19951/1000</f>
        <v>2793.14</v>
      </c>
      <c r="AM16" s="1835" t="s">
        <v>8</v>
      </c>
      <c r="AN16" s="1836">
        <f t="shared" si="9"/>
        <v>2793.14</v>
      </c>
      <c r="AO16" s="1836"/>
      <c r="AP16" s="1837" t="s">
        <v>9</v>
      </c>
      <c r="AQ16" s="91">
        <f>XM.HN!G13</f>
        <v>0</v>
      </c>
      <c r="AR16" s="1862">
        <f>AQ16*8</f>
        <v>0</v>
      </c>
      <c r="AS16" s="1834">
        <f>($G$16-AR16)*19951/1000</f>
        <v>2793.14</v>
      </c>
      <c r="AT16" s="1835" t="s">
        <v>8</v>
      </c>
      <c r="AU16" s="1836">
        <f t="shared" si="10"/>
        <v>2793.14</v>
      </c>
      <c r="AV16" s="1836"/>
      <c r="AW16" s="1837" t="s">
        <v>9</v>
      </c>
      <c r="AX16" s="2232">
        <f>'R.FILE GOC'!W67</f>
        <v>15.1</v>
      </c>
      <c r="AY16" s="1862">
        <v>0</v>
      </c>
      <c r="AZ16" s="274">
        <v>2793.14</v>
      </c>
      <c r="BA16" s="274" t="s">
        <v>8</v>
      </c>
      <c r="BB16" s="274">
        <v>2793.14</v>
      </c>
      <c r="BD16" s="274" t="s">
        <v>9</v>
      </c>
      <c r="BE16" s="2232">
        <v>15.2</v>
      </c>
    </row>
    <row r="17" spans="1:57" ht="34.5" customHeight="1">
      <c r="A17" s="47" t="s">
        <v>245</v>
      </c>
      <c r="B17" s="1028" t="s">
        <v>216</v>
      </c>
      <c r="C17" s="1023" t="s">
        <v>58</v>
      </c>
      <c r="D17" s="1034" t="s">
        <v>4</v>
      </c>
      <c r="E17" s="13" t="str">
        <f>'XM.GUI MAIL'!E17</f>
        <v>8~12</v>
      </c>
      <c r="F17" s="2019" t="str">
        <f>'XM.GUI MAIL'!F17</f>
        <v>(10±2)</v>
      </c>
      <c r="G17" s="1109">
        <f>'XM.GUI MAIL'!G17</f>
        <v>10</v>
      </c>
      <c r="H17" s="91">
        <f>XM.HN!B14</f>
        <v>0</v>
      </c>
      <c r="I17" s="1869">
        <f>H17*1.3</f>
        <v>0</v>
      </c>
      <c r="J17" s="1834">
        <f>($G$17-I17)*19951/1000</f>
        <v>199.51</v>
      </c>
      <c r="K17" s="1835" t="s">
        <v>8</v>
      </c>
      <c r="L17" s="1836">
        <f t="shared" si="0"/>
        <v>199.51</v>
      </c>
      <c r="M17" s="1836"/>
      <c r="N17" s="1837" t="s">
        <v>989</v>
      </c>
      <c r="O17" s="91">
        <f>XM.HN!C14</f>
        <v>0</v>
      </c>
      <c r="P17" s="1869">
        <f>O17*1.3</f>
        <v>0</v>
      </c>
      <c r="Q17" s="1834">
        <f>($G$17-P17)*19951/1000</f>
        <v>199.51</v>
      </c>
      <c r="R17" s="1835" t="s">
        <v>8</v>
      </c>
      <c r="S17" s="1836">
        <f t="shared" si="6"/>
        <v>199.51</v>
      </c>
      <c r="T17" s="1836"/>
      <c r="U17" s="1837" t="s">
        <v>1170</v>
      </c>
      <c r="V17" s="91">
        <f>XM.HN!D14</f>
        <v>0</v>
      </c>
      <c r="W17" s="1869">
        <f>V17*1.3</f>
        <v>0</v>
      </c>
      <c r="X17" s="1834">
        <f>($G$17-W17)*19951/1000</f>
        <v>199.51</v>
      </c>
      <c r="Y17" s="1835" t="s">
        <v>8</v>
      </c>
      <c r="Z17" s="1836">
        <f t="shared" si="7"/>
        <v>199.51</v>
      </c>
      <c r="AA17" s="1836"/>
      <c r="AB17" s="1837" t="s">
        <v>989</v>
      </c>
      <c r="AC17" s="91">
        <f>XM.HN!E14</f>
        <v>0</v>
      </c>
      <c r="AD17" s="1869">
        <f>AC17*1.3</f>
        <v>0</v>
      </c>
      <c r="AE17" s="1834">
        <f>($G$17-AD17)*19951/1000</f>
        <v>199.51</v>
      </c>
      <c r="AF17" s="1835" t="s">
        <v>1171</v>
      </c>
      <c r="AG17" s="1836">
        <f t="shared" si="8"/>
        <v>199.51</v>
      </c>
      <c r="AH17" s="1836"/>
      <c r="AI17" s="1837" t="s">
        <v>989</v>
      </c>
      <c r="AJ17" s="91">
        <f>XM.HN!F14</f>
        <v>0</v>
      </c>
      <c r="AK17" s="1869">
        <f>AJ17*1.3</f>
        <v>0</v>
      </c>
      <c r="AL17" s="1834">
        <f>($G$17-AK17)*19951/1000</f>
        <v>199.51</v>
      </c>
      <c r="AM17" s="1835" t="s">
        <v>8</v>
      </c>
      <c r="AN17" s="1836">
        <f t="shared" si="9"/>
        <v>199.51</v>
      </c>
      <c r="AO17" s="1836"/>
      <c r="AP17" s="1837" t="s">
        <v>989</v>
      </c>
      <c r="AQ17" s="91">
        <f>XM.HN!G14</f>
        <v>0</v>
      </c>
      <c r="AR17" s="1869">
        <f>AQ17*1.3</f>
        <v>0</v>
      </c>
      <c r="AS17" s="1834">
        <f>($G$17-AR17)*19951/1000</f>
        <v>199.51</v>
      </c>
      <c r="AT17" s="1835" t="s">
        <v>8</v>
      </c>
      <c r="AU17" s="1836">
        <f t="shared" si="10"/>
        <v>199.51</v>
      </c>
      <c r="AV17" s="1836"/>
      <c r="AW17" s="1837" t="s">
        <v>989</v>
      </c>
      <c r="AX17" s="2232">
        <f>'R.FILE GOC'!W68</f>
        <v>11.6</v>
      </c>
      <c r="AY17" s="1869">
        <v>0</v>
      </c>
      <c r="AZ17" s="274">
        <v>199.51</v>
      </c>
      <c r="BA17" s="274" t="s">
        <v>8</v>
      </c>
      <c r="BB17" s="274">
        <v>199.51</v>
      </c>
      <c r="BD17" s="274" t="s">
        <v>9</v>
      </c>
      <c r="BE17" s="2232">
        <v>11.7</v>
      </c>
    </row>
    <row r="18" spans="1:57" ht="34.5" customHeight="1">
      <c r="A18" s="285" t="s">
        <v>251</v>
      </c>
      <c r="B18" s="1028" t="s">
        <v>216</v>
      </c>
      <c r="C18" s="1032" t="s">
        <v>980</v>
      </c>
      <c r="D18" s="1034" t="s">
        <v>3</v>
      </c>
      <c r="E18" s="13" t="str">
        <f>'XM.GUI MAIL'!E18</f>
        <v xml:space="preserve">12~18 </v>
      </c>
      <c r="F18" s="2019" t="str">
        <f>'XM.GUI MAIL'!F18</f>
        <v>(14±2)</v>
      </c>
      <c r="G18" s="1109">
        <f>'XM.GUI MAIL'!G18</f>
        <v>14</v>
      </c>
      <c r="H18" s="91">
        <f>XM.HN!B15</f>
        <v>0</v>
      </c>
      <c r="I18" s="1838">
        <f>H18*100/6.95/10</f>
        <v>0</v>
      </c>
      <c r="J18" s="1834">
        <f>($G$18-I18)*575/100</f>
        <v>80.5</v>
      </c>
      <c r="K18" s="1835" t="s">
        <v>8</v>
      </c>
      <c r="L18" s="1836">
        <f t="shared" si="0"/>
        <v>80.5</v>
      </c>
      <c r="M18" s="1836"/>
      <c r="N18" s="1839" t="s">
        <v>10</v>
      </c>
      <c r="O18" s="104">
        <f>XM.HN!C15</f>
        <v>0</v>
      </c>
      <c r="P18" s="1838">
        <f>O18*100/6.95/10</f>
        <v>0</v>
      </c>
      <c r="Q18" s="1834">
        <f>($G$18-P18)*575/100</f>
        <v>80.5</v>
      </c>
      <c r="R18" s="1835" t="s">
        <v>8</v>
      </c>
      <c r="S18" s="1836">
        <f t="shared" si="6"/>
        <v>80.5</v>
      </c>
      <c r="T18" s="1836"/>
      <c r="U18" s="1839" t="s">
        <v>10</v>
      </c>
      <c r="V18" s="89">
        <f>XM.HN!D15</f>
        <v>0</v>
      </c>
      <c r="W18" s="1838">
        <f>V18*100/6.95/10</f>
        <v>0</v>
      </c>
      <c r="X18" s="1834">
        <f>($G$18-W18)*575/100</f>
        <v>80.5</v>
      </c>
      <c r="Y18" s="1835" t="s">
        <v>8</v>
      </c>
      <c r="Z18" s="1836">
        <f t="shared" si="7"/>
        <v>80.5</v>
      </c>
      <c r="AA18" s="1836"/>
      <c r="AB18" s="1837" t="s">
        <v>10</v>
      </c>
      <c r="AC18" s="20">
        <f>XM.HN!E15</f>
        <v>0</v>
      </c>
      <c r="AD18" s="1838">
        <f>AC18*100/6.95/10</f>
        <v>0</v>
      </c>
      <c r="AE18" s="1834">
        <f>($G$18-AD18)*575/100</f>
        <v>80.5</v>
      </c>
      <c r="AF18" s="1835" t="s">
        <v>8</v>
      </c>
      <c r="AG18" s="1836">
        <f t="shared" si="8"/>
        <v>80.5</v>
      </c>
      <c r="AH18" s="1836"/>
      <c r="AI18" s="1839" t="s">
        <v>10</v>
      </c>
      <c r="AJ18" s="89">
        <f>XM.HN!F15</f>
        <v>0</v>
      </c>
      <c r="AK18" s="1838">
        <f>AJ18*100/6.95/10</f>
        <v>0</v>
      </c>
      <c r="AL18" s="1834">
        <f>($G$18-AK18)*575/100</f>
        <v>80.5</v>
      </c>
      <c r="AM18" s="1835" t="s">
        <v>8</v>
      </c>
      <c r="AN18" s="1836">
        <f t="shared" si="9"/>
        <v>80.5</v>
      </c>
      <c r="AO18" s="1836"/>
      <c r="AP18" s="1839" t="s">
        <v>10</v>
      </c>
      <c r="AQ18" s="89">
        <f>XM.HN!G15</f>
        <v>0</v>
      </c>
      <c r="AR18" s="1838">
        <f>AQ18*100/6.95/10</f>
        <v>0</v>
      </c>
      <c r="AS18" s="1834">
        <f>($G$18-AR18)*575/100</f>
        <v>80.5</v>
      </c>
      <c r="AT18" s="1835" t="s">
        <v>8</v>
      </c>
      <c r="AU18" s="1836">
        <f t="shared" si="10"/>
        <v>80.5</v>
      </c>
      <c r="AV18" s="1836"/>
      <c r="AW18" s="1837" t="s">
        <v>10</v>
      </c>
      <c r="AX18" s="2232" t="str">
        <f>'R.FILE GOC'!W69</f>
        <v/>
      </c>
      <c r="AY18" s="1838">
        <v>0</v>
      </c>
      <c r="AZ18" s="274">
        <v>80.5</v>
      </c>
      <c r="BA18" s="274" t="s">
        <v>8</v>
      </c>
      <c r="BB18" s="274">
        <v>80.5</v>
      </c>
      <c r="BD18" s="274" t="s">
        <v>10</v>
      </c>
      <c r="BE18" s="2232" t="s">
        <v>1534</v>
      </c>
    </row>
    <row r="19" spans="1:57" ht="34.5" customHeight="1">
      <c r="A19" s="285" t="s">
        <v>253</v>
      </c>
      <c r="B19" s="1028" t="s">
        <v>216</v>
      </c>
      <c r="C19" s="288"/>
      <c r="D19" s="1034" t="s">
        <v>5</v>
      </c>
      <c r="E19" s="13" t="str">
        <f>'XM.GUI MAIL'!E19</f>
        <v>1.6~2.2</v>
      </c>
      <c r="F19" s="2018" t="str">
        <f>'XM.GUI MAIL'!F19</f>
        <v>(2±0.2 )</v>
      </c>
      <c r="G19" s="1109">
        <f>'XM.GUI MAIL'!G19</f>
        <v>0</v>
      </c>
      <c r="H19" s="91"/>
      <c r="I19" s="1869">
        <f>XM.HN!B23</f>
        <v>0</v>
      </c>
      <c r="J19" s="1840"/>
      <c r="K19" s="1841"/>
      <c r="L19" s="1841"/>
      <c r="M19" s="1841"/>
      <c r="N19" s="1842"/>
      <c r="O19" s="1326"/>
      <c r="P19" s="1869">
        <f>XM.HN!C23</f>
        <v>0</v>
      </c>
      <c r="Q19" s="1840"/>
      <c r="R19" s="1841"/>
      <c r="S19" s="1841"/>
      <c r="T19" s="1841"/>
      <c r="U19" s="1842"/>
      <c r="V19" s="1299"/>
      <c r="W19" s="1869">
        <f>XM.HN!D23</f>
        <v>0</v>
      </c>
      <c r="X19" s="1840"/>
      <c r="Y19" s="1841"/>
      <c r="Z19" s="1841"/>
      <c r="AA19" s="1841"/>
      <c r="AB19" s="1991"/>
      <c r="AC19" s="1299"/>
      <c r="AD19" s="1869">
        <f>XM.HN!E23</f>
        <v>0</v>
      </c>
      <c r="AE19" s="1840"/>
      <c r="AF19" s="1841"/>
      <c r="AG19" s="1841"/>
      <c r="AH19" s="1841"/>
      <c r="AI19" s="1842"/>
      <c r="AJ19" s="91"/>
      <c r="AK19" s="1869">
        <f>XM.HN!F23</f>
        <v>0</v>
      </c>
      <c r="AL19" s="1840"/>
      <c r="AM19" s="1841"/>
      <c r="AN19" s="1841"/>
      <c r="AO19" s="1841"/>
      <c r="AP19" s="1842"/>
      <c r="AQ19" s="91"/>
      <c r="AR19" s="1869">
        <f>XM.HN!G23</f>
        <v>0</v>
      </c>
      <c r="AS19" s="1870"/>
      <c r="AT19" s="1835"/>
      <c r="AU19" s="1836"/>
      <c r="AV19" s="1836"/>
      <c r="AW19" s="1880"/>
      <c r="AX19" s="2232" t="str">
        <f>'R.FILE GOC'!W70</f>
        <v/>
      </c>
      <c r="AY19" s="1869">
        <v>0</v>
      </c>
      <c r="BE19" s="2232" t="s">
        <v>1534</v>
      </c>
    </row>
    <row r="20" spans="1:57" ht="34.5" customHeight="1">
      <c r="A20" s="47" t="s">
        <v>246</v>
      </c>
      <c r="B20" s="1028" t="s">
        <v>216</v>
      </c>
      <c r="C20" s="1029" t="s">
        <v>59</v>
      </c>
      <c r="D20" s="1034" t="s">
        <v>6</v>
      </c>
      <c r="E20" s="13" t="str">
        <f>'XM.GUI MAIL'!E20</f>
        <v xml:space="preserve">40~50 </v>
      </c>
      <c r="F20" s="2018" t="str">
        <f>'XM.GUI MAIL'!F20</f>
        <v>(45±5)</v>
      </c>
      <c r="G20" s="1409">
        <f>'XM.GUI MAIL'!G20</f>
        <v>0.45</v>
      </c>
      <c r="H20" s="91">
        <f>XM.HN!B17</f>
        <v>0</v>
      </c>
      <c r="I20" s="1843">
        <f>(1*H20*36.5)/(1*10)/32%/100</f>
        <v>0</v>
      </c>
      <c r="J20" s="1844">
        <f>($G$20-I20)*2122</f>
        <v>954.9</v>
      </c>
      <c r="K20" s="1845" t="s">
        <v>8</v>
      </c>
      <c r="L20" s="1846">
        <f>IF(J20&lt;0,0,J20)</f>
        <v>954.9</v>
      </c>
      <c r="M20" s="1846"/>
      <c r="N20" s="1847" t="s">
        <v>10</v>
      </c>
      <c r="O20" s="92">
        <f>XM.HN!C17</f>
        <v>0</v>
      </c>
      <c r="P20" s="1843">
        <f>(1*O20*36.5)/(1*10)/32%/100</f>
        <v>0</v>
      </c>
      <c r="Q20" s="1844">
        <f>($G$20-P20)*2122</f>
        <v>954.9</v>
      </c>
      <c r="R20" s="1845" t="s">
        <v>8</v>
      </c>
      <c r="S20" s="1846">
        <f>IF(Q20&lt;0,0,Q20)</f>
        <v>954.9</v>
      </c>
      <c r="T20" s="1846"/>
      <c r="U20" s="1847" t="s">
        <v>10</v>
      </c>
      <c r="V20" s="92">
        <f>XM.HN!D17</f>
        <v>0</v>
      </c>
      <c r="W20" s="1843">
        <f>(1*V20*36.5)/(1*10)/32%/100</f>
        <v>0</v>
      </c>
      <c r="X20" s="1844">
        <f>($G$20-W20)*2122</f>
        <v>954.9</v>
      </c>
      <c r="Y20" s="1845" t="s">
        <v>8</v>
      </c>
      <c r="Z20" s="1846">
        <f>IF(X20&lt;0,0,X20)</f>
        <v>954.9</v>
      </c>
      <c r="AA20" s="1846"/>
      <c r="AB20" s="1847" t="s">
        <v>10</v>
      </c>
      <c r="AC20" s="92">
        <f>XM.HN!E17</f>
        <v>0</v>
      </c>
      <c r="AD20" s="1843">
        <f>(1*AC20*36.5)/(1*10)/32%/100</f>
        <v>0</v>
      </c>
      <c r="AE20" s="1844">
        <f>($G$20-AD20)*2122</f>
        <v>954.9</v>
      </c>
      <c r="AF20" s="1845" t="s">
        <v>8</v>
      </c>
      <c r="AG20" s="1846">
        <f>IF(AE20&lt;0,0,AE20)</f>
        <v>954.9</v>
      </c>
      <c r="AH20" s="1846"/>
      <c r="AI20" s="1847" t="s">
        <v>10</v>
      </c>
      <c r="AJ20" s="91">
        <f>XM.HN!F17</f>
        <v>0</v>
      </c>
      <c r="AK20" s="1843">
        <f>(1*AJ20*36.5)/(1*10)/32%/100</f>
        <v>0</v>
      </c>
      <c r="AL20" s="1844">
        <f>($G$20-AK20)*2122</f>
        <v>954.9</v>
      </c>
      <c r="AM20" s="1845" t="s">
        <v>8</v>
      </c>
      <c r="AN20" s="1846">
        <f>IF(AL20&lt;0,0,AL20)</f>
        <v>954.9</v>
      </c>
      <c r="AO20" s="1846"/>
      <c r="AP20" s="1847" t="s">
        <v>10</v>
      </c>
      <c r="AQ20" s="91">
        <f>XM.HN!G17</f>
        <v>0</v>
      </c>
      <c r="AR20" s="1843">
        <f>(1*AQ20*36.5)/(1*10)/32%/100</f>
        <v>0</v>
      </c>
      <c r="AS20" s="1844">
        <f>($G$20-AR20)*2122</f>
        <v>954.9</v>
      </c>
      <c r="AT20" s="1845" t="s">
        <v>8</v>
      </c>
      <c r="AU20" s="1846">
        <f>IF(AS20&lt;0,0,AS20)</f>
        <v>954.9</v>
      </c>
      <c r="AV20" s="1846"/>
      <c r="AW20" s="1847" t="s">
        <v>10</v>
      </c>
      <c r="AX20" s="2232">
        <f>'R.FILE GOC'!W71</f>
        <v>2.2000000000000002</v>
      </c>
      <c r="AY20" s="1843">
        <v>0</v>
      </c>
      <c r="AZ20" s="274">
        <v>954.9</v>
      </c>
      <c r="BA20" s="274" t="s">
        <v>8</v>
      </c>
      <c r="BB20" s="274">
        <v>954.9</v>
      </c>
      <c r="BD20" s="274" t="s">
        <v>10</v>
      </c>
      <c r="BE20" s="2232">
        <v>2.2999999999999998</v>
      </c>
    </row>
    <row r="21" spans="1:57" ht="34.5" hidden="1" customHeight="1">
      <c r="A21" s="286" t="s">
        <v>247</v>
      </c>
      <c r="B21" s="1028" t="s">
        <v>216</v>
      </c>
      <c r="C21" s="1029" t="s">
        <v>60</v>
      </c>
      <c r="D21" s="1034" t="s">
        <v>6</v>
      </c>
      <c r="E21" s="13" t="str">
        <f>'XM.GUI MAIL'!E21</f>
        <v>(22±5) =17~27</v>
      </c>
      <c r="F21" s="2349" t="str">
        <f>'XM.GUI MAIL'!F21</f>
        <v>(22±5)</v>
      </c>
      <c r="G21" s="1409">
        <f>'XM.GUI MAIL'!G21</f>
        <v>0.22</v>
      </c>
      <c r="H21" s="91">
        <f>XM.HN!B18</f>
        <v>0</v>
      </c>
      <c r="I21" s="1873">
        <f>(1*H21*36.5)/(1*10)/32%/100</f>
        <v>0</v>
      </c>
      <c r="J21" s="1844">
        <f>($G$21-I21)*612</f>
        <v>134.64000000000001</v>
      </c>
      <c r="K21" s="1845" t="s">
        <v>8</v>
      </c>
      <c r="L21" s="1846">
        <f>IF(J21&lt;0,0,J21)</f>
        <v>134.64000000000001</v>
      </c>
      <c r="M21" s="1846"/>
      <c r="N21" s="1847" t="s">
        <v>10</v>
      </c>
      <c r="O21" s="252">
        <f>XM.HN!C18</f>
        <v>0</v>
      </c>
      <c r="P21" s="1873">
        <f>(1*O21*36.5)/(1*10)/32%/100</f>
        <v>0</v>
      </c>
      <c r="Q21" s="1844">
        <f>($G$21-P21)*612</f>
        <v>134.64000000000001</v>
      </c>
      <c r="R21" s="1845" t="s">
        <v>8</v>
      </c>
      <c r="S21" s="1846">
        <f>IF(Q21&lt;0,0,Q21)</f>
        <v>134.64000000000001</v>
      </c>
      <c r="T21" s="1846"/>
      <c r="U21" s="1847" t="s">
        <v>10</v>
      </c>
      <c r="V21" s="92">
        <f>XM.HN!D18</f>
        <v>0</v>
      </c>
      <c r="W21" s="1873">
        <f>(1*V21*36.5)/(1*10)/32%/100</f>
        <v>0</v>
      </c>
      <c r="X21" s="1844">
        <f>($G$21-W21)*612</f>
        <v>134.64000000000001</v>
      </c>
      <c r="Y21" s="1845" t="s">
        <v>8</v>
      </c>
      <c r="Z21" s="1846">
        <f>IF(X21&lt;0,0,X21)</f>
        <v>134.64000000000001</v>
      </c>
      <c r="AA21" s="1846"/>
      <c r="AB21" s="1847" t="s">
        <v>10</v>
      </c>
      <c r="AC21" s="92">
        <f>XM.HN!E18</f>
        <v>0</v>
      </c>
      <c r="AD21" s="1873">
        <f>(1*AC21*36.5)/(1*10)/32%/100</f>
        <v>0</v>
      </c>
      <c r="AE21" s="1844">
        <f>($G$21-AD21)*612</f>
        <v>134.64000000000001</v>
      </c>
      <c r="AF21" s="1845" t="s">
        <v>8</v>
      </c>
      <c r="AG21" s="1846">
        <f>IF(AE21&lt;0,0,AE21)</f>
        <v>134.64000000000001</v>
      </c>
      <c r="AH21" s="1846"/>
      <c r="AI21" s="1847" t="s">
        <v>10</v>
      </c>
      <c r="AJ21" s="92">
        <f>XM.HN!F18</f>
        <v>0</v>
      </c>
      <c r="AK21" s="1873">
        <f>(1*AJ21*36.5)/(1*10)/32%/100</f>
        <v>0</v>
      </c>
      <c r="AL21" s="1844">
        <f>($G$21-AK21)*612</f>
        <v>134.64000000000001</v>
      </c>
      <c r="AM21" s="1845" t="s">
        <v>8</v>
      </c>
      <c r="AN21" s="1846">
        <f>IF(AL21&lt;0,0,AL21)</f>
        <v>134.64000000000001</v>
      </c>
      <c r="AO21" s="1846"/>
      <c r="AP21" s="1847" t="s">
        <v>10</v>
      </c>
      <c r="AQ21" s="92">
        <f>XM.HN!G18</f>
        <v>0</v>
      </c>
      <c r="AR21" s="1873">
        <f>(1*AQ21*36.5)/(1*10)/32%/100</f>
        <v>0</v>
      </c>
      <c r="AS21" s="1844">
        <f>($G$21-AR21)*612</f>
        <v>134.64000000000001</v>
      </c>
      <c r="AT21" s="1845" t="s">
        <v>8</v>
      </c>
      <c r="AU21" s="1846">
        <f>IF(AS21&lt;0,0,AS21)</f>
        <v>134.64000000000001</v>
      </c>
      <c r="AV21" s="1846"/>
      <c r="AW21" s="1847" t="s">
        <v>10</v>
      </c>
      <c r="AX21" s="2232">
        <f>'R.FILE GOC'!W72</f>
        <v>1.9</v>
      </c>
      <c r="AY21" s="1873">
        <v>0</v>
      </c>
      <c r="AZ21" s="274">
        <v>134.64000000000001</v>
      </c>
      <c r="BA21" s="274" t="s">
        <v>8</v>
      </c>
      <c r="BB21" s="274">
        <v>134.64000000000001</v>
      </c>
      <c r="BD21" s="274" t="s">
        <v>10</v>
      </c>
      <c r="BE21" s="2232">
        <v>1.8</v>
      </c>
    </row>
    <row r="22" spans="1:57" ht="34.5" hidden="1" customHeight="1">
      <c r="A22" s="286" t="s">
        <v>248</v>
      </c>
      <c r="B22" s="1028" t="s">
        <v>216</v>
      </c>
      <c r="C22" s="1029" t="s">
        <v>61</v>
      </c>
      <c r="D22" s="47" t="s">
        <v>6</v>
      </c>
      <c r="E22" s="13" t="str">
        <f>'XM.GUI MAIL'!E22</f>
        <v>5~15</v>
      </c>
      <c r="F22" s="2349" t="str">
        <f>'XM.GUI MAIL'!F22</f>
        <v>(30±4)</v>
      </c>
      <c r="G22" s="1409">
        <f>'XM.GUI MAIL'!G22</f>
        <v>0.1</v>
      </c>
      <c r="H22" s="91">
        <f>XM.HN!B19</f>
        <v>0</v>
      </c>
      <c r="I22" s="1873">
        <f>(1*H22*36.5)/(5*10)/32%/100</f>
        <v>0</v>
      </c>
      <c r="J22" s="1841">
        <f>($G$22-I22)*575</f>
        <v>57.5</v>
      </c>
      <c r="K22" s="1845" t="s">
        <v>8</v>
      </c>
      <c r="L22" s="1846">
        <f>IF(J22&lt;0,0,J22)</f>
        <v>57.5</v>
      </c>
      <c r="M22" s="1846"/>
      <c r="N22" s="1847" t="s">
        <v>10</v>
      </c>
      <c r="O22" s="38">
        <f>XM.HN!C19</f>
        <v>0</v>
      </c>
      <c r="P22" s="1873">
        <f>(1*O22*36.5)/(5*10)/32%/100</f>
        <v>0</v>
      </c>
      <c r="Q22" s="1841">
        <f>($G$22-P22)*575</f>
        <v>57.5</v>
      </c>
      <c r="R22" s="1845" t="s">
        <v>8</v>
      </c>
      <c r="S22" s="1846">
        <f>IF(Q22&lt;0,0,Q22)</f>
        <v>57.5</v>
      </c>
      <c r="T22" s="1846"/>
      <c r="U22" s="1847" t="s">
        <v>10</v>
      </c>
      <c r="V22" s="38">
        <f>XM.HN!D19</f>
        <v>0</v>
      </c>
      <c r="W22" s="1873">
        <f>(1*V22*36.5)/(5*10)/32%/100</f>
        <v>0</v>
      </c>
      <c r="X22" s="1841">
        <f>($G$22-W22)*575</f>
        <v>57.5</v>
      </c>
      <c r="Y22" s="1845" t="s">
        <v>8</v>
      </c>
      <c r="Z22" s="1846">
        <f>IF(X22&lt;0,0,X22)</f>
        <v>57.5</v>
      </c>
      <c r="AA22" s="1846"/>
      <c r="AB22" s="1847" t="s">
        <v>10</v>
      </c>
      <c r="AC22" s="38">
        <f>XM.HN!E19</f>
        <v>0</v>
      </c>
      <c r="AD22" s="1873">
        <f>(1*AC22*36.5)/(5*10)/32%/100</f>
        <v>0</v>
      </c>
      <c r="AE22" s="1841">
        <f>($G$22-AD22)*575</f>
        <v>57.5</v>
      </c>
      <c r="AF22" s="1845" t="s">
        <v>8</v>
      </c>
      <c r="AG22" s="1846">
        <f>IF(AE22&lt;0,0,AE22)</f>
        <v>57.5</v>
      </c>
      <c r="AH22" s="1846"/>
      <c r="AI22" s="1847" t="s">
        <v>10</v>
      </c>
      <c r="AJ22" s="38">
        <f>XM.HN!F19</f>
        <v>0</v>
      </c>
      <c r="AK22" s="1873">
        <f>(1*AJ22*36.5)/(5*10)/32%/100</f>
        <v>0</v>
      </c>
      <c r="AL22" s="1841">
        <f>($G$22-AK22)*575</f>
        <v>57.5</v>
      </c>
      <c r="AM22" s="1845" t="s">
        <v>8</v>
      </c>
      <c r="AN22" s="1846">
        <f>IF(AL22&lt;0,0,AL22)</f>
        <v>57.5</v>
      </c>
      <c r="AO22" s="1846"/>
      <c r="AP22" s="1847" t="s">
        <v>10</v>
      </c>
      <c r="AQ22" s="38">
        <f>XM.HN!G19</f>
        <v>0</v>
      </c>
      <c r="AR22" s="1873">
        <f>(1*AQ22*36.5)/(5*10)/32%/100</f>
        <v>0</v>
      </c>
      <c r="AS22" s="1841">
        <f>($G$22-AR22)*575</f>
        <v>57.5</v>
      </c>
      <c r="AT22" s="1845" t="s">
        <v>8</v>
      </c>
      <c r="AU22" s="1846">
        <f>IF(AS22&lt;0,0,AS22)</f>
        <v>57.5</v>
      </c>
      <c r="AV22" s="1846"/>
      <c r="AW22" s="1847" t="s">
        <v>10</v>
      </c>
      <c r="AY22" s="1873">
        <v>0</v>
      </c>
      <c r="AZ22" s="274">
        <v>57.5</v>
      </c>
      <c r="BA22" s="274" t="s">
        <v>8</v>
      </c>
      <c r="BB22" s="274">
        <v>57.5</v>
      </c>
      <c r="BD22" s="274" t="s">
        <v>10</v>
      </c>
      <c r="BE22" s="2233"/>
    </row>
    <row r="23" spans="1:57" ht="34.5" customHeight="1">
      <c r="A23" s="286" t="s">
        <v>249</v>
      </c>
      <c r="B23" s="1028" t="s">
        <v>216</v>
      </c>
      <c r="C23" s="1029" t="s">
        <v>147</v>
      </c>
      <c r="D23" s="1073" t="s">
        <v>995</v>
      </c>
      <c r="E23" s="13" t="str">
        <f>'XM.GUI MAIL'!E23</f>
        <v>0.5~1.5</v>
      </c>
      <c r="F23" s="2349" t="str">
        <f>'XM.GUI MAIL'!F23</f>
        <v>(1±0.4)</v>
      </c>
      <c r="G23" s="1409">
        <f>'XM.GUI MAIL'!G23</f>
        <v>0.01</v>
      </c>
      <c r="H23" s="91">
        <f>XM.HN!B20</f>
        <v>0</v>
      </c>
      <c r="I23" s="1876">
        <f>(H23*0.126)/100</f>
        <v>0</v>
      </c>
      <c r="J23" s="1844">
        <f>($G$23-I23)*530/65%/1.51</f>
        <v>5.3998981151299033</v>
      </c>
      <c r="K23" s="1845" t="s">
        <v>8</v>
      </c>
      <c r="L23" s="1988">
        <f>IF(J23&lt;0,0,J23)</f>
        <v>5.3998981151299033</v>
      </c>
      <c r="M23" s="1988"/>
      <c r="N23" s="1847" t="s">
        <v>10</v>
      </c>
      <c r="O23" s="92">
        <f>XM.HN!C20</f>
        <v>0</v>
      </c>
      <c r="P23" s="1876">
        <f>(O23*0.126)/100</f>
        <v>0</v>
      </c>
      <c r="Q23" s="1844">
        <f>($G$23-P23)*530/65%/1.51</f>
        <v>5.3998981151299033</v>
      </c>
      <c r="R23" s="1845" t="s">
        <v>8</v>
      </c>
      <c r="S23" s="1988">
        <f>IF(Q23&lt;0,0,Q23)</f>
        <v>5.3998981151299033</v>
      </c>
      <c r="T23" s="1988"/>
      <c r="U23" s="1847" t="s">
        <v>10</v>
      </c>
      <c r="V23" s="92">
        <f>XM.HN!D20</f>
        <v>0</v>
      </c>
      <c r="W23" s="1876">
        <f>(V23*0.126)/100</f>
        <v>0</v>
      </c>
      <c r="X23" s="1844">
        <f>($G$23-W23)*530/65%/1.51</f>
        <v>5.3998981151299033</v>
      </c>
      <c r="Y23" s="1845" t="s">
        <v>8</v>
      </c>
      <c r="Z23" s="1988">
        <f>IF(X23&lt;0,0,X23)</f>
        <v>5.3998981151299033</v>
      </c>
      <c r="AA23" s="1988"/>
      <c r="AB23" s="1847" t="s">
        <v>10</v>
      </c>
      <c r="AC23" s="92">
        <f>XM.HN!E20</f>
        <v>0</v>
      </c>
      <c r="AD23" s="1876">
        <f>(AC23*0.126)/100</f>
        <v>0</v>
      </c>
      <c r="AE23" s="1844">
        <f>($G$23-AD23)*530/65%/1.51</f>
        <v>5.3998981151299033</v>
      </c>
      <c r="AF23" s="1845" t="s">
        <v>8</v>
      </c>
      <c r="AG23" s="1988">
        <f>IF(AE23&lt;0,0,AE23)</f>
        <v>5.3998981151299033</v>
      </c>
      <c r="AH23" s="1988"/>
      <c r="AI23" s="1847" t="s">
        <v>10</v>
      </c>
      <c r="AJ23" s="91">
        <f>XM.HN!F20</f>
        <v>0</v>
      </c>
      <c r="AK23" s="1876">
        <f>(AJ23*0.126)/100</f>
        <v>0</v>
      </c>
      <c r="AL23" s="1844">
        <f>($G$23-AK23)*530/65%/1.51</f>
        <v>5.3998981151299033</v>
      </c>
      <c r="AM23" s="1845" t="s">
        <v>8</v>
      </c>
      <c r="AN23" s="1988">
        <f>IF(AL23&lt;0,0,AL23)</f>
        <v>5.3998981151299033</v>
      </c>
      <c r="AO23" s="1988"/>
      <c r="AP23" s="1847" t="s">
        <v>10</v>
      </c>
      <c r="AQ23" s="91">
        <f>XM.HN!G20</f>
        <v>0</v>
      </c>
      <c r="AR23" s="1876">
        <f>(AQ23*0.126)/100</f>
        <v>0</v>
      </c>
      <c r="AS23" s="1844">
        <f>($G$23-AR23)*530/65%/1.51</f>
        <v>5.3998981151299033</v>
      </c>
      <c r="AT23" s="1845" t="s">
        <v>8</v>
      </c>
      <c r="AU23" s="1988">
        <f>IF(AS23&lt;0,0,AS23)</f>
        <v>5.3998981151299033</v>
      </c>
      <c r="AV23" s="1988"/>
      <c r="AW23" s="1847" t="s">
        <v>10</v>
      </c>
      <c r="AY23" s="1876">
        <v>0</v>
      </c>
      <c r="AZ23" s="274">
        <v>5.3998981151299033</v>
      </c>
      <c r="BA23" s="274" t="s">
        <v>8</v>
      </c>
      <c r="BB23" s="274">
        <v>5.3998981151299033</v>
      </c>
      <c r="BD23" s="274" t="s">
        <v>10</v>
      </c>
      <c r="BE23" s="2233"/>
    </row>
    <row r="24" spans="1:57" ht="43.5" customHeight="1">
      <c r="A24" s="285" t="s">
        <v>250</v>
      </c>
      <c r="B24" s="1028" t="s">
        <v>216</v>
      </c>
      <c r="C24" s="1030" t="s">
        <v>75</v>
      </c>
      <c r="D24" s="47" t="s">
        <v>3</v>
      </c>
      <c r="E24" s="13" t="str">
        <f>'XM.GUI MAIL'!E24</f>
        <v>5~10</v>
      </c>
      <c r="F24" s="2018" t="str">
        <f>'XM.GUI MAIL'!F24</f>
        <v>(7.5±1)</v>
      </c>
      <c r="G24" s="1109">
        <f>'XM.GUI MAIL'!G24</f>
        <v>7.5</v>
      </c>
      <c r="H24" s="91">
        <f>XM.HN!B21</f>
        <v>0</v>
      </c>
      <c r="I24" s="1952">
        <f>H24*(0.1*100)/(5*3.12)</f>
        <v>0</v>
      </c>
      <c r="J24" s="1835">
        <f>($G$24-I24)*575/95</f>
        <v>45.39473684210526</v>
      </c>
      <c r="K24" s="1845" t="s">
        <v>8</v>
      </c>
      <c r="L24" s="2396">
        <f>IF(J24&lt;0,0,J24)</f>
        <v>45.39473684210526</v>
      </c>
      <c r="M24" s="2194"/>
      <c r="N24" s="1867" t="s">
        <v>10</v>
      </c>
      <c r="O24" s="92">
        <f>XM.HN!C21</f>
        <v>0</v>
      </c>
      <c r="P24" s="1952">
        <f>O24*(0.1*100)/(5*3.12)</f>
        <v>0</v>
      </c>
      <c r="Q24" s="1835">
        <f>($G$24-P24)*575/95</f>
        <v>45.39473684210526</v>
      </c>
      <c r="R24" s="1845" t="s">
        <v>8</v>
      </c>
      <c r="S24" s="2396">
        <f>IF(Q24&lt;0,0,Q24)</f>
        <v>45.39473684210526</v>
      </c>
      <c r="T24" s="2194"/>
      <c r="U24" s="1867" t="s">
        <v>10</v>
      </c>
      <c r="V24" s="92">
        <f>XM.HN!D21</f>
        <v>0</v>
      </c>
      <c r="W24" s="1952">
        <f>V24*(0.1*100)/(5*3.12)</f>
        <v>0</v>
      </c>
      <c r="X24" s="1835">
        <f>($G$24-W24)*575/95</f>
        <v>45.39473684210526</v>
      </c>
      <c r="Y24" s="1845" t="s">
        <v>8</v>
      </c>
      <c r="Z24" s="1988">
        <f>IF(X24&lt;0,0,X24)</f>
        <v>45.39473684210526</v>
      </c>
      <c r="AA24" s="2194"/>
      <c r="AB24" s="1867" t="s">
        <v>10</v>
      </c>
      <c r="AC24" s="92">
        <f>XM.HN!E21</f>
        <v>0</v>
      </c>
      <c r="AD24" s="1952">
        <f>AC24*(0.1*100)/(5*3.12)</f>
        <v>0</v>
      </c>
      <c r="AE24" s="1835">
        <f>($G$24-AD24)*575/95</f>
        <v>45.39473684210526</v>
      </c>
      <c r="AF24" s="1845" t="s">
        <v>8</v>
      </c>
      <c r="AG24" s="2396">
        <f>IF(AE24&lt;0,0,AE24)</f>
        <v>45.39473684210526</v>
      </c>
      <c r="AH24" s="2194"/>
      <c r="AI24" s="1867" t="s">
        <v>10</v>
      </c>
      <c r="AJ24" s="92">
        <f>XM.HN!F21</f>
        <v>0</v>
      </c>
      <c r="AK24" s="1952">
        <f>AJ24*(0.1*100)/(5*3.12)</f>
        <v>0</v>
      </c>
      <c r="AL24" s="1835">
        <f>($G$24-AK24)*575/95</f>
        <v>45.39473684210526</v>
      </c>
      <c r="AM24" s="1845" t="s">
        <v>8</v>
      </c>
      <c r="AN24" s="2396">
        <f>IF(AL24&lt;0,0,AL24)</f>
        <v>45.39473684210526</v>
      </c>
      <c r="AO24" s="2194"/>
      <c r="AP24" s="1867" t="s">
        <v>10</v>
      </c>
      <c r="AQ24" s="92">
        <f>XM.HN!G21</f>
        <v>0</v>
      </c>
      <c r="AR24" s="1952">
        <f>AQ24*(0.1*100)/(5*3.12)</f>
        <v>0</v>
      </c>
      <c r="AS24" s="1834">
        <f>($G$24-AR24)*575/95</f>
        <v>45.39473684210526</v>
      </c>
      <c r="AT24" s="1835" t="s">
        <v>8</v>
      </c>
      <c r="AU24" s="2396">
        <f>IF(AS24&lt;0,0,AS24)</f>
        <v>45.39473684210526</v>
      </c>
      <c r="AV24" s="1836"/>
      <c r="AW24" s="1837" t="s">
        <v>10</v>
      </c>
      <c r="AY24" s="1989">
        <v>0</v>
      </c>
      <c r="AZ24" s="274">
        <v>45.39473684210526</v>
      </c>
      <c r="BA24" s="274" t="s">
        <v>8</v>
      </c>
      <c r="BB24" s="274">
        <v>45.39473684210526</v>
      </c>
      <c r="BD24" s="274" t="s">
        <v>10</v>
      </c>
    </row>
    <row r="25" spans="1:57" ht="32.25" customHeight="1">
      <c r="A25" s="47" t="s">
        <v>252</v>
      </c>
      <c r="B25" s="1028" t="s">
        <v>216</v>
      </c>
      <c r="C25" s="1031" t="s">
        <v>5</v>
      </c>
      <c r="D25" s="47" t="s">
        <v>5</v>
      </c>
      <c r="E25" s="13" t="str">
        <f>'XM.GUI MAIL'!E25</f>
        <v>1.8~2.2</v>
      </c>
      <c r="F25" s="2018" t="str">
        <f>'XM.GUI MAIL'!F25</f>
        <v>(2±0.1)</v>
      </c>
      <c r="G25" s="1410"/>
      <c r="H25" s="91"/>
      <c r="I25" s="2398">
        <f>XM.HN!B22</f>
        <v>0</v>
      </c>
      <c r="J25" s="1835"/>
      <c r="K25" s="1845"/>
      <c r="L25" s="1846"/>
      <c r="M25" s="2194"/>
      <c r="N25" s="1847"/>
      <c r="O25" s="92"/>
      <c r="P25" s="1869">
        <f>XM.HN!C22</f>
        <v>0</v>
      </c>
      <c r="Q25" s="1835"/>
      <c r="R25" s="1845"/>
      <c r="S25" s="1846"/>
      <c r="T25" s="2194"/>
      <c r="U25" s="1847"/>
      <c r="V25" s="92"/>
      <c r="W25" s="1869">
        <f>XM.HN!D22</f>
        <v>0</v>
      </c>
      <c r="X25" s="1835"/>
      <c r="Y25" s="1845"/>
      <c r="Z25" s="1846"/>
      <c r="AA25" s="2194"/>
      <c r="AB25" s="1847"/>
      <c r="AC25" s="92"/>
      <c r="AD25" s="1869">
        <f>XM.HN!E22</f>
        <v>0</v>
      </c>
      <c r="AE25" s="1835"/>
      <c r="AF25" s="1845"/>
      <c r="AG25" s="1846"/>
      <c r="AH25" s="2194"/>
      <c r="AI25" s="1847"/>
      <c r="AJ25" s="92"/>
      <c r="AK25" s="1869">
        <f>XM.HN!F22</f>
        <v>0</v>
      </c>
      <c r="AL25" s="1835"/>
      <c r="AM25" s="1845"/>
      <c r="AN25" s="1846"/>
      <c r="AO25" s="2194"/>
      <c r="AP25" s="1847"/>
      <c r="AQ25" s="92"/>
      <c r="AR25" s="1869">
        <f>XM.HN!G22</f>
        <v>0</v>
      </c>
      <c r="AS25" s="1870"/>
      <c r="AT25" s="1835"/>
      <c r="AU25" s="1836"/>
      <c r="AV25" s="1836"/>
      <c r="AW25" s="1880"/>
      <c r="AY25" s="1990">
        <v>0</v>
      </c>
    </row>
    <row r="26" spans="1:57" s="211" customFormat="1" ht="54" customHeight="1">
      <c r="A26" s="295" t="s">
        <v>74</v>
      </c>
      <c r="B26" s="296"/>
      <c r="C26" s="296"/>
      <c r="D26" s="296"/>
      <c r="E26" s="306"/>
      <c r="F26" s="293"/>
      <c r="G26" s="306"/>
      <c r="H26" s="296"/>
      <c r="I26" s="296"/>
      <c r="J26" s="1475"/>
      <c r="K26" s="1475"/>
      <c r="L26" s="1475"/>
      <c r="M26" s="1475"/>
      <c r="N26" s="1475"/>
      <c r="O26" s="1475"/>
      <c r="P26" s="297"/>
      <c r="Q26" s="1475"/>
      <c r="R26" s="1475"/>
      <c r="S26" s="1475"/>
      <c r="T26" s="1705"/>
      <c r="U26" s="297"/>
      <c r="V26" s="1475"/>
      <c r="W26" s="297"/>
      <c r="X26" s="1475"/>
      <c r="Y26" s="1475"/>
      <c r="Z26" s="1475"/>
      <c r="AA26" s="1475"/>
      <c r="AB26" s="1475"/>
      <c r="AC26" s="1475"/>
      <c r="AD26" s="1475"/>
      <c r="AE26" s="1475"/>
      <c r="AF26" s="1475"/>
      <c r="AG26" s="1475"/>
      <c r="AH26" s="1475"/>
      <c r="AI26" s="1475"/>
      <c r="AJ26" s="297"/>
      <c r="AK26" s="297"/>
      <c r="AL26" s="297"/>
      <c r="AM26" s="297"/>
      <c r="AN26" s="297"/>
      <c r="AO26" s="297"/>
      <c r="AP26" s="297"/>
      <c r="AQ26" s="297"/>
      <c r="AR26" s="297"/>
      <c r="AS26" s="297"/>
      <c r="AT26" s="297"/>
      <c r="AU26" s="297"/>
      <c r="AV26" s="297"/>
      <c r="AW26" s="1039"/>
      <c r="AX26" s="2246"/>
      <c r="AY26" s="93"/>
      <c r="AZ26" s="93"/>
      <c r="BA26" s="93"/>
    </row>
    <row r="27" spans="1:57" s="93" customFormat="1" ht="54" customHeight="1">
      <c r="A27" s="1034" t="s">
        <v>239</v>
      </c>
      <c r="B27" s="1027" t="s">
        <v>318</v>
      </c>
      <c r="C27" s="288" t="s">
        <v>62</v>
      </c>
      <c r="D27" s="288" t="s">
        <v>64</v>
      </c>
      <c r="E27" s="1456" t="s">
        <v>1318</v>
      </c>
      <c r="F27" s="2020" t="s">
        <v>1317</v>
      </c>
      <c r="G27" s="1168"/>
      <c r="H27" s="94"/>
      <c r="I27" s="1827" t="s">
        <v>46</v>
      </c>
      <c r="J27" s="1828"/>
      <c r="K27" s="1828"/>
      <c r="L27" s="1828" t="s">
        <v>63</v>
      </c>
      <c r="M27" s="1828"/>
      <c r="N27" s="1829"/>
      <c r="O27" s="288"/>
      <c r="P27" s="1827" t="s">
        <v>46</v>
      </c>
      <c r="Q27" s="1828"/>
      <c r="R27" s="1828"/>
      <c r="S27" s="1828" t="s">
        <v>63</v>
      </c>
      <c r="T27" s="1828"/>
      <c r="U27" s="1829"/>
      <c r="V27" s="95"/>
      <c r="W27" s="1827" t="s">
        <v>46</v>
      </c>
      <c r="X27" s="1828"/>
      <c r="Y27" s="1828"/>
      <c r="Z27" s="1828" t="s">
        <v>63</v>
      </c>
      <c r="AA27" s="1828"/>
      <c r="AB27" s="1829"/>
      <c r="AC27" s="96"/>
      <c r="AD27" s="1827" t="s">
        <v>46</v>
      </c>
      <c r="AE27" s="1828"/>
      <c r="AF27" s="1828"/>
      <c r="AG27" s="1828" t="s">
        <v>63</v>
      </c>
      <c r="AH27" s="1828"/>
      <c r="AI27" s="1829"/>
      <c r="AJ27" s="96"/>
      <c r="AK27" s="1827" t="s">
        <v>46</v>
      </c>
      <c r="AL27" s="1828"/>
      <c r="AM27" s="1828"/>
      <c r="AN27" s="1828" t="s">
        <v>63</v>
      </c>
      <c r="AO27" s="1828"/>
      <c r="AP27" s="1829"/>
      <c r="AQ27" s="96"/>
      <c r="AR27" s="1827" t="s">
        <v>46</v>
      </c>
      <c r="AS27" s="1828"/>
      <c r="AT27" s="1828"/>
      <c r="AU27" s="1828" t="s">
        <v>63</v>
      </c>
      <c r="AV27" s="1828"/>
      <c r="AW27" s="1829"/>
      <c r="AX27" s="2246"/>
      <c r="AY27" s="93" t="s">
        <v>46</v>
      </c>
      <c r="BB27" s="93" t="s">
        <v>63</v>
      </c>
    </row>
    <row r="28" spans="1:57" s="93" customFormat="1" ht="34.5" customHeight="1">
      <c r="A28" s="1028" t="s">
        <v>254</v>
      </c>
      <c r="B28" s="1028" t="s">
        <v>216</v>
      </c>
      <c r="C28" s="1024" t="s">
        <v>66</v>
      </c>
      <c r="D28" s="21" t="s">
        <v>106</v>
      </c>
      <c r="E28" s="1405" t="str">
        <f>'XM.GUI MAIL'!E28</f>
        <v>50~70</v>
      </c>
      <c r="F28" s="2021" t="str">
        <f>'XM.GUI MAIL'!F28</f>
        <v>(60±5)</v>
      </c>
      <c r="G28" s="1411"/>
      <c r="H28" s="97"/>
      <c r="I28" s="2828"/>
      <c r="J28" s="2819"/>
      <c r="K28" s="2819"/>
      <c r="L28" s="2819"/>
      <c r="M28" s="2819"/>
      <c r="N28" s="2830"/>
      <c r="O28" s="1474"/>
      <c r="P28" s="2828"/>
      <c r="Q28" s="2819"/>
      <c r="R28" s="2819"/>
      <c r="S28" s="2819"/>
      <c r="T28" s="2819"/>
      <c r="U28" s="2830"/>
      <c r="V28" s="95"/>
      <c r="W28" s="2828"/>
      <c r="X28" s="2819"/>
      <c r="Y28" s="2819"/>
      <c r="Z28" s="2819"/>
      <c r="AA28" s="2819"/>
      <c r="AB28" s="2830"/>
      <c r="AC28" s="96"/>
      <c r="AD28" s="2828"/>
      <c r="AE28" s="2819"/>
      <c r="AF28" s="2819"/>
      <c r="AG28" s="2819"/>
      <c r="AH28" s="2819"/>
      <c r="AI28" s="2830"/>
      <c r="AJ28" s="96"/>
      <c r="AK28" s="2828"/>
      <c r="AL28" s="2819"/>
      <c r="AM28" s="2819"/>
      <c r="AN28" s="2819"/>
      <c r="AO28" s="2819"/>
      <c r="AP28" s="2830"/>
      <c r="AQ28" s="96"/>
      <c r="AR28" s="2828"/>
      <c r="AS28" s="2819"/>
      <c r="AT28" s="2819"/>
      <c r="AU28" s="2819"/>
      <c r="AV28" s="2819"/>
      <c r="AW28" s="2820"/>
      <c r="AX28" s="2246"/>
    </row>
    <row r="29" spans="1:57" s="93" customFormat="1" ht="34.5" customHeight="1">
      <c r="A29" s="1028" t="s">
        <v>255</v>
      </c>
      <c r="B29" s="1028" t="s">
        <v>216</v>
      </c>
      <c r="C29" s="1024" t="s">
        <v>67</v>
      </c>
      <c r="D29" s="21" t="s">
        <v>106</v>
      </c>
      <c r="E29" s="1405" t="str">
        <f>'XM.GUI MAIL'!E29</f>
        <v>50~70</v>
      </c>
      <c r="F29" s="2021" t="str">
        <f>'XM.GUI MAIL'!F29</f>
        <v>(60±5)</v>
      </c>
      <c r="G29" s="1411"/>
      <c r="H29" s="97"/>
      <c r="I29" s="2828"/>
      <c r="J29" s="2819"/>
      <c r="K29" s="2819"/>
      <c r="L29" s="2819"/>
      <c r="M29" s="2819"/>
      <c r="N29" s="2830"/>
      <c r="O29" s="1474"/>
      <c r="P29" s="2828"/>
      <c r="Q29" s="2819"/>
      <c r="R29" s="2819"/>
      <c r="S29" s="2819"/>
      <c r="T29" s="2819"/>
      <c r="U29" s="2830"/>
      <c r="V29" s="95"/>
      <c r="W29" s="2828"/>
      <c r="X29" s="2819"/>
      <c r="Y29" s="2819"/>
      <c r="Z29" s="2819"/>
      <c r="AA29" s="2819"/>
      <c r="AB29" s="2830"/>
      <c r="AC29" s="96"/>
      <c r="AD29" s="2828"/>
      <c r="AE29" s="2819"/>
      <c r="AF29" s="2819"/>
      <c r="AG29" s="2819"/>
      <c r="AH29" s="2819"/>
      <c r="AI29" s="2830"/>
      <c r="AJ29" s="96"/>
      <c r="AK29" s="2828"/>
      <c r="AL29" s="2819"/>
      <c r="AM29" s="2819"/>
      <c r="AN29" s="2819"/>
      <c r="AO29" s="2819"/>
      <c r="AP29" s="2830"/>
      <c r="AQ29" s="96"/>
      <c r="AR29" s="2828"/>
      <c r="AS29" s="2819"/>
      <c r="AT29" s="2819"/>
      <c r="AU29" s="2819"/>
      <c r="AV29" s="2819"/>
      <c r="AW29" s="2820"/>
      <c r="AX29" s="2246"/>
    </row>
    <row r="30" spans="1:57" s="93" customFormat="1" ht="34.5" customHeight="1">
      <c r="A30" s="1028" t="s">
        <v>256</v>
      </c>
      <c r="B30" s="1028" t="s">
        <v>216</v>
      </c>
      <c r="C30" s="1024" t="s">
        <v>69</v>
      </c>
      <c r="D30" s="21" t="s">
        <v>106</v>
      </c>
      <c r="E30" s="1405" t="str">
        <f>'XM.GUI MAIL'!E30</f>
        <v>40~60</v>
      </c>
      <c r="F30" s="2021" t="str">
        <f>'XM.GUI MAIL'!F30</f>
        <v>(50±5)</v>
      </c>
      <c r="G30" s="1411"/>
      <c r="H30" s="97"/>
      <c r="I30" s="2828"/>
      <c r="J30" s="2819"/>
      <c r="K30" s="2830"/>
      <c r="L30" s="2819"/>
      <c r="M30" s="2819"/>
      <c r="N30" s="2820"/>
      <c r="O30" s="288"/>
      <c r="P30" s="2828"/>
      <c r="Q30" s="2819"/>
      <c r="R30" s="2830"/>
      <c r="S30" s="2819"/>
      <c r="T30" s="2819"/>
      <c r="U30" s="2820"/>
      <c r="V30" s="95"/>
      <c r="W30" s="2828"/>
      <c r="X30" s="2819"/>
      <c r="Y30" s="2830"/>
      <c r="Z30" s="2819"/>
      <c r="AA30" s="2819"/>
      <c r="AB30" s="2820"/>
      <c r="AC30" s="96"/>
      <c r="AD30" s="2828"/>
      <c r="AE30" s="2819"/>
      <c r="AF30" s="2830"/>
      <c r="AG30" s="2819"/>
      <c r="AH30" s="2819"/>
      <c r="AI30" s="2820"/>
      <c r="AJ30" s="96"/>
      <c r="AK30" s="2828"/>
      <c r="AL30" s="2819"/>
      <c r="AM30" s="2830"/>
      <c r="AN30" s="2819"/>
      <c r="AO30" s="2819"/>
      <c r="AP30" s="2820"/>
      <c r="AQ30" s="96"/>
      <c r="AR30" s="2828"/>
      <c r="AS30" s="2819"/>
      <c r="AT30" s="2830"/>
      <c r="AU30" s="2819"/>
      <c r="AV30" s="2819"/>
      <c r="AW30" s="2820"/>
      <c r="AX30" s="2246"/>
    </row>
    <row r="31" spans="1:57" s="93" customFormat="1" ht="34.5" customHeight="1">
      <c r="A31" s="1028" t="s">
        <v>257</v>
      </c>
      <c r="B31" s="1028" t="s">
        <v>216</v>
      </c>
      <c r="C31" s="1024" t="s">
        <v>68</v>
      </c>
      <c r="D31" s="21" t="s">
        <v>106</v>
      </c>
      <c r="E31" s="1405" t="str">
        <f>'XM.GUI MAIL'!E31</f>
        <v>40~60</v>
      </c>
      <c r="F31" s="2021" t="str">
        <f>'XM.GUI MAIL'!F31</f>
        <v>(50±5)</v>
      </c>
      <c r="G31" s="1411"/>
      <c r="H31" s="97"/>
      <c r="I31" s="2828"/>
      <c r="J31" s="2819"/>
      <c r="K31" s="2830"/>
      <c r="L31" s="2819"/>
      <c r="M31" s="2819"/>
      <c r="N31" s="2820"/>
      <c r="O31" s="288"/>
      <c r="P31" s="2828"/>
      <c r="Q31" s="2819"/>
      <c r="R31" s="2830"/>
      <c r="S31" s="2819"/>
      <c r="T31" s="2819"/>
      <c r="U31" s="2820"/>
      <c r="V31" s="95"/>
      <c r="W31" s="2828"/>
      <c r="X31" s="2819"/>
      <c r="Y31" s="2830"/>
      <c r="Z31" s="2819"/>
      <c r="AA31" s="2819"/>
      <c r="AB31" s="2820"/>
      <c r="AC31" s="96"/>
      <c r="AD31" s="2828"/>
      <c r="AE31" s="2819"/>
      <c r="AF31" s="2830"/>
      <c r="AG31" s="2819"/>
      <c r="AH31" s="2819"/>
      <c r="AI31" s="2820"/>
      <c r="AJ31" s="96"/>
      <c r="AK31" s="2828"/>
      <c r="AL31" s="2819"/>
      <c r="AM31" s="2830"/>
      <c r="AN31" s="2819"/>
      <c r="AO31" s="2819"/>
      <c r="AP31" s="2820"/>
      <c r="AQ31" s="96"/>
      <c r="AR31" s="2828"/>
      <c r="AS31" s="2819"/>
      <c r="AT31" s="2830"/>
      <c r="AU31" s="2819"/>
      <c r="AV31" s="2819"/>
      <c r="AW31" s="2820"/>
      <c r="AX31" s="2246"/>
    </row>
    <row r="32" spans="1:57" s="93" customFormat="1" ht="34.5" customHeight="1">
      <c r="A32" s="1028" t="s">
        <v>315</v>
      </c>
      <c r="B32" s="1028" t="s">
        <v>216</v>
      </c>
      <c r="C32" s="1024" t="s">
        <v>70</v>
      </c>
      <c r="D32" s="21" t="s">
        <v>106</v>
      </c>
      <c r="E32" s="1405" t="str">
        <f>'XM.GUI MAIL'!E32</f>
        <v>20~35</v>
      </c>
      <c r="F32" s="2021" t="str">
        <f>'XM.GUI MAIL'!F32</f>
        <v>(30±4)</v>
      </c>
      <c r="G32" s="1411"/>
      <c r="H32" s="97"/>
      <c r="I32" s="2828"/>
      <c r="J32" s="2819"/>
      <c r="K32" s="2819"/>
      <c r="L32" s="2819"/>
      <c r="M32" s="2819"/>
      <c r="N32" s="2830"/>
      <c r="O32" s="1474"/>
      <c r="P32" s="2828"/>
      <c r="Q32" s="2819"/>
      <c r="R32" s="2819"/>
      <c r="S32" s="2819"/>
      <c r="T32" s="2819"/>
      <c r="U32" s="2830"/>
      <c r="V32" s="95"/>
      <c r="W32" s="2828"/>
      <c r="X32" s="2819"/>
      <c r="Y32" s="2819"/>
      <c r="Z32" s="2819"/>
      <c r="AA32" s="2819"/>
      <c r="AB32" s="2830"/>
      <c r="AC32" s="96"/>
      <c r="AD32" s="2828"/>
      <c r="AE32" s="2819"/>
      <c r="AF32" s="2819"/>
      <c r="AG32" s="2819"/>
      <c r="AH32" s="2819"/>
      <c r="AI32" s="2830"/>
      <c r="AJ32" s="96"/>
      <c r="AK32" s="2828"/>
      <c r="AL32" s="2819"/>
      <c r="AM32" s="2819"/>
      <c r="AN32" s="2819"/>
      <c r="AO32" s="2819"/>
      <c r="AP32" s="2830"/>
      <c r="AQ32" s="96"/>
      <c r="AR32" s="2828"/>
      <c r="AS32" s="2819"/>
      <c r="AT32" s="2819"/>
      <c r="AU32" s="2819"/>
      <c r="AV32" s="2819"/>
      <c r="AW32" s="2820"/>
      <c r="AX32" s="2246"/>
    </row>
    <row r="33" spans="1:56" s="93" customFormat="1" ht="34.5" customHeight="1">
      <c r="A33" s="285" t="s">
        <v>258</v>
      </c>
      <c r="B33" s="1028" t="s">
        <v>216</v>
      </c>
      <c r="C33" s="1024" t="s">
        <v>987</v>
      </c>
      <c r="D33" s="21" t="s">
        <v>106</v>
      </c>
      <c r="E33" s="1405" t="str">
        <f>'XM.GUI MAIL'!E33</f>
        <v>30~40</v>
      </c>
      <c r="F33" s="2021" t="str">
        <f>'XM.GUI MAIL'!F33</f>
        <v>(34±3)</v>
      </c>
      <c r="G33" s="1411"/>
      <c r="H33" s="97"/>
      <c r="I33" s="2828"/>
      <c r="J33" s="2819"/>
      <c r="K33" s="2830"/>
      <c r="L33" s="2819"/>
      <c r="M33" s="2819"/>
      <c r="N33" s="2820"/>
      <c r="O33" s="1474"/>
      <c r="P33" s="2828"/>
      <c r="Q33" s="2819"/>
      <c r="R33" s="2830"/>
      <c r="S33" s="2819"/>
      <c r="T33" s="2819"/>
      <c r="U33" s="2820"/>
      <c r="V33" s="95"/>
      <c r="W33" s="2828"/>
      <c r="X33" s="2819"/>
      <c r="Y33" s="2830"/>
      <c r="Z33" s="2819"/>
      <c r="AA33" s="2819"/>
      <c r="AB33" s="2820"/>
      <c r="AC33" s="96"/>
      <c r="AD33" s="2828"/>
      <c r="AE33" s="2819"/>
      <c r="AF33" s="2830"/>
      <c r="AG33" s="2819"/>
      <c r="AH33" s="2819"/>
      <c r="AI33" s="2820"/>
      <c r="AJ33" s="96"/>
      <c r="AK33" s="2828"/>
      <c r="AL33" s="2819"/>
      <c r="AM33" s="2830"/>
      <c r="AN33" s="2819"/>
      <c r="AO33" s="2819"/>
      <c r="AP33" s="2820"/>
      <c r="AQ33" s="96"/>
      <c r="AR33" s="2828"/>
      <c r="AS33" s="2819"/>
      <c r="AT33" s="2830"/>
      <c r="AU33" s="2819"/>
      <c r="AV33" s="2819"/>
      <c r="AW33" s="2820"/>
      <c r="AX33" s="2246"/>
    </row>
    <row r="34" spans="1:56" s="93" customFormat="1" ht="34.5" customHeight="1">
      <c r="A34" s="285" t="s">
        <v>259</v>
      </c>
      <c r="B34" s="1028" t="s">
        <v>216</v>
      </c>
      <c r="C34" s="1024" t="s">
        <v>71</v>
      </c>
      <c r="D34" s="21" t="s">
        <v>106</v>
      </c>
      <c r="E34" s="1405" t="str">
        <f>'XM.GUI MAIL'!E34</f>
        <v>50~70</v>
      </c>
      <c r="F34" s="2021" t="str">
        <f>'XM.GUI MAIL'!F34</f>
        <v>(60±10)</v>
      </c>
      <c r="G34" s="1411"/>
      <c r="H34" s="97"/>
      <c r="I34" s="2828"/>
      <c r="J34" s="2819"/>
      <c r="K34" s="2830"/>
      <c r="L34" s="2819"/>
      <c r="M34" s="2819"/>
      <c r="N34" s="2820"/>
      <c r="O34" s="1474"/>
      <c r="P34" s="2828"/>
      <c r="Q34" s="2819"/>
      <c r="R34" s="2830"/>
      <c r="S34" s="2819"/>
      <c r="T34" s="2819"/>
      <c r="U34" s="2820"/>
      <c r="V34" s="95"/>
      <c r="W34" s="2828"/>
      <c r="X34" s="2819"/>
      <c r="Y34" s="2830"/>
      <c r="Z34" s="2819"/>
      <c r="AA34" s="2819"/>
      <c r="AB34" s="2820"/>
      <c r="AC34" s="96"/>
      <c r="AD34" s="2828"/>
      <c r="AE34" s="2819"/>
      <c r="AF34" s="2830"/>
      <c r="AG34" s="2819"/>
      <c r="AH34" s="2819"/>
      <c r="AI34" s="2820"/>
      <c r="AJ34" s="96"/>
      <c r="AK34" s="2828"/>
      <c r="AL34" s="2819"/>
      <c r="AM34" s="2830"/>
      <c r="AN34" s="2819"/>
      <c r="AO34" s="2819"/>
      <c r="AP34" s="2820"/>
      <c r="AQ34" s="96"/>
      <c r="AR34" s="2828"/>
      <c r="AS34" s="2819"/>
      <c r="AT34" s="2830"/>
      <c r="AU34" s="2819"/>
      <c r="AV34" s="2819"/>
      <c r="AW34" s="2820"/>
      <c r="AX34" s="2246"/>
    </row>
    <row r="35" spans="1:56" s="93" customFormat="1" ht="34.5" customHeight="1">
      <c r="A35" s="47" t="s">
        <v>260</v>
      </c>
      <c r="B35" s="1028" t="s">
        <v>216</v>
      </c>
      <c r="C35" s="1024" t="s">
        <v>72</v>
      </c>
      <c r="D35" s="21" t="s">
        <v>106</v>
      </c>
      <c r="E35" s="1405" t="str">
        <f>'XM.GUI MAIL'!E35</f>
        <v>80~100</v>
      </c>
      <c r="F35" s="2021" t="str">
        <f>'XM.GUI MAIL'!F35</f>
        <v>(90±5)</v>
      </c>
      <c r="G35" s="1411"/>
      <c r="H35" s="97"/>
      <c r="I35" s="2825" t="s">
        <v>988</v>
      </c>
      <c r="J35" s="2826"/>
      <c r="K35" s="2827"/>
      <c r="L35" s="2819"/>
      <c r="M35" s="2819"/>
      <c r="N35" s="2820"/>
      <c r="O35" s="291"/>
      <c r="P35" s="2825" t="s">
        <v>988</v>
      </c>
      <c r="Q35" s="2826"/>
      <c r="R35" s="2827"/>
      <c r="S35" s="2819"/>
      <c r="T35" s="2819"/>
      <c r="U35" s="2820"/>
      <c r="V35" s="95"/>
      <c r="W35" s="2825" t="s">
        <v>988</v>
      </c>
      <c r="X35" s="2826"/>
      <c r="Y35" s="2827"/>
      <c r="Z35" s="2819"/>
      <c r="AA35" s="2819"/>
      <c r="AB35" s="2820"/>
      <c r="AC35" s="96"/>
      <c r="AD35" s="2825" t="s">
        <v>988</v>
      </c>
      <c r="AE35" s="2826"/>
      <c r="AF35" s="2827"/>
      <c r="AG35" s="2819"/>
      <c r="AH35" s="2819"/>
      <c r="AI35" s="2820"/>
      <c r="AJ35" s="96"/>
      <c r="AK35" s="2825" t="s">
        <v>988</v>
      </c>
      <c r="AL35" s="2826"/>
      <c r="AM35" s="2827"/>
      <c r="AN35" s="2819"/>
      <c r="AO35" s="2819"/>
      <c r="AP35" s="2820"/>
      <c r="AQ35" s="96"/>
      <c r="AR35" s="2825" t="s">
        <v>988</v>
      </c>
      <c r="AS35" s="2826"/>
      <c r="AT35" s="2827"/>
      <c r="AU35" s="2819"/>
      <c r="AV35" s="2819"/>
      <c r="AW35" s="2820"/>
      <c r="AX35" s="2246"/>
      <c r="AY35" s="93" t="s">
        <v>48</v>
      </c>
    </row>
    <row r="36" spans="1:56" s="211" customFormat="1" ht="54" customHeight="1">
      <c r="A36" s="295" t="s">
        <v>76</v>
      </c>
      <c r="B36" s="296"/>
      <c r="C36" s="296"/>
      <c r="D36" s="296"/>
      <c r="E36" s="306"/>
      <c r="F36" s="293"/>
      <c r="G36" s="306"/>
      <c r="H36" s="296"/>
      <c r="I36" s="296"/>
      <c r="J36" s="296"/>
      <c r="K36" s="296"/>
      <c r="L36" s="296"/>
      <c r="M36" s="296"/>
      <c r="N36" s="296"/>
      <c r="O36" s="296"/>
      <c r="P36" s="297"/>
      <c r="Q36" s="296"/>
      <c r="R36" s="296"/>
      <c r="S36" s="296"/>
      <c r="T36" s="1705"/>
      <c r="U36" s="297"/>
      <c r="V36" s="296"/>
      <c r="W36" s="297"/>
      <c r="X36" s="296"/>
      <c r="Y36" s="296"/>
      <c r="Z36" s="296"/>
      <c r="AA36" s="296"/>
      <c r="AB36" s="296"/>
      <c r="AC36" s="296"/>
      <c r="AD36" s="296"/>
      <c r="AE36" s="296"/>
      <c r="AF36" s="296"/>
      <c r="AG36" s="296"/>
      <c r="AH36" s="296"/>
      <c r="AI36" s="296"/>
      <c r="AJ36" s="297"/>
      <c r="AK36" s="297"/>
      <c r="AL36" s="297"/>
      <c r="AM36" s="297"/>
      <c r="AN36" s="297"/>
      <c r="AO36" s="297"/>
      <c r="AP36" s="297"/>
      <c r="AQ36" s="297"/>
      <c r="AR36" s="297"/>
      <c r="AS36" s="297"/>
      <c r="AT36" s="297"/>
      <c r="AU36" s="297"/>
      <c r="AV36" s="297"/>
      <c r="AW36" s="1036"/>
      <c r="AX36" s="2246"/>
      <c r="AY36" s="93"/>
      <c r="AZ36" s="93"/>
      <c r="BA36" s="93"/>
    </row>
    <row r="37" spans="1:56" s="93" customFormat="1" ht="45.75" customHeight="1">
      <c r="A37" s="285" t="s">
        <v>261</v>
      </c>
      <c r="B37" s="1028" t="s">
        <v>216</v>
      </c>
      <c r="C37" s="1030" t="s">
        <v>52</v>
      </c>
      <c r="D37" s="98" t="s">
        <v>49</v>
      </c>
      <c r="E37" s="997" t="str">
        <f>'XM.GUI MAIL'!E37</f>
        <v>300-360</v>
      </c>
      <c r="F37" s="2023" t="str">
        <f>'XM.GUI MAIL'!F37</f>
        <v>300-360</v>
      </c>
      <c r="G37" s="1412"/>
      <c r="H37" s="289"/>
      <c r="I37" s="2831"/>
      <c r="J37" s="2832"/>
      <c r="K37" s="2832"/>
      <c r="L37" s="2832"/>
      <c r="M37" s="2832"/>
      <c r="N37" s="2833"/>
      <c r="O37" s="288"/>
      <c r="P37" s="2831"/>
      <c r="Q37" s="2832"/>
      <c r="R37" s="2832"/>
      <c r="S37" s="2832"/>
      <c r="T37" s="2832"/>
      <c r="U37" s="2833"/>
      <c r="W37" s="2831"/>
      <c r="X37" s="2832"/>
      <c r="Y37" s="2832"/>
      <c r="Z37" s="2832"/>
      <c r="AA37" s="2832"/>
      <c r="AB37" s="2833"/>
      <c r="AC37" s="1033"/>
      <c r="AD37" s="2831"/>
      <c r="AE37" s="2832"/>
      <c r="AF37" s="2832"/>
      <c r="AG37" s="2832"/>
      <c r="AH37" s="2832"/>
      <c r="AI37" s="2833"/>
      <c r="AJ37" s="276"/>
      <c r="AK37" s="2831"/>
      <c r="AL37" s="2832"/>
      <c r="AM37" s="2832"/>
      <c r="AN37" s="2832"/>
      <c r="AO37" s="2832"/>
      <c r="AP37" s="2833"/>
      <c r="AQ37" s="276"/>
      <c r="AR37" s="2831"/>
      <c r="AS37" s="2832"/>
      <c r="AT37" s="2832"/>
      <c r="AU37" s="2832"/>
      <c r="AV37" s="2832"/>
      <c r="AW37" s="2833"/>
      <c r="AX37" s="2246"/>
    </row>
    <row r="38" spans="1:56" s="93" customFormat="1" ht="45.75" customHeight="1">
      <c r="A38" s="285" t="s">
        <v>262</v>
      </c>
      <c r="B38" s="1028" t="s">
        <v>216</v>
      </c>
      <c r="C38" s="107" t="s">
        <v>53</v>
      </c>
      <c r="D38" s="98" t="s">
        <v>49</v>
      </c>
      <c r="E38" s="997" t="str">
        <f>'XM.GUI MAIL'!E38</f>
        <v>30-50</v>
      </c>
      <c r="F38" s="2024" t="str">
        <f>'XM.GUI MAIL'!F38</f>
        <v>30-50</v>
      </c>
      <c r="G38" s="13"/>
      <c r="H38" s="48"/>
      <c r="I38" s="2831"/>
      <c r="J38" s="2832"/>
      <c r="K38" s="2832"/>
      <c r="L38" s="2832"/>
      <c r="M38" s="2832"/>
      <c r="N38" s="2833"/>
      <c r="O38" s="1025"/>
      <c r="P38" s="2831"/>
      <c r="Q38" s="2832"/>
      <c r="R38" s="2832"/>
      <c r="S38" s="2832"/>
      <c r="T38" s="2832"/>
      <c r="U38" s="2833"/>
      <c r="V38" s="1034"/>
      <c r="W38" s="2831"/>
      <c r="X38" s="2832"/>
      <c r="Y38" s="2832"/>
      <c r="Z38" s="2832"/>
      <c r="AA38" s="2832"/>
      <c r="AB38" s="2833"/>
      <c r="AC38" s="1025"/>
      <c r="AD38" s="2831"/>
      <c r="AE38" s="2832"/>
      <c r="AF38" s="2832"/>
      <c r="AG38" s="2832"/>
      <c r="AH38" s="2832"/>
      <c r="AI38" s="2833"/>
      <c r="AJ38" s="1023"/>
      <c r="AK38" s="2831"/>
      <c r="AL38" s="2832"/>
      <c r="AM38" s="2832"/>
      <c r="AN38" s="2832"/>
      <c r="AO38" s="2832"/>
      <c r="AP38" s="2833"/>
      <c r="AQ38" s="1023"/>
      <c r="AR38" s="2831"/>
      <c r="AS38" s="2832"/>
      <c r="AT38" s="2832"/>
      <c r="AU38" s="2832"/>
      <c r="AV38" s="2832"/>
      <c r="AW38" s="2833"/>
      <c r="AX38" s="2246"/>
    </row>
    <row r="39" spans="1:56" ht="26.25" customHeight="1">
      <c r="A39" s="284"/>
      <c r="B39" s="284"/>
      <c r="C39" s="278"/>
      <c r="D39" s="278"/>
      <c r="E39" s="1406"/>
      <c r="F39" s="1719"/>
      <c r="G39" s="1406"/>
      <c r="H39" s="278"/>
      <c r="I39" s="278"/>
      <c r="J39" s="278"/>
      <c r="K39" s="278"/>
      <c r="L39" s="278"/>
      <c r="M39" s="1712"/>
      <c r="N39" s="278"/>
      <c r="O39" s="278"/>
      <c r="P39" s="278"/>
      <c r="Q39" s="278"/>
      <c r="R39" s="278"/>
      <c r="S39" s="278"/>
      <c r="T39" s="1712"/>
      <c r="U39" s="278"/>
      <c r="V39" s="278"/>
      <c r="W39" s="278"/>
      <c r="X39" s="278"/>
      <c r="Y39" s="278"/>
      <c r="Z39" s="278"/>
      <c r="AA39" s="1712"/>
      <c r="AB39" s="278"/>
      <c r="AC39" s="278"/>
      <c r="AD39" s="278"/>
      <c r="AE39" s="278"/>
      <c r="AF39" s="278"/>
      <c r="AG39" s="278"/>
      <c r="AH39" s="1712"/>
      <c r="AI39" s="278"/>
      <c r="AP39" s="274"/>
      <c r="AW39" s="274"/>
    </row>
    <row r="40" spans="1:56" ht="41.25" customHeight="1">
      <c r="A40" s="2074" t="s">
        <v>213</v>
      </c>
      <c r="B40" s="2075"/>
      <c r="C40" s="2076"/>
      <c r="D40" s="2076"/>
      <c r="E40" s="2077"/>
      <c r="F40" s="2078" t="str">
        <f>MENU!$AC$9</f>
        <v>Thứ 3,</v>
      </c>
      <c r="G40" s="2079"/>
      <c r="H40" s="2080"/>
      <c r="I40" s="2081" t="str">
        <f>MENU!$AD$9</f>
        <v>2024/01/09</v>
      </c>
      <c r="J40" s="2080"/>
      <c r="K40" s="2080"/>
      <c r="L40" s="2082"/>
      <c r="M40" s="2082"/>
      <c r="N40" s="2082"/>
      <c r="O40" s="2082"/>
      <c r="P40" s="2082"/>
      <c r="Q40" s="2082"/>
      <c r="R40" s="2082"/>
      <c r="S40" s="2082"/>
      <c r="T40" s="2082"/>
      <c r="U40" s="2080"/>
      <c r="V40" s="2080"/>
      <c r="W40" s="2080"/>
      <c r="X40" s="2080"/>
      <c r="Y40" s="2080"/>
      <c r="Z40" s="2080"/>
      <c r="AA40" s="2080"/>
      <c r="AB40" s="2080"/>
      <c r="AC40" s="2080"/>
      <c r="AD40" s="2080"/>
      <c r="AE40" s="2080"/>
      <c r="AF40" s="2080"/>
      <c r="AG40" s="2080"/>
      <c r="AH40" s="2080"/>
      <c r="AI40" s="2080"/>
      <c r="AJ40" s="2083"/>
      <c r="AK40" s="2075" t="s">
        <v>213</v>
      </c>
      <c r="AL40" s="2084"/>
      <c r="AM40" s="2084"/>
      <c r="AN40" s="2084"/>
      <c r="AO40" s="2084"/>
      <c r="AP40" s="2084"/>
      <c r="AQ40" s="2084"/>
      <c r="AR40" s="2084"/>
      <c r="AS40" s="2084"/>
      <c r="AT40" s="2084"/>
      <c r="AU40" s="2084"/>
      <c r="AV40" s="2084"/>
      <c r="AW40" s="2085"/>
    </row>
    <row r="41" spans="1:56" ht="36.75" customHeight="1">
      <c r="A41" s="1026"/>
      <c r="B41" s="1026"/>
      <c r="C41" s="1026"/>
      <c r="D41" s="1026"/>
      <c r="E41" s="1450"/>
      <c r="F41" s="2025"/>
      <c r="G41" s="2843" t="s">
        <v>126</v>
      </c>
      <c r="H41" s="87"/>
      <c r="I41" s="279" t="s">
        <v>1489</v>
      </c>
      <c r="J41" s="279"/>
      <c r="K41" s="279"/>
      <c r="L41" s="279"/>
      <c r="M41" s="279"/>
      <c r="N41" s="279"/>
      <c r="O41" s="88"/>
      <c r="P41" s="292" t="s">
        <v>1479</v>
      </c>
      <c r="Q41" s="279"/>
      <c r="R41" s="279"/>
      <c r="S41" s="279"/>
      <c r="T41" s="279"/>
      <c r="U41" s="280"/>
      <c r="V41" s="279"/>
      <c r="W41" s="279" t="s">
        <v>1480</v>
      </c>
      <c r="X41" s="279"/>
      <c r="Y41" s="279"/>
      <c r="Z41" s="279"/>
      <c r="AA41" s="279"/>
      <c r="AB41" s="279"/>
      <c r="AC41" s="88"/>
      <c r="AD41" s="292" t="s">
        <v>1481</v>
      </c>
      <c r="AE41" s="279"/>
      <c r="AF41" s="279"/>
      <c r="AG41" s="279"/>
      <c r="AH41" s="279"/>
      <c r="AI41" s="280"/>
      <c r="AJ41" s="279"/>
      <c r="AK41" s="279" t="s">
        <v>1482</v>
      </c>
      <c r="AL41" s="279"/>
      <c r="AM41" s="279"/>
      <c r="AN41" s="279"/>
      <c r="AO41" s="279"/>
      <c r="AP41" s="279"/>
      <c r="AQ41" s="279"/>
      <c r="AR41" s="292" t="s">
        <v>1483</v>
      </c>
      <c r="AS41" s="279"/>
      <c r="AT41" s="279"/>
      <c r="AU41" s="280"/>
      <c r="AV41" s="280"/>
      <c r="AW41" s="1035"/>
      <c r="AY41" s="274" t="s">
        <v>1483</v>
      </c>
    </row>
    <row r="42" spans="1:56" ht="63.75" customHeight="1">
      <c r="A42" s="1027" t="s">
        <v>239</v>
      </c>
      <c r="B42" s="1027" t="s">
        <v>318</v>
      </c>
      <c r="C42" s="1033" t="s">
        <v>317</v>
      </c>
      <c r="D42" s="1027" t="s">
        <v>125</v>
      </c>
      <c r="E42" s="1456" t="s">
        <v>1318</v>
      </c>
      <c r="F42" s="2026" t="s">
        <v>1317</v>
      </c>
      <c r="G42" s="2844"/>
      <c r="H42" s="20"/>
      <c r="I42" s="1993" t="s">
        <v>130</v>
      </c>
      <c r="J42" s="1992" t="s">
        <v>1</v>
      </c>
      <c r="K42" s="293" t="s">
        <v>1</v>
      </c>
      <c r="L42" s="293"/>
      <c r="M42" s="293"/>
      <c r="N42" s="294"/>
      <c r="O42" s="89"/>
      <c r="P42" s="1993" t="s">
        <v>130</v>
      </c>
      <c r="Q42" s="1992" t="s">
        <v>1</v>
      </c>
      <c r="R42" s="293" t="s">
        <v>1</v>
      </c>
      <c r="S42" s="293"/>
      <c r="T42" s="293"/>
      <c r="U42" s="294"/>
      <c r="V42" s="20"/>
      <c r="W42" s="1993" t="s">
        <v>130</v>
      </c>
      <c r="X42" s="1992" t="s">
        <v>1</v>
      </c>
      <c r="Y42" s="293" t="s">
        <v>1</v>
      </c>
      <c r="Z42" s="293"/>
      <c r="AA42" s="293"/>
      <c r="AB42" s="294"/>
      <c r="AC42" s="89"/>
      <c r="AD42" s="1993" t="s">
        <v>130</v>
      </c>
      <c r="AE42" s="1992" t="s">
        <v>1</v>
      </c>
      <c r="AF42" s="293" t="s">
        <v>1</v>
      </c>
      <c r="AG42" s="293"/>
      <c r="AH42" s="293"/>
      <c r="AI42" s="294"/>
      <c r="AJ42" s="89"/>
      <c r="AK42" s="1993" t="s">
        <v>130</v>
      </c>
      <c r="AL42" s="1992" t="s">
        <v>1</v>
      </c>
      <c r="AM42" s="293" t="s">
        <v>1</v>
      </c>
      <c r="AN42" s="293"/>
      <c r="AO42" s="293"/>
      <c r="AP42" s="294"/>
      <c r="AQ42" s="89"/>
      <c r="AR42" s="1993" t="s">
        <v>130</v>
      </c>
      <c r="AS42" s="1992" t="s">
        <v>1</v>
      </c>
      <c r="AT42" s="293" t="s">
        <v>1</v>
      </c>
      <c r="AU42" s="293"/>
      <c r="AV42" s="293"/>
      <c r="AW42" s="294"/>
      <c r="AY42" s="2231" t="s">
        <v>130</v>
      </c>
      <c r="AZ42" s="274" t="s">
        <v>1</v>
      </c>
      <c r="BA42" s="274" t="s">
        <v>1</v>
      </c>
    </row>
    <row r="43" spans="1:56" ht="34.5" customHeight="1">
      <c r="A43" s="1947" t="s">
        <v>263</v>
      </c>
      <c r="B43" s="1947" t="s">
        <v>215</v>
      </c>
      <c r="C43" s="1987" t="s">
        <v>1505</v>
      </c>
      <c r="D43" s="2048" t="s">
        <v>4</v>
      </c>
      <c r="E43" s="2000" t="str">
        <f>'XM.GUI MAIL'!E43</f>
        <v>60~80</v>
      </c>
      <c r="F43" s="2027" t="str">
        <f>'XM.GUI MAIL'!F43</f>
        <v>(70±5)</v>
      </c>
      <c r="G43" s="2049">
        <f>'XM.GUI MAIL'!G43</f>
        <v>70</v>
      </c>
      <c r="H43" s="1951">
        <f>XM.HN!B26</f>
        <v>10.8</v>
      </c>
      <c r="I43" s="2067">
        <f>H43*6.49</f>
        <v>70.092000000000013</v>
      </c>
      <c r="J43" s="2050">
        <f>($G$43-I43)*2693/1000</f>
        <v>-0.24775600000003489</v>
      </c>
      <c r="K43" s="1954" t="s">
        <v>8</v>
      </c>
      <c r="L43" s="2051">
        <f>IF(J43&lt;0,0,J43)</f>
        <v>0</v>
      </c>
      <c r="M43" s="2051"/>
      <c r="N43" s="2052" t="s">
        <v>9</v>
      </c>
      <c r="O43" s="2053">
        <f>XM.HN!C26</f>
        <v>10.9</v>
      </c>
      <c r="P43" s="2067">
        <v>69.2</v>
      </c>
      <c r="Q43" s="2050">
        <f>($G$43-P43)*2693/1000</f>
        <v>2.1543999999999923</v>
      </c>
      <c r="R43" s="1954" t="s">
        <v>8</v>
      </c>
      <c r="S43" s="2051">
        <f>IF(Q43&lt;0,0,Q43)</f>
        <v>2.1543999999999923</v>
      </c>
      <c r="T43" s="2051"/>
      <c r="U43" s="2055" t="s">
        <v>9</v>
      </c>
      <c r="V43" s="2054">
        <f>XM.HN!D26</f>
        <v>11.4</v>
      </c>
      <c r="W43" s="2067">
        <v>73.2</v>
      </c>
      <c r="X43" s="2050">
        <f>($G$43-W43)*2693/1000</f>
        <v>-8.6176000000000084</v>
      </c>
      <c r="Y43" s="1954" t="s">
        <v>8</v>
      </c>
      <c r="Z43" s="2051">
        <f>IF(X43&lt;0,0,X43)</f>
        <v>0</v>
      </c>
      <c r="AA43" s="2051"/>
      <c r="AB43" s="2052" t="s">
        <v>9</v>
      </c>
      <c r="AC43" s="2053">
        <f>XM.HN!E26</f>
        <v>11.5</v>
      </c>
      <c r="AD43" s="2067">
        <v>72.599999999999994</v>
      </c>
      <c r="AE43" s="2050">
        <f>($G$43-AD43)*2693/1000</f>
        <v>-7.0017999999999851</v>
      </c>
      <c r="AF43" s="1954" t="s">
        <v>8</v>
      </c>
      <c r="AG43" s="2051">
        <f>IF(AE43&lt;0,0,AE43)</f>
        <v>0</v>
      </c>
      <c r="AH43" s="2051"/>
      <c r="AI43" s="2052" t="s">
        <v>9</v>
      </c>
      <c r="AJ43" s="2053">
        <f>XM.HN!F26</f>
        <v>0</v>
      </c>
      <c r="AK43" s="2067">
        <v>72</v>
      </c>
      <c r="AL43" s="2050">
        <f>($G$43-AK43)*2693/1000</f>
        <v>-5.3860000000000001</v>
      </c>
      <c r="AM43" s="1954" t="s">
        <v>8</v>
      </c>
      <c r="AN43" s="2051">
        <f>IF(AL43&lt;0,0,AL43)</f>
        <v>0</v>
      </c>
      <c r="AO43" s="2051"/>
      <c r="AP43" s="2052" t="s">
        <v>9</v>
      </c>
      <c r="AQ43" s="2053">
        <f>XM.HN!G26</f>
        <v>11.2</v>
      </c>
      <c r="AR43" s="2067">
        <v>71.3</v>
      </c>
      <c r="AS43" s="2050">
        <f>($G$43-AR43)*2693/1000</f>
        <v>-3.5008999999999926</v>
      </c>
      <c r="AT43" s="1954" t="s">
        <v>8</v>
      </c>
      <c r="AU43" s="2051">
        <f>IF(AS43&lt;0,0,AS43)</f>
        <v>0</v>
      </c>
      <c r="AV43" s="2051"/>
      <c r="AW43" s="2055" t="s">
        <v>9</v>
      </c>
      <c r="AY43" s="2067">
        <v>72</v>
      </c>
      <c r="AZ43" s="274">
        <v>-5.3860000000000001</v>
      </c>
      <c r="BA43" s="274" t="s">
        <v>8</v>
      </c>
      <c r="BB43" s="274">
        <v>0</v>
      </c>
      <c r="BD43" s="274" t="s">
        <v>9</v>
      </c>
    </row>
    <row r="44" spans="1:56" ht="34.5" customHeight="1">
      <c r="A44" s="1972"/>
      <c r="B44" s="1972"/>
      <c r="C44" s="1986" t="s">
        <v>232</v>
      </c>
      <c r="D44" s="1974"/>
      <c r="E44" s="1975" t="s">
        <v>1378</v>
      </c>
      <c r="F44" s="2028"/>
      <c r="G44" s="2056"/>
      <c r="H44" s="1977"/>
      <c r="I44" s="1998"/>
      <c r="J44" s="2057"/>
      <c r="K44" s="1979" t="s">
        <v>8</v>
      </c>
      <c r="L44" s="1984">
        <f>L43/25*7.5</f>
        <v>0</v>
      </c>
      <c r="M44" s="2058"/>
      <c r="N44" s="2059" t="s">
        <v>10</v>
      </c>
      <c r="O44" s="2060"/>
      <c r="P44" s="1998"/>
      <c r="Q44" s="2057"/>
      <c r="R44" s="1979" t="s">
        <v>8</v>
      </c>
      <c r="S44" s="1984">
        <f>S43/25*7.5</f>
        <v>0.64631999999999779</v>
      </c>
      <c r="T44" s="2058"/>
      <c r="U44" s="2062" t="s">
        <v>10</v>
      </c>
      <c r="V44" s="2061"/>
      <c r="W44" s="1998"/>
      <c r="X44" s="2057"/>
      <c r="Y44" s="1979" t="s">
        <v>8</v>
      </c>
      <c r="Z44" s="1984">
        <f>Z43/25*7.5</f>
        <v>0</v>
      </c>
      <c r="AA44" s="2058"/>
      <c r="AB44" s="2059" t="s">
        <v>10</v>
      </c>
      <c r="AC44" s="2060"/>
      <c r="AD44" s="1998"/>
      <c r="AE44" s="2057"/>
      <c r="AF44" s="1979" t="s">
        <v>8</v>
      </c>
      <c r="AG44" s="1984">
        <f>AG43/25*7.5</f>
        <v>0</v>
      </c>
      <c r="AH44" s="2058"/>
      <c r="AI44" s="2059" t="s">
        <v>10</v>
      </c>
      <c r="AJ44" s="2060"/>
      <c r="AK44" s="1998"/>
      <c r="AL44" s="2057"/>
      <c r="AM44" s="1979" t="s">
        <v>8</v>
      </c>
      <c r="AN44" s="1984">
        <f>AN43/25*7.5</f>
        <v>0</v>
      </c>
      <c r="AO44" s="2058"/>
      <c r="AP44" s="2059"/>
      <c r="AQ44" s="2060"/>
      <c r="AR44" s="1998"/>
      <c r="AS44" s="2057"/>
      <c r="AT44" s="1979" t="s">
        <v>8</v>
      </c>
      <c r="AU44" s="1984">
        <f>AU43/25*7.5</f>
        <v>0</v>
      </c>
      <c r="AV44" s="2058"/>
      <c r="AW44" s="2062" t="s">
        <v>10</v>
      </c>
      <c r="AY44" s="1998"/>
      <c r="BA44" s="274" t="s">
        <v>8</v>
      </c>
      <c r="BB44" s="274">
        <v>0</v>
      </c>
      <c r="BD44" s="274" t="s">
        <v>10</v>
      </c>
    </row>
    <row r="45" spans="1:56" ht="34.5" customHeight="1">
      <c r="A45" s="1947" t="s">
        <v>264</v>
      </c>
      <c r="B45" s="1947" t="s">
        <v>215</v>
      </c>
      <c r="C45" s="1987" t="s">
        <v>1506</v>
      </c>
      <c r="D45" s="2048" t="s">
        <v>4</v>
      </c>
      <c r="E45" s="2000" t="str">
        <f>'XM.GUI MAIL'!E45</f>
        <v>60~80</v>
      </c>
      <c r="F45" s="2027" t="str">
        <f>'XM.GUI MAIL'!F45</f>
        <v>(70±5)</v>
      </c>
      <c r="G45" s="2049">
        <f>'XM.GUI MAIL'!G45</f>
        <v>70</v>
      </c>
      <c r="H45" s="1951">
        <f>XM.HN!B28</f>
        <v>11.45</v>
      </c>
      <c r="I45" s="2067">
        <v>69.5</v>
      </c>
      <c r="J45" s="2050">
        <f>($G$45-I45)*3305/1000</f>
        <v>1.6525000000000001</v>
      </c>
      <c r="K45" s="1954" t="s">
        <v>8</v>
      </c>
      <c r="L45" s="2051">
        <f>IF(J45&lt;0,0,J45)</f>
        <v>1.6525000000000001</v>
      </c>
      <c r="M45" s="2051"/>
      <c r="N45" s="2052" t="s">
        <v>9</v>
      </c>
      <c r="O45" s="2053">
        <f>XM.HN!C28</f>
        <v>11.4</v>
      </c>
      <c r="P45" s="2067">
        <v>73.2</v>
      </c>
      <c r="Q45" s="2050">
        <f>($G$45-P45)*3305/1000</f>
        <v>-10.576000000000009</v>
      </c>
      <c r="R45" s="1954" t="s">
        <v>8</v>
      </c>
      <c r="S45" s="2051">
        <f>IF(Q45&lt;0,0,Q45)</f>
        <v>0</v>
      </c>
      <c r="T45" s="2051"/>
      <c r="U45" s="2055" t="s">
        <v>9</v>
      </c>
      <c r="V45" s="2054">
        <f>XM.HN!D28</f>
        <v>11.1</v>
      </c>
      <c r="W45" s="2067">
        <f>V45*6.49</f>
        <v>72.039000000000001</v>
      </c>
      <c r="X45" s="2050">
        <f>($G$45-W45)*3305/1000</f>
        <v>-6.7388950000000047</v>
      </c>
      <c r="Y45" s="1954" t="s">
        <v>8</v>
      </c>
      <c r="Z45" s="2051">
        <f>IF(X45&lt;0,0,X45)</f>
        <v>0</v>
      </c>
      <c r="AA45" s="2051"/>
      <c r="AB45" s="2052" t="s">
        <v>9</v>
      </c>
      <c r="AC45" s="2053">
        <f>XM.HN!E28</f>
        <v>11</v>
      </c>
      <c r="AD45" s="2067">
        <f>AC45*6.49</f>
        <v>71.39</v>
      </c>
      <c r="AE45" s="2050">
        <f>($G$45-AD45)*3305/1000</f>
        <v>-4.5939500000000013</v>
      </c>
      <c r="AF45" s="1954" t="s">
        <v>8</v>
      </c>
      <c r="AG45" s="2051">
        <f>IF(AE45&lt;0,0,AE45)</f>
        <v>0</v>
      </c>
      <c r="AH45" s="2051"/>
      <c r="AI45" s="2052" t="s">
        <v>9</v>
      </c>
      <c r="AJ45" s="2053">
        <f>XM.HN!F28</f>
        <v>0</v>
      </c>
      <c r="AK45" s="2067">
        <v>71</v>
      </c>
      <c r="AL45" s="2050">
        <f>($G$45-AK45)*3305/1000</f>
        <v>-3.3050000000000002</v>
      </c>
      <c r="AM45" s="1954" t="s">
        <v>8</v>
      </c>
      <c r="AN45" s="2051">
        <f>IF(AL45&lt;0,0,AL45)</f>
        <v>0</v>
      </c>
      <c r="AO45" s="2051"/>
      <c r="AP45" s="2052" t="s">
        <v>9</v>
      </c>
      <c r="AQ45" s="2053">
        <f>XM.HN!G28</f>
        <v>11</v>
      </c>
      <c r="AR45" s="2067">
        <v>70.599999999999994</v>
      </c>
      <c r="AS45" s="2050">
        <f>($G$45-AR45)*3305/1000</f>
        <v>-1.9829999999999812</v>
      </c>
      <c r="AT45" s="1954" t="s">
        <v>8</v>
      </c>
      <c r="AU45" s="2051">
        <f>IF(AS45&lt;0,0,AS45)</f>
        <v>0</v>
      </c>
      <c r="AV45" s="2051"/>
      <c r="AW45" s="2055" t="s">
        <v>9</v>
      </c>
      <c r="AY45" s="2067">
        <v>70</v>
      </c>
      <c r="AZ45" s="274">
        <v>0</v>
      </c>
      <c r="BA45" s="274" t="s">
        <v>8</v>
      </c>
      <c r="BB45" s="274">
        <v>0</v>
      </c>
      <c r="BD45" s="274" t="s">
        <v>9</v>
      </c>
    </row>
    <row r="46" spans="1:56" ht="34.5" customHeight="1">
      <c r="A46" s="1972"/>
      <c r="B46" s="1972"/>
      <c r="C46" s="1986" t="s">
        <v>232</v>
      </c>
      <c r="D46" s="1974"/>
      <c r="E46" s="1975" t="s">
        <v>1378</v>
      </c>
      <c r="F46" s="2028"/>
      <c r="G46" s="2056"/>
      <c r="H46" s="1977"/>
      <c r="I46" s="1998"/>
      <c r="J46" s="2057"/>
      <c r="K46" s="1979" t="s">
        <v>8</v>
      </c>
      <c r="L46" s="1984">
        <f>L45/25*7.5</f>
        <v>0.49575000000000002</v>
      </c>
      <c r="M46" s="2058"/>
      <c r="N46" s="2059" t="s">
        <v>10</v>
      </c>
      <c r="O46" s="2060"/>
      <c r="P46" s="1998"/>
      <c r="Q46" s="2057"/>
      <c r="R46" s="1979" t="s">
        <v>8</v>
      </c>
      <c r="S46" s="1984">
        <f>S45/25*7.5</f>
        <v>0</v>
      </c>
      <c r="T46" s="2058"/>
      <c r="U46" s="2062" t="s">
        <v>10</v>
      </c>
      <c r="V46" s="2061"/>
      <c r="W46" s="1998"/>
      <c r="X46" s="2057"/>
      <c r="Y46" s="1979" t="s">
        <v>8</v>
      </c>
      <c r="Z46" s="1984">
        <f>Z45/25*7.5</f>
        <v>0</v>
      </c>
      <c r="AA46" s="2058"/>
      <c r="AB46" s="2059" t="s">
        <v>10</v>
      </c>
      <c r="AC46" s="2060"/>
      <c r="AD46" s="1998"/>
      <c r="AE46" s="2057"/>
      <c r="AF46" s="1979" t="s">
        <v>8</v>
      </c>
      <c r="AG46" s="1984">
        <f>AG45/25*7.5</f>
        <v>0</v>
      </c>
      <c r="AH46" s="2058"/>
      <c r="AI46" s="2059" t="s">
        <v>10</v>
      </c>
      <c r="AJ46" s="2060"/>
      <c r="AK46" s="1998"/>
      <c r="AL46" s="2057"/>
      <c r="AM46" s="1979" t="s">
        <v>8</v>
      </c>
      <c r="AN46" s="1984">
        <f>AN45/25*7.5</f>
        <v>0</v>
      </c>
      <c r="AO46" s="2058"/>
      <c r="AP46" s="2059"/>
      <c r="AQ46" s="2060"/>
      <c r="AR46" s="1998"/>
      <c r="AS46" s="2057"/>
      <c r="AT46" s="1979" t="s">
        <v>8</v>
      </c>
      <c r="AU46" s="1984">
        <f>AU45/25*7.5</f>
        <v>0</v>
      </c>
      <c r="AV46" s="2058"/>
      <c r="AW46" s="2062" t="s">
        <v>10</v>
      </c>
      <c r="AY46" s="1998"/>
      <c r="BA46" s="274" t="s">
        <v>8</v>
      </c>
      <c r="BB46" s="274">
        <v>0</v>
      </c>
      <c r="BD46" s="274" t="s">
        <v>10</v>
      </c>
    </row>
    <row r="47" spans="1:56" ht="34.5" customHeight="1">
      <c r="A47" s="1947" t="s">
        <v>265</v>
      </c>
      <c r="B47" s="1947" t="s">
        <v>215</v>
      </c>
      <c r="C47" s="1987" t="s">
        <v>1507</v>
      </c>
      <c r="D47" s="1948" t="s">
        <v>4</v>
      </c>
      <c r="E47" s="2000" t="str">
        <f>'XM.GUI MAIL'!E47</f>
        <v>50~70</v>
      </c>
      <c r="F47" s="2027" t="str">
        <f>'XM.GUI MAIL'!F47</f>
        <v>(60±10)</v>
      </c>
      <c r="G47" s="2049">
        <f>'XM.GUI MAIL'!G47</f>
        <v>60</v>
      </c>
      <c r="H47" s="1951">
        <f>XM.HN!B30</f>
        <v>12.25</v>
      </c>
      <c r="I47" s="2067">
        <f>H47*4.62</f>
        <v>56.594999999999999</v>
      </c>
      <c r="J47" s="2063">
        <f>($G$47-I47)*1156/1000</f>
        <v>3.9361800000000011</v>
      </c>
      <c r="K47" s="1954" t="s">
        <v>8</v>
      </c>
      <c r="L47" s="2051">
        <f>IF(J47&lt;0,0,J47)</f>
        <v>3.9361800000000011</v>
      </c>
      <c r="M47" s="2051"/>
      <c r="N47" s="2052" t="s">
        <v>9</v>
      </c>
      <c r="O47" s="2064">
        <f>XM.HN!C30</f>
        <v>12.2</v>
      </c>
      <c r="P47" s="2067">
        <v>62.8</v>
      </c>
      <c r="Q47" s="2063">
        <f>($G$47-P47)*1156/1000</f>
        <v>-3.2367999999999966</v>
      </c>
      <c r="R47" s="1954" t="s">
        <v>8</v>
      </c>
      <c r="S47" s="2051">
        <f>IF(Q47&lt;0,0,Q47)</f>
        <v>0</v>
      </c>
      <c r="T47" s="2051"/>
      <c r="U47" s="2055" t="s">
        <v>9</v>
      </c>
      <c r="V47" s="1951">
        <f>XM.HN!D30</f>
        <v>13.25</v>
      </c>
      <c r="W47" s="2067">
        <f>V47*4.62</f>
        <v>61.215000000000003</v>
      </c>
      <c r="X47" s="2063">
        <f>($G$47-W47)*1156/1000</f>
        <v>-1.4045400000000041</v>
      </c>
      <c r="Y47" s="1954" t="s">
        <v>8</v>
      </c>
      <c r="Z47" s="2051">
        <f>IF(X47&lt;0,0,X47)</f>
        <v>0</v>
      </c>
      <c r="AA47" s="2051"/>
      <c r="AB47" s="2052" t="s">
        <v>9</v>
      </c>
      <c r="AC47" s="1951">
        <f>XM.HN!E30</f>
        <v>13.6</v>
      </c>
      <c r="AD47" s="2067">
        <v>61</v>
      </c>
      <c r="AE47" s="2063">
        <f>($G$47-AD47)*1156/1000</f>
        <v>-1.1559999999999999</v>
      </c>
      <c r="AF47" s="1954" t="s">
        <v>8</v>
      </c>
      <c r="AG47" s="2051">
        <f>IF(AE47&lt;0,0,AE47)</f>
        <v>0</v>
      </c>
      <c r="AH47" s="2051"/>
      <c r="AI47" s="2052" t="s">
        <v>9</v>
      </c>
      <c r="AJ47" s="1951">
        <f>XM.HN!F30</f>
        <v>0</v>
      </c>
      <c r="AK47" s="2067">
        <v>60.6</v>
      </c>
      <c r="AL47" s="2063">
        <f>($G$47-AK47)*1156/1000</f>
        <v>-0.69360000000000166</v>
      </c>
      <c r="AM47" s="1954" t="s">
        <v>8</v>
      </c>
      <c r="AN47" s="2051">
        <f>IF(AL47&lt;0,0,AL47)</f>
        <v>0</v>
      </c>
      <c r="AO47" s="2051"/>
      <c r="AP47" s="2052" t="s">
        <v>9</v>
      </c>
      <c r="AQ47" s="1951">
        <f>XM.HN!G30</f>
        <v>13.1</v>
      </c>
      <c r="AR47" s="2067">
        <v>60</v>
      </c>
      <c r="AS47" s="2050">
        <f>($G$47-AR47)*1156/1000</f>
        <v>0</v>
      </c>
      <c r="AT47" s="1954" t="s">
        <v>8</v>
      </c>
      <c r="AU47" s="2051">
        <f>IF(AS47&lt;0,0,AS47)</f>
        <v>0</v>
      </c>
      <c r="AV47" s="2051"/>
      <c r="AW47" s="2055" t="s">
        <v>9</v>
      </c>
      <c r="AY47" s="2067">
        <v>61.3</v>
      </c>
      <c r="AZ47" s="274">
        <v>-1.5027999999999968</v>
      </c>
      <c r="BA47" s="274" t="s">
        <v>8</v>
      </c>
      <c r="BB47" s="274">
        <v>0</v>
      </c>
      <c r="BD47" s="274" t="s">
        <v>9</v>
      </c>
    </row>
    <row r="48" spans="1:56" ht="34.5" customHeight="1">
      <c r="A48" s="1972"/>
      <c r="B48" s="1972"/>
      <c r="C48" s="1986" t="s">
        <v>234</v>
      </c>
      <c r="D48" s="1974"/>
      <c r="E48" s="1975" t="s">
        <v>1508</v>
      </c>
      <c r="F48" s="2028"/>
      <c r="G48" s="2056"/>
      <c r="H48" s="1977"/>
      <c r="I48" s="1998"/>
      <c r="J48" s="2065"/>
      <c r="K48" s="1979" t="s">
        <v>8</v>
      </c>
      <c r="L48" s="1984">
        <f>L47/25*7</f>
        <v>1.1021304000000003</v>
      </c>
      <c r="M48" s="2058"/>
      <c r="N48" s="2059" t="s">
        <v>10</v>
      </c>
      <c r="O48" s="2066"/>
      <c r="P48" s="1998"/>
      <c r="Q48" s="2065"/>
      <c r="R48" s="1979" t="s">
        <v>8</v>
      </c>
      <c r="S48" s="1984">
        <f>S47/25*7</f>
        <v>0</v>
      </c>
      <c r="T48" s="2058"/>
      <c r="U48" s="2062" t="s">
        <v>10</v>
      </c>
      <c r="V48" s="1977"/>
      <c r="W48" s="1998"/>
      <c r="X48" s="2065"/>
      <c r="Y48" s="1979" t="s">
        <v>8</v>
      </c>
      <c r="Z48" s="1984">
        <f>Z47/25*7</f>
        <v>0</v>
      </c>
      <c r="AA48" s="2058"/>
      <c r="AB48" s="2059" t="s">
        <v>10</v>
      </c>
      <c r="AC48" s="1977"/>
      <c r="AD48" s="1998"/>
      <c r="AE48" s="2065"/>
      <c r="AF48" s="1979" t="s">
        <v>8</v>
      </c>
      <c r="AG48" s="1984">
        <f>AG47/25*7</f>
        <v>0</v>
      </c>
      <c r="AH48" s="2058"/>
      <c r="AI48" s="2059" t="s">
        <v>10</v>
      </c>
      <c r="AJ48" s="1977"/>
      <c r="AK48" s="1998"/>
      <c r="AL48" s="2065"/>
      <c r="AM48" s="1979" t="s">
        <v>8</v>
      </c>
      <c r="AN48" s="1984">
        <f>AN47/25*7</f>
        <v>0</v>
      </c>
      <c r="AO48" s="2058"/>
      <c r="AP48" s="2059"/>
      <c r="AQ48" s="1977"/>
      <c r="AR48" s="1998"/>
      <c r="AS48" s="2057"/>
      <c r="AT48" s="1979" t="s">
        <v>8</v>
      </c>
      <c r="AU48" s="1984">
        <f>AU47/25*7</f>
        <v>0</v>
      </c>
      <c r="AV48" s="2058"/>
      <c r="AW48" s="2062" t="s">
        <v>10</v>
      </c>
      <c r="AY48" s="1998"/>
      <c r="BA48" s="274" t="s">
        <v>8</v>
      </c>
      <c r="BB48" s="274">
        <v>0</v>
      </c>
      <c r="BD48" s="274" t="s">
        <v>10</v>
      </c>
    </row>
    <row r="49" spans="1:56" ht="34.5" customHeight="1">
      <c r="A49" s="1947" t="s">
        <v>266</v>
      </c>
      <c r="B49" s="1947" t="s">
        <v>215</v>
      </c>
      <c r="C49" s="1987" t="s">
        <v>1509</v>
      </c>
      <c r="D49" s="1948" t="s">
        <v>4</v>
      </c>
      <c r="E49" s="2000" t="str">
        <f>'XM.GUI MAIL'!E49</f>
        <v>50~70</v>
      </c>
      <c r="F49" s="2027" t="str">
        <f>'XM.GUI MAIL'!F49</f>
        <v>(60±10)</v>
      </c>
      <c r="G49" s="2049">
        <f>'XM.GUI MAIL'!G49</f>
        <v>60</v>
      </c>
      <c r="H49" s="1951">
        <f>XM.HN!B32</f>
        <v>12.3</v>
      </c>
      <c r="I49" s="2067">
        <f>H49*4.62</f>
        <v>56.826000000000008</v>
      </c>
      <c r="J49" s="2063">
        <f>($G$49-I49)*1459/1000</f>
        <v>4.6308659999999895</v>
      </c>
      <c r="K49" s="1954" t="s">
        <v>8</v>
      </c>
      <c r="L49" s="2051">
        <f>IF(J49&lt;0,0,J49)</f>
        <v>4.6308659999999895</v>
      </c>
      <c r="M49" s="2051"/>
      <c r="N49" s="2052" t="s">
        <v>9</v>
      </c>
      <c r="O49" s="2064">
        <f>XM.HN!C32</f>
        <v>12.6</v>
      </c>
      <c r="P49" s="2067">
        <f>O49*4.62</f>
        <v>58.211999999999996</v>
      </c>
      <c r="Q49" s="2063">
        <f>($G$49-P49)*1459/1000</f>
        <v>2.6086920000000053</v>
      </c>
      <c r="R49" s="1954" t="s">
        <v>8</v>
      </c>
      <c r="S49" s="2051">
        <f>IF(Q49&lt;0,0,Q49)</f>
        <v>2.6086920000000053</v>
      </c>
      <c r="T49" s="2051"/>
      <c r="U49" s="2055" t="s">
        <v>9</v>
      </c>
      <c r="V49" s="1951">
        <f>XM.HN!D32</f>
        <v>13.9</v>
      </c>
      <c r="W49" s="2067">
        <f>V49*4.62</f>
        <v>64.218000000000004</v>
      </c>
      <c r="X49" s="2063">
        <f>($G$49-W49)*1459/1000</f>
        <v>-6.154062000000005</v>
      </c>
      <c r="Y49" s="1954" t="s">
        <v>8</v>
      </c>
      <c r="Z49" s="2051">
        <f>IF(X49&lt;0,0,X49)</f>
        <v>0</v>
      </c>
      <c r="AA49" s="2051"/>
      <c r="AB49" s="2052" t="s">
        <v>9</v>
      </c>
      <c r="AC49" s="1951">
        <f>XM.HN!E32</f>
        <v>13.4</v>
      </c>
      <c r="AD49" s="2067">
        <f>AC49*4.62</f>
        <v>61.908000000000001</v>
      </c>
      <c r="AE49" s="2063">
        <f>($G$49-AD49)*1459/1000</f>
        <v>-2.7837720000000017</v>
      </c>
      <c r="AF49" s="1954" t="s">
        <v>8</v>
      </c>
      <c r="AG49" s="2051">
        <f>IF(AE49&lt;0,0,AE49)</f>
        <v>0</v>
      </c>
      <c r="AH49" s="2051"/>
      <c r="AI49" s="2052" t="s">
        <v>9</v>
      </c>
      <c r="AJ49" s="1951">
        <f>XM.HN!F32</f>
        <v>0</v>
      </c>
      <c r="AK49" s="2067">
        <v>61.2</v>
      </c>
      <c r="AL49" s="2063">
        <f>($G$49-AK49)*1459/1000</f>
        <v>-1.7508000000000041</v>
      </c>
      <c r="AM49" s="1954" t="s">
        <v>8</v>
      </c>
      <c r="AN49" s="2051">
        <f>IF(AL49&lt;0,0,AL49)</f>
        <v>0</v>
      </c>
      <c r="AO49" s="2051"/>
      <c r="AP49" s="2052" t="s">
        <v>9</v>
      </c>
      <c r="AQ49" s="1951">
        <f>XM.HN!G32</f>
        <v>12.7</v>
      </c>
      <c r="AR49" s="2067">
        <v>60.6</v>
      </c>
      <c r="AS49" s="2050">
        <f>($G$49-AR49)*1459/1000</f>
        <v>-0.87540000000000207</v>
      </c>
      <c r="AT49" s="1954" t="s">
        <v>8</v>
      </c>
      <c r="AU49" s="2051">
        <f>IF(AS49&lt;0,0,AS49)</f>
        <v>0</v>
      </c>
      <c r="AV49" s="2051"/>
      <c r="AW49" s="2055" t="s">
        <v>9</v>
      </c>
      <c r="AY49" s="2067">
        <v>62.3</v>
      </c>
      <c r="AZ49" s="274">
        <v>-3.3556999999999957</v>
      </c>
      <c r="BA49" s="274" t="s">
        <v>8</v>
      </c>
      <c r="BB49" s="274">
        <v>0</v>
      </c>
      <c r="BD49" s="274" t="s">
        <v>9</v>
      </c>
    </row>
    <row r="50" spans="1:56" ht="34.5" customHeight="1">
      <c r="A50" s="1972"/>
      <c r="B50" s="1972"/>
      <c r="C50" s="1986" t="s">
        <v>234</v>
      </c>
      <c r="D50" s="1974"/>
      <c r="E50" s="1975" t="s">
        <v>1508</v>
      </c>
      <c r="F50" s="2028"/>
      <c r="G50" s="2056"/>
      <c r="H50" s="1977"/>
      <c r="I50" s="1998"/>
      <c r="J50" s="2065"/>
      <c r="K50" s="1979" t="s">
        <v>8</v>
      </c>
      <c r="L50" s="1984">
        <f>L49/25*7</f>
        <v>1.2966424799999972</v>
      </c>
      <c r="M50" s="2058"/>
      <c r="N50" s="2059" t="s">
        <v>10</v>
      </c>
      <c r="O50" s="2066"/>
      <c r="P50" s="1998"/>
      <c r="Q50" s="2065"/>
      <c r="R50" s="1979" t="s">
        <v>8</v>
      </c>
      <c r="S50" s="1984">
        <f>S49/25*7</f>
        <v>0.73043376000000149</v>
      </c>
      <c r="T50" s="2058"/>
      <c r="U50" s="2062" t="s">
        <v>10</v>
      </c>
      <c r="V50" s="1977"/>
      <c r="W50" s="1998"/>
      <c r="X50" s="2065"/>
      <c r="Y50" s="1979" t="s">
        <v>8</v>
      </c>
      <c r="Z50" s="1984">
        <f>Z49/25*7</f>
        <v>0</v>
      </c>
      <c r="AA50" s="2058"/>
      <c r="AB50" s="2059" t="s">
        <v>10</v>
      </c>
      <c r="AC50" s="1977"/>
      <c r="AD50" s="1998"/>
      <c r="AE50" s="2065"/>
      <c r="AF50" s="1979" t="s">
        <v>8</v>
      </c>
      <c r="AG50" s="1984">
        <f>AG49/25*7</f>
        <v>0</v>
      </c>
      <c r="AH50" s="2058"/>
      <c r="AI50" s="2059" t="s">
        <v>10</v>
      </c>
      <c r="AJ50" s="1977"/>
      <c r="AK50" s="1998"/>
      <c r="AL50" s="2065"/>
      <c r="AM50" s="1979" t="s">
        <v>8</v>
      </c>
      <c r="AN50" s="1984">
        <f>AN49/25*7</f>
        <v>0</v>
      </c>
      <c r="AO50" s="2058"/>
      <c r="AP50" s="2059"/>
      <c r="AQ50" s="1977"/>
      <c r="AR50" s="1998"/>
      <c r="AS50" s="2057"/>
      <c r="AT50" s="1979" t="s">
        <v>8</v>
      </c>
      <c r="AU50" s="1984">
        <f>AU49/25*7</f>
        <v>0</v>
      </c>
      <c r="AV50" s="2058"/>
      <c r="AW50" s="2062" t="s">
        <v>10</v>
      </c>
      <c r="AY50" s="1998"/>
      <c r="BA50" s="274" t="s">
        <v>8</v>
      </c>
      <c r="BB50" s="274">
        <v>0</v>
      </c>
      <c r="BD50" s="274" t="s">
        <v>10</v>
      </c>
    </row>
    <row r="51" spans="1:56" ht="34.5" customHeight="1">
      <c r="A51" s="1028" t="s">
        <v>267</v>
      </c>
      <c r="B51" s="1028" t="s">
        <v>215</v>
      </c>
      <c r="C51" s="1029" t="s">
        <v>57</v>
      </c>
      <c r="D51" s="1034" t="s">
        <v>4</v>
      </c>
      <c r="E51" s="13" t="str">
        <f>'XM.GUI MAIL'!E51</f>
        <v>130 - 150</v>
      </c>
      <c r="F51" s="2029" t="str">
        <f>'XM.GUI MAIL'!F51</f>
        <v>(140±7)</v>
      </c>
      <c r="G51" s="1413">
        <f>'XM.GUI MAIL'!G51</f>
        <v>140</v>
      </c>
      <c r="H51" s="91">
        <f>XM.HN!B34</f>
        <v>18.05</v>
      </c>
      <c r="I51" s="1862">
        <f>H51*8</f>
        <v>144.4</v>
      </c>
      <c r="J51" s="1834">
        <f>($G$51-I51)*19951/1000</f>
        <v>-87.784400000000105</v>
      </c>
      <c r="K51" s="1835" t="s">
        <v>8</v>
      </c>
      <c r="L51" s="1836">
        <f t="shared" ref="L51:L53" si="11">IF(J51&lt;0,0,J51)</f>
        <v>0</v>
      </c>
      <c r="M51" s="1836"/>
      <c r="N51" s="1839" t="s">
        <v>9</v>
      </c>
      <c r="O51" s="104">
        <f>XM.HN!C34</f>
        <v>18.2</v>
      </c>
      <c r="P51" s="1862">
        <f>O51*8</f>
        <v>145.6</v>
      </c>
      <c r="Q51" s="1834">
        <f>($G$51-P51)*19951/1000</f>
        <v>-111.72559999999989</v>
      </c>
      <c r="R51" s="1835" t="s">
        <v>8</v>
      </c>
      <c r="S51" s="1836">
        <f t="shared" ref="S51:S53" si="12">IF(Q51&lt;0,0,Q51)</f>
        <v>0</v>
      </c>
      <c r="T51" s="1836"/>
      <c r="U51" s="1839" t="s">
        <v>9</v>
      </c>
      <c r="V51" s="91">
        <f>XM.HN!D34</f>
        <v>18.2</v>
      </c>
      <c r="W51" s="1862">
        <f>V51*8</f>
        <v>145.6</v>
      </c>
      <c r="X51" s="1834">
        <f>($G$51-W51)*19951/1000</f>
        <v>-111.72559999999989</v>
      </c>
      <c r="Y51" s="1835" t="s">
        <v>8</v>
      </c>
      <c r="Z51" s="1836">
        <f t="shared" ref="Z51:Z53" si="13">IF(X51&lt;0,0,X51)</f>
        <v>0</v>
      </c>
      <c r="AA51" s="1836"/>
      <c r="AB51" s="1839" t="s">
        <v>9</v>
      </c>
      <c r="AC51" s="91">
        <f>XM.HN!E34</f>
        <v>18.2</v>
      </c>
      <c r="AD51" s="1862">
        <f>AC51*8</f>
        <v>145.6</v>
      </c>
      <c r="AE51" s="1834">
        <f>($G$51-AD51)*19951/1000</f>
        <v>-111.72559999999989</v>
      </c>
      <c r="AF51" s="1835" t="s">
        <v>8</v>
      </c>
      <c r="AG51" s="1836">
        <f t="shared" ref="AG51:AG53" si="14">IF(AE51&lt;0,0,AE51)</f>
        <v>0</v>
      </c>
      <c r="AH51" s="1836"/>
      <c r="AI51" s="1839" t="s">
        <v>9</v>
      </c>
      <c r="AJ51" s="91">
        <f>XM.HN!F34</f>
        <v>0</v>
      </c>
      <c r="AK51" s="1862">
        <v>144.19999999999999</v>
      </c>
      <c r="AL51" s="1834">
        <f>($G$51-AK51)*19951/1000</f>
        <v>-83.794199999999776</v>
      </c>
      <c r="AM51" s="1835" t="s">
        <v>8</v>
      </c>
      <c r="AN51" s="1836">
        <f t="shared" ref="AN51:AN53" si="15">IF(AL51&lt;0,0,AL51)</f>
        <v>0</v>
      </c>
      <c r="AO51" s="1836"/>
      <c r="AP51" s="1839" t="s">
        <v>9</v>
      </c>
      <c r="AQ51" s="91">
        <f>XM.HN!G34</f>
        <v>18.3</v>
      </c>
      <c r="AR51" s="1862">
        <v>143.19999999999999</v>
      </c>
      <c r="AS51" s="1848">
        <f>($G$51-AR51)*19951/1000</f>
        <v>-63.843199999999769</v>
      </c>
      <c r="AT51" s="1835" t="s">
        <v>8</v>
      </c>
      <c r="AU51" s="1836">
        <f t="shared" ref="AU51:AU53" si="16">IF(AS51&lt;0,0,AS51)</f>
        <v>0</v>
      </c>
      <c r="AV51" s="1836"/>
      <c r="AW51" s="1837" t="s">
        <v>9</v>
      </c>
      <c r="AY51" s="1862">
        <v>140.80000000000001</v>
      </c>
      <c r="AZ51" s="274">
        <v>-15.960800000000226</v>
      </c>
      <c r="BA51" s="274" t="s">
        <v>8</v>
      </c>
      <c r="BB51" s="274">
        <v>0</v>
      </c>
      <c r="BD51" s="274" t="s">
        <v>9</v>
      </c>
    </row>
    <row r="52" spans="1:56" ht="34.5" customHeight="1">
      <c r="A52" s="47" t="s">
        <v>268</v>
      </c>
      <c r="B52" s="1028" t="s">
        <v>215</v>
      </c>
      <c r="C52" s="1023" t="s">
        <v>58</v>
      </c>
      <c r="D52" s="1034" t="s">
        <v>4</v>
      </c>
      <c r="E52" s="2382" t="str">
        <f>'XM.GUI MAIL'!E52</f>
        <v>8~12</v>
      </c>
      <c r="F52" s="2029" t="str">
        <f>'XM.GUI MAIL'!F52</f>
        <v>(10±2)</v>
      </c>
      <c r="G52" s="1413">
        <f>'XM.GUI MAIL'!G52</f>
        <v>10</v>
      </c>
      <c r="H52" s="91">
        <f>XM.HN!B35</f>
        <v>8.9</v>
      </c>
      <c r="I52" s="1838">
        <f>H52*1.3</f>
        <v>11.57</v>
      </c>
      <c r="J52" s="1848">
        <f>($G$52-I52)*19951/1000</f>
        <v>-31.323070000000008</v>
      </c>
      <c r="K52" s="1835" t="s">
        <v>8</v>
      </c>
      <c r="L52" s="1836">
        <f t="shared" si="11"/>
        <v>0</v>
      </c>
      <c r="M52" s="1836"/>
      <c r="N52" s="1837" t="s">
        <v>989</v>
      </c>
      <c r="O52" s="89">
        <f>XM.HN!C35</f>
        <v>8.6</v>
      </c>
      <c r="P52" s="1838">
        <f>O52*1.3</f>
        <v>11.18</v>
      </c>
      <c r="Q52" s="1848">
        <f>($G$52-P52)*19951/1000</f>
        <v>-23.542179999999995</v>
      </c>
      <c r="R52" s="1835" t="s">
        <v>8</v>
      </c>
      <c r="S52" s="1836">
        <f t="shared" si="12"/>
        <v>0</v>
      </c>
      <c r="T52" s="1836"/>
      <c r="U52" s="1837" t="s">
        <v>989</v>
      </c>
      <c r="V52" s="20">
        <f>XM.HN!D35</f>
        <v>8.6</v>
      </c>
      <c r="W52" s="1838">
        <f>V52*1.3</f>
        <v>11.18</v>
      </c>
      <c r="X52" s="1848">
        <f>($G$52-W52)*19951/1000</f>
        <v>-23.542179999999995</v>
      </c>
      <c r="Y52" s="1835" t="s">
        <v>8</v>
      </c>
      <c r="Z52" s="1836">
        <f t="shared" si="13"/>
        <v>0</v>
      </c>
      <c r="AA52" s="1836"/>
      <c r="AB52" s="1837" t="s">
        <v>989</v>
      </c>
      <c r="AC52" s="89">
        <f>XM.HN!E35</f>
        <v>8.6</v>
      </c>
      <c r="AD52" s="1838">
        <f>AC52*1.3</f>
        <v>11.18</v>
      </c>
      <c r="AE52" s="1848">
        <f>($G$52-AD52)*19951/1000</f>
        <v>-23.542179999999995</v>
      </c>
      <c r="AF52" s="1835" t="s">
        <v>8</v>
      </c>
      <c r="AG52" s="1836">
        <f t="shared" si="14"/>
        <v>0</v>
      </c>
      <c r="AH52" s="1836"/>
      <c r="AI52" s="1837" t="s">
        <v>989</v>
      </c>
      <c r="AJ52" s="89">
        <f>XM.HN!F35</f>
        <v>0</v>
      </c>
      <c r="AK52" s="1838">
        <v>11.1</v>
      </c>
      <c r="AL52" s="1848">
        <f>($G$52-AK52)*19951/1000</f>
        <v>-21.946099999999991</v>
      </c>
      <c r="AM52" s="1835" t="s">
        <v>8</v>
      </c>
      <c r="AN52" s="1836">
        <f t="shared" si="15"/>
        <v>0</v>
      </c>
      <c r="AO52" s="1836"/>
      <c r="AP52" s="1837" t="s">
        <v>989</v>
      </c>
      <c r="AQ52" s="89">
        <f>XM.HN!G35</f>
        <v>8.4</v>
      </c>
      <c r="AR52" s="1838">
        <v>11</v>
      </c>
      <c r="AS52" s="1848">
        <f>($G$52-AR52)*19951/1000</f>
        <v>-19.951000000000001</v>
      </c>
      <c r="AT52" s="1835" t="s">
        <v>8</v>
      </c>
      <c r="AU52" s="1836">
        <f t="shared" si="16"/>
        <v>0</v>
      </c>
      <c r="AV52" s="1836"/>
      <c r="AW52" s="1837" t="s">
        <v>989</v>
      </c>
      <c r="AY52" s="1838">
        <v>10.8</v>
      </c>
      <c r="AZ52" s="274">
        <v>-15.960800000000013</v>
      </c>
      <c r="BA52" s="274" t="s">
        <v>8</v>
      </c>
      <c r="BB52" s="274">
        <v>0</v>
      </c>
      <c r="BD52" s="274" t="s">
        <v>9</v>
      </c>
    </row>
    <row r="53" spans="1:56" ht="34.5" customHeight="1">
      <c r="A53" s="285" t="s">
        <v>269</v>
      </c>
      <c r="B53" s="1028" t="s">
        <v>215</v>
      </c>
      <c r="C53" s="1032" t="s">
        <v>980</v>
      </c>
      <c r="D53" s="1034" t="s">
        <v>3</v>
      </c>
      <c r="E53" s="2382" t="str">
        <f>'XM.GUI MAIL'!E53</f>
        <v xml:space="preserve">6~10 </v>
      </c>
      <c r="F53" s="2029" t="str">
        <f>'XM.GUI MAIL'!F53</f>
        <v>(7±1)</v>
      </c>
      <c r="G53" s="1413">
        <f>'XM.GUI MAIL'!G53</f>
        <v>7</v>
      </c>
      <c r="H53" s="91">
        <f>XM.HN!B36</f>
        <v>18.899999999999999</v>
      </c>
      <c r="I53" s="1838">
        <f>(H53*0.4237)-1.0461</f>
        <v>6.96183</v>
      </c>
      <c r="J53" s="1848">
        <f>($G$53-I53)*575/100</f>
        <v>0.21947750000000021</v>
      </c>
      <c r="K53" s="1835" t="s">
        <v>8</v>
      </c>
      <c r="L53" s="1836">
        <f t="shared" si="11"/>
        <v>0.21947750000000021</v>
      </c>
      <c r="M53" s="1836"/>
      <c r="N53" s="1839" t="s">
        <v>10</v>
      </c>
      <c r="O53" s="89">
        <f>XM.HN!C36</f>
        <v>19</v>
      </c>
      <c r="P53" s="1838">
        <f>(O53*0.4237)-1.0461</f>
        <v>7.0042</v>
      </c>
      <c r="Q53" s="1848">
        <f>($G$53-P53)*575/100</f>
        <v>-2.4149999999999894E-2</v>
      </c>
      <c r="R53" s="1835" t="s">
        <v>8</v>
      </c>
      <c r="S53" s="1836">
        <f t="shared" si="12"/>
        <v>0</v>
      </c>
      <c r="T53" s="1836"/>
      <c r="U53" s="1839" t="s">
        <v>10</v>
      </c>
      <c r="V53" s="274">
        <f>XM.HN!D36</f>
        <v>18.2</v>
      </c>
      <c r="W53" s="1838">
        <f>(V53*0.4237)-1.0461</f>
        <v>6.6652399999999998</v>
      </c>
      <c r="X53" s="1848">
        <f>($G$53-W53)*575/100</f>
        <v>1.9248700000000012</v>
      </c>
      <c r="Y53" s="1835" t="s">
        <v>8</v>
      </c>
      <c r="Z53" s="1836">
        <f t="shared" si="13"/>
        <v>1.9248700000000012</v>
      </c>
      <c r="AA53" s="1836"/>
      <c r="AB53" s="1839" t="s">
        <v>10</v>
      </c>
      <c r="AC53" s="274">
        <f>XM.HN!E36</f>
        <v>18.8</v>
      </c>
      <c r="AD53" s="1838">
        <f>(AC53*0.4237)-1.0461</f>
        <v>6.9194600000000008</v>
      </c>
      <c r="AE53" s="1848">
        <f>($G$53-AD53)*575/100</f>
        <v>0.46310499999999521</v>
      </c>
      <c r="AF53" s="1835" t="s">
        <v>8</v>
      </c>
      <c r="AG53" s="1836">
        <f t="shared" si="14"/>
        <v>0.46310499999999521</v>
      </c>
      <c r="AH53" s="1836"/>
      <c r="AI53" s="1839" t="s">
        <v>10</v>
      </c>
      <c r="AJ53" s="274">
        <f>XM.HN!F36</f>
        <v>0</v>
      </c>
      <c r="AK53" s="1838">
        <v>7.2</v>
      </c>
      <c r="AL53" s="1848">
        <f>($G$53-AK53)*575/100</f>
        <v>-1.150000000000001</v>
      </c>
      <c r="AM53" s="1835" t="s">
        <v>8</v>
      </c>
      <c r="AN53" s="1836">
        <f t="shared" si="15"/>
        <v>0</v>
      </c>
      <c r="AO53" s="1836"/>
      <c r="AP53" s="1839" t="s">
        <v>10</v>
      </c>
      <c r="AQ53" s="274">
        <f>XM.HN!G36</f>
        <v>20.2</v>
      </c>
      <c r="AR53" s="1838">
        <v>7.1</v>
      </c>
      <c r="AS53" s="1848">
        <f>($G$53-AR53)*575/100</f>
        <v>-0.57499999999999796</v>
      </c>
      <c r="AT53" s="1835" t="s">
        <v>8</v>
      </c>
      <c r="AU53" s="1836">
        <f t="shared" si="16"/>
        <v>0</v>
      </c>
      <c r="AV53" s="1836"/>
      <c r="AW53" s="1837" t="s">
        <v>10</v>
      </c>
      <c r="AY53" s="1838">
        <v>7.7668600000000003</v>
      </c>
      <c r="AZ53" s="274">
        <v>-4.4094450000000016</v>
      </c>
      <c r="BA53" s="274" t="s">
        <v>8</v>
      </c>
      <c r="BB53" s="274">
        <v>0</v>
      </c>
      <c r="BD53" s="274" t="s">
        <v>10</v>
      </c>
    </row>
    <row r="54" spans="1:56" ht="34.5" customHeight="1">
      <c r="A54" s="285" t="s">
        <v>270</v>
      </c>
      <c r="B54" s="1028" t="s">
        <v>215</v>
      </c>
      <c r="C54" s="288" t="s">
        <v>121</v>
      </c>
      <c r="D54" s="1034" t="s">
        <v>5</v>
      </c>
      <c r="E54" s="2382" t="str">
        <f>'XM.GUI MAIL'!E54</f>
        <v>2~2.5</v>
      </c>
      <c r="F54" s="2029" t="str">
        <f>'XM.GUI MAIL'!F54</f>
        <v>(2.3±0.1 )</v>
      </c>
      <c r="G54" s="1413">
        <f>'XM.GUI MAIL'!G54</f>
        <v>0</v>
      </c>
      <c r="H54" s="91"/>
      <c r="I54" s="1838">
        <v>2.35</v>
      </c>
      <c r="J54" s="1848"/>
      <c r="K54" s="1841"/>
      <c r="L54" s="1841"/>
      <c r="M54" s="1841"/>
      <c r="N54" s="1842"/>
      <c r="O54" s="89"/>
      <c r="P54" s="1838">
        <f>XM.HN!C44</f>
        <v>2.2999999999999998</v>
      </c>
      <c r="Q54" s="1849"/>
      <c r="R54" s="1849"/>
      <c r="S54" s="1849"/>
      <c r="T54" s="1849"/>
      <c r="U54" s="1850"/>
      <c r="W54" s="1838">
        <f>XM.HN!D44</f>
        <v>2.2999999999999998</v>
      </c>
      <c r="X54" s="1849"/>
      <c r="Y54" s="1849"/>
      <c r="Z54" s="1849"/>
      <c r="AA54" s="1849"/>
      <c r="AB54" s="1850"/>
      <c r="AD54" s="1838">
        <f>XM.HN!E44</f>
        <v>2.2000000000000002</v>
      </c>
      <c r="AE54" s="1849"/>
      <c r="AF54" s="1849"/>
      <c r="AG54" s="1849"/>
      <c r="AH54" s="1849"/>
      <c r="AI54" s="1850"/>
      <c r="AK54" s="1838">
        <v>2.23</v>
      </c>
      <c r="AL54" s="1849"/>
      <c r="AM54" s="1849"/>
      <c r="AN54" s="1849"/>
      <c r="AO54" s="1849"/>
      <c r="AP54" s="1850"/>
      <c r="AR54" s="1838">
        <f>XM.HN!G44</f>
        <v>2.2000000000000002</v>
      </c>
      <c r="AS54" s="1848"/>
      <c r="AT54" s="1841"/>
      <c r="AU54" s="1841"/>
      <c r="AV54" s="1841"/>
      <c r="AW54" s="1880"/>
      <c r="AY54" s="1838">
        <v>2.4</v>
      </c>
    </row>
    <row r="55" spans="1:56" ht="34.5" customHeight="1">
      <c r="A55" s="286" t="s">
        <v>271</v>
      </c>
      <c r="B55" s="1028" t="s">
        <v>215</v>
      </c>
      <c r="C55" s="1029" t="s">
        <v>59</v>
      </c>
      <c r="D55" s="1034" t="s">
        <v>6</v>
      </c>
      <c r="E55" s="2382" t="str">
        <f>'XM.GUI MAIL'!E55</f>
        <v xml:space="preserve">40~50 </v>
      </c>
      <c r="F55" s="2029" t="str">
        <f>'XM.GUI MAIL'!F55</f>
        <v>(45±5)</v>
      </c>
      <c r="G55" s="1409">
        <f>'XM.GUI MAIL'!G55</f>
        <v>0.45</v>
      </c>
      <c r="H55" s="91">
        <f>XM.HN!B38</f>
        <v>3.8</v>
      </c>
      <c r="I55" s="1843">
        <f>(1*H55*36.5)/(1*10)/32%/100</f>
        <v>0.43343749999999998</v>
      </c>
      <c r="J55" s="1844">
        <f>($G$55-I55)*2122</f>
        <v>35.145625000000074</v>
      </c>
      <c r="K55" s="1845" t="s">
        <v>8</v>
      </c>
      <c r="L55" s="1846">
        <f>IF(J55&lt;0,0,J55)</f>
        <v>35.145625000000074</v>
      </c>
      <c r="M55" s="1846"/>
      <c r="N55" s="1851" t="s">
        <v>10</v>
      </c>
      <c r="O55" s="104">
        <f>XM.HN!C38</f>
        <v>4</v>
      </c>
      <c r="P55" s="1843">
        <f>(1*O55*36.5)/(1*10)/32%/100</f>
        <v>0.45624999999999999</v>
      </c>
      <c r="Q55" s="1844">
        <f>($G$55-P55)*2122</f>
        <v>-13.262499999999953</v>
      </c>
      <c r="R55" s="1845" t="s">
        <v>8</v>
      </c>
      <c r="S55" s="1846">
        <f>IF(Q55&lt;0,0,Q55)</f>
        <v>0</v>
      </c>
      <c r="T55" s="1846"/>
      <c r="U55" s="1851" t="s">
        <v>10</v>
      </c>
      <c r="V55" s="91">
        <f>XM.HN!D38</f>
        <v>4.1500000000000004</v>
      </c>
      <c r="W55" s="1843">
        <f>(1*V55*36.5)/(1*10)/32%/100</f>
        <v>0.47335937500000008</v>
      </c>
      <c r="X55" s="1844">
        <f>($G$55-W55)*2122</f>
        <v>-49.568593750000147</v>
      </c>
      <c r="Y55" s="1845" t="s">
        <v>8</v>
      </c>
      <c r="Z55" s="1846">
        <f>IF(X55&lt;0,0,X55)</f>
        <v>0</v>
      </c>
      <c r="AA55" s="1846"/>
      <c r="AB55" s="1851" t="s">
        <v>10</v>
      </c>
      <c r="AC55" s="91">
        <f>XM.HN!E38</f>
        <v>4</v>
      </c>
      <c r="AD55" s="1843">
        <f>(1*AC55*36.5)/(1*10)/32%/100</f>
        <v>0.45624999999999999</v>
      </c>
      <c r="AE55" s="1844">
        <f>($G$55-AD55)*2122</f>
        <v>-13.262499999999953</v>
      </c>
      <c r="AF55" s="1845" t="s">
        <v>8</v>
      </c>
      <c r="AG55" s="1846">
        <f>IF(AE55&lt;0,0,AE55)</f>
        <v>0</v>
      </c>
      <c r="AH55" s="1846"/>
      <c r="AI55" s="1851" t="s">
        <v>10</v>
      </c>
      <c r="AJ55" s="91">
        <f>XM.HN!F38</f>
        <v>0</v>
      </c>
      <c r="AK55" s="1843">
        <v>0.45200000000000001</v>
      </c>
      <c r="AL55" s="1844">
        <f>($G$55-AK55)*2122</f>
        <v>-4.2440000000000033</v>
      </c>
      <c r="AM55" s="1845" t="s">
        <v>8</v>
      </c>
      <c r="AN55" s="1846">
        <f>IF(AL55&lt;0,0,AL55)</f>
        <v>0</v>
      </c>
      <c r="AO55" s="1846"/>
      <c r="AP55" s="1851" t="s">
        <v>10</v>
      </c>
      <c r="AQ55" s="91">
        <f>XM.HN!G38</f>
        <v>3.8</v>
      </c>
      <c r="AR55" s="1843">
        <f>(1*AQ55*36.5)/(1*10)/32%/100</f>
        <v>0.43343749999999998</v>
      </c>
      <c r="AS55" s="1848">
        <f>($G$55-AR55)*2122</f>
        <v>35.145625000000074</v>
      </c>
      <c r="AT55" s="1845" t="s">
        <v>8</v>
      </c>
      <c r="AU55" s="1846">
        <f>IF(AS55&lt;0,0,AS55)</f>
        <v>35.145625000000074</v>
      </c>
      <c r="AV55" s="1846"/>
      <c r="AW55" s="1847" t="s">
        <v>10</v>
      </c>
      <c r="AY55" s="1843">
        <v>0.45300000000000001</v>
      </c>
      <c r="AZ55" s="274">
        <v>-6.3660000000000059</v>
      </c>
      <c r="BA55" s="274" t="s">
        <v>8</v>
      </c>
      <c r="BB55" s="274">
        <v>0</v>
      </c>
      <c r="BD55" s="274" t="s">
        <v>10</v>
      </c>
    </row>
    <row r="56" spans="1:56" ht="34.5" hidden="1" customHeight="1">
      <c r="A56" s="286" t="s">
        <v>272</v>
      </c>
      <c r="B56" s="1028" t="s">
        <v>215</v>
      </c>
      <c r="C56" s="1029" t="s">
        <v>60</v>
      </c>
      <c r="D56" s="1034" t="s">
        <v>6</v>
      </c>
      <c r="E56" s="2382" t="str">
        <f>'XM.GUI MAIL'!E56</f>
        <v>(22±5) =17~27</v>
      </c>
      <c r="F56" s="2029" t="str">
        <f>'XM.GUI MAIL'!F56</f>
        <v>(22±5)</v>
      </c>
      <c r="G56" s="1409">
        <f>'XM.GUI MAIL'!G56</f>
        <v>0.22</v>
      </c>
      <c r="H56" s="91">
        <f>XM.HN!B39</f>
        <v>0</v>
      </c>
      <c r="I56" s="1843">
        <f>(1*H56*36.5)/(1*10)/32%/100</f>
        <v>0</v>
      </c>
      <c r="J56" s="1844">
        <f>($G$56-I56)*612</f>
        <v>134.64000000000001</v>
      </c>
      <c r="K56" s="1845" t="s">
        <v>8</v>
      </c>
      <c r="L56" s="1846">
        <f>IF(J56&lt;0,0,J56)</f>
        <v>134.64000000000001</v>
      </c>
      <c r="M56" s="1846"/>
      <c r="N56" s="1851" t="s">
        <v>10</v>
      </c>
      <c r="O56" s="104">
        <f>XM.HN!C39</f>
        <v>0</v>
      </c>
      <c r="P56" s="1843">
        <f>(1*O56*36.5)/(1*10)/32%/100</f>
        <v>0</v>
      </c>
      <c r="Q56" s="1844">
        <f>($G$56-P56)*612</f>
        <v>134.64000000000001</v>
      </c>
      <c r="R56" s="1845" t="s">
        <v>8</v>
      </c>
      <c r="S56" s="1846">
        <f>IF(Q56&lt;0,0,Q56)</f>
        <v>134.64000000000001</v>
      </c>
      <c r="T56" s="1846"/>
      <c r="U56" s="1851" t="s">
        <v>10</v>
      </c>
      <c r="V56" s="91">
        <f>XM.HN!D39</f>
        <v>0</v>
      </c>
      <c r="W56" s="1843">
        <f>(1*V56*36.5)/(1*10)/32%/100</f>
        <v>0</v>
      </c>
      <c r="X56" s="1844">
        <f>($G$56-W56)*612</f>
        <v>134.64000000000001</v>
      </c>
      <c r="Y56" s="1845" t="s">
        <v>8</v>
      </c>
      <c r="Z56" s="1846">
        <f>IF(X56&lt;0,0,X56)</f>
        <v>134.64000000000001</v>
      </c>
      <c r="AA56" s="1846"/>
      <c r="AB56" s="1851" t="s">
        <v>10</v>
      </c>
      <c r="AC56" s="91">
        <f>XM.HN!E39</f>
        <v>0</v>
      </c>
      <c r="AD56" s="1843">
        <f>(1*AC56*36.5)/(1*10)/32%/100</f>
        <v>0</v>
      </c>
      <c r="AE56" s="1844">
        <f>($G$56-AD56)*612</f>
        <v>134.64000000000001</v>
      </c>
      <c r="AF56" s="1845" t="s">
        <v>8</v>
      </c>
      <c r="AG56" s="1846">
        <f>IF(AE56&lt;0,0,AE56)</f>
        <v>134.64000000000001</v>
      </c>
      <c r="AH56" s="1846"/>
      <c r="AI56" s="1851" t="s">
        <v>10</v>
      </c>
      <c r="AJ56" s="91">
        <f>XM.HN!F39</f>
        <v>0</v>
      </c>
      <c r="AK56" s="1843">
        <f>(1*AJ56*36.5)/(1*10)/32%/100</f>
        <v>0</v>
      </c>
      <c r="AL56" s="1844">
        <f>($G$56-AK56)*612</f>
        <v>134.64000000000001</v>
      </c>
      <c r="AM56" s="1845" t="s">
        <v>8</v>
      </c>
      <c r="AN56" s="1846">
        <f>IF(AL56&lt;0,0,AL56)</f>
        <v>134.64000000000001</v>
      </c>
      <c r="AO56" s="1846"/>
      <c r="AP56" s="1851" t="s">
        <v>10</v>
      </c>
      <c r="AQ56" s="91">
        <f>XM.HN!G39</f>
        <v>0</v>
      </c>
      <c r="AR56" s="1843">
        <f>(1*AQ56*36.5)/(1*10)/32%/100</f>
        <v>0</v>
      </c>
      <c r="AS56" s="1848">
        <f>($G$56-AR56)*612</f>
        <v>134.64000000000001</v>
      </c>
      <c r="AT56" s="1845" t="s">
        <v>8</v>
      </c>
      <c r="AU56" s="1846">
        <f>IF(AS56&lt;0,0,AS56)</f>
        <v>134.64000000000001</v>
      </c>
      <c r="AV56" s="1846"/>
      <c r="AW56" s="1847" t="s">
        <v>10</v>
      </c>
      <c r="AY56" s="1843">
        <v>0</v>
      </c>
      <c r="AZ56" s="274">
        <v>134.64000000000001</v>
      </c>
      <c r="BA56" s="274" t="s">
        <v>8</v>
      </c>
      <c r="BB56" s="274">
        <v>134.64000000000001</v>
      </c>
      <c r="BD56" s="274" t="s">
        <v>10</v>
      </c>
    </row>
    <row r="57" spans="1:56" ht="34.5" hidden="1" customHeight="1">
      <c r="A57" s="286" t="s">
        <v>273</v>
      </c>
      <c r="B57" s="1028" t="s">
        <v>215</v>
      </c>
      <c r="C57" s="1029" t="s">
        <v>61</v>
      </c>
      <c r="D57" s="47" t="s">
        <v>6</v>
      </c>
      <c r="E57" s="2382" t="str">
        <f>'XM.GUI MAIL'!E57</f>
        <v>5~15</v>
      </c>
      <c r="F57" s="2029" t="str">
        <f>'XM.GUI MAIL'!F57</f>
        <v>(10±3)</v>
      </c>
      <c r="G57" s="1409">
        <f>'XM.GUI MAIL'!G57</f>
        <v>0.1</v>
      </c>
      <c r="H57" s="91">
        <f>XM.HN!B40</f>
        <v>0</v>
      </c>
      <c r="I57" s="1843">
        <f>(1*H57*36.5)/(5*10)/32%/100</f>
        <v>0</v>
      </c>
      <c r="J57" s="1844">
        <f>($G$57-I57)*575</f>
        <v>57.5</v>
      </c>
      <c r="K57" s="1845" t="s">
        <v>8</v>
      </c>
      <c r="L57" s="1846">
        <f>IF(J57&lt;0,0,J57)</f>
        <v>57.5</v>
      </c>
      <c r="M57" s="1846"/>
      <c r="N57" s="1847" t="s">
        <v>10</v>
      </c>
      <c r="O57" s="92">
        <f>XM.HN!C40</f>
        <v>0</v>
      </c>
      <c r="P57" s="1843">
        <f>(1*O57*36.5)/(5*10)/32%/100</f>
        <v>0</v>
      </c>
      <c r="Q57" s="1844">
        <f>($G$57-P57)*575</f>
        <v>57.5</v>
      </c>
      <c r="R57" s="1845" t="s">
        <v>8</v>
      </c>
      <c r="S57" s="1846">
        <f>IF(Q57&lt;0,0,Q57)</f>
        <v>57.5</v>
      </c>
      <c r="T57" s="1846"/>
      <c r="U57" s="1847" t="s">
        <v>10</v>
      </c>
      <c r="V57" s="92">
        <f>XM.HN!D40</f>
        <v>0</v>
      </c>
      <c r="W57" s="1843">
        <f>(1*V57*36.5)/(5*10)/32%/100</f>
        <v>0</v>
      </c>
      <c r="X57" s="1844">
        <f>($G$57-W57)*575</f>
        <v>57.5</v>
      </c>
      <c r="Y57" s="1845" t="s">
        <v>8</v>
      </c>
      <c r="Z57" s="1846">
        <f>IF(X57&lt;0,0,X57)</f>
        <v>57.5</v>
      </c>
      <c r="AA57" s="1846"/>
      <c r="AB57" s="1847" t="s">
        <v>10</v>
      </c>
      <c r="AC57" s="92">
        <f>XM.HN!E40</f>
        <v>0</v>
      </c>
      <c r="AD57" s="1843">
        <f>(1*AC57*36.5)/(5*10)/32%/100</f>
        <v>0</v>
      </c>
      <c r="AE57" s="1844">
        <f>($G$57-AD57)*575</f>
        <v>57.5</v>
      </c>
      <c r="AF57" s="1845" t="s">
        <v>8</v>
      </c>
      <c r="AG57" s="1846">
        <f>IF(AE57&lt;0,0,AE57)</f>
        <v>57.5</v>
      </c>
      <c r="AH57" s="1846"/>
      <c r="AI57" s="1847" t="s">
        <v>10</v>
      </c>
      <c r="AJ57" s="91">
        <f>XM.HN!F40</f>
        <v>0</v>
      </c>
      <c r="AK57" s="1843">
        <f>(1*AJ57*36.5)/(5*10)/32%/100</f>
        <v>0</v>
      </c>
      <c r="AL57" s="1844">
        <f>($G$57-AK57)*575</f>
        <v>57.5</v>
      </c>
      <c r="AM57" s="1845" t="s">
        <v>8</v>
      </c>
      <c r="AN57" s="1846">
        <f>IF(AL57&lt;0,0,AL57)</f>
        <v>57.5</v>
      </c>
      <c r="AO57" s="1846"/>
      <c r="AP57" s="1847" t="s">
        <v>10</v>
      </c>
      <c r="AQ57" s="91">
        <f>XM.HN!G40</f>
        <v>0</v>
      </c>
      <c r="AR57" s="1843">
        <f>(1*AQ57*36.5)/(5*10)/32%/100</f>
        <v>0</v>
      </c>
      <c r="AS57" s="1841">
        <f>($G$57-AR57)*575</f>
        <v>57.5</v>
      </c>
      <c r="AT57" s="1845" t="s">
        <v>8</v>
      </c>
      <c r="AU57" s="1846">
        <f>IF(AS57&lt;0,0,AS57)</f>
        <v>57.5</v>
      </c>
      <c r="AV57" s="1846"/>
      <c r="AW57" s="1847" t="s">
        <v>10</v>
      </c>
      <c r="AY57" s="1843">
        <v>0</v>
      </c>
      <c r="AZ57" s="274">
        <v>57.5</v>
      </c>
      <c r="BA57" s="274" t="s">
        <v>8</v>
      </c>
      <c r="BB57" s="274">
        <v>57.5</v>
      </c>
      <c r="BD57" s="274" t="s">
        <v>10</v>
      </c>
    </row>
    <row r="58" spans="1:56" ht="34.5" customHeight="1">
      <c r="A58" s="286" t="s">
        <v>274</v>
      </c>
      <c r="B58" s="1028" t="s">
        <v>215</v>
      </c>
      <c r="C58" s="1029" t="s">
        <v>147</v>
      </c>
      <c r="D58" s="1073" t="s">
        <v>996</v>
      </c>
      <c r="E58" s="2382" t="str">
        <f>'XM.GUI MAIL'!E58</f>
        <v>0.5~1.5</v>
      </c>
      <c r="F58" s="2029" t="str">
        <f>'XM.GUI MAIL'!F58</f>
        <v>(1±0.4)</v>
      </c>
      <c r="G58" s="1409">
        <f>'XM.GUI MAIL'!G58</f>
        <v>0.01</v>
      </c>
      <c r="H58" s="91">
        <f>XM.HN!B41</f>
        <v>9.4</v>
      </c>
      <c r="I58" s="1876">
        <f>(H58*0.126)/100</f>
        <v>1.1844E-2</v>
      </c>
      <c r="J58" s="1844">
        <f>($G$23-I58)*530/65%/1.51</f>
        <v>-0.99574121242995417</v>
      </c>
      <c r="K58" s="1845" t="s">
        <v>8</v>
      </c>
      <c r="L58" s="1988">
        <f>IF(J58&lt;0,0,J58)</f>
        <v>0</v>
      </c>
      <c r="M58" s="1988"/>
      <c r="N58" s="1847" t="s">
        <v>10</v>
      </c>
      <c r="O58" s="92">
        <f>XM.HN!C41</f>
        <v>8.4</v>
      </c>
      <c r="P58" s="1876">
        <f>(O58*0.126)/100</f>
        <v>1.0584E-2</v>
      </c>
      <c r="Q58" s="1844">
        <f>($G$23-P58)*530/65%/1.51</f>
        <v>-0.31535404992358601</v>
      </c>
      <c r="R58" s="1845" t="s">
        <v>8</v>
      </c>
      <c r="S58" s="1988">
        <f>IF(Q58&lt;0,0,Q58)</f>
        <v>0</v>
      </c>
      <c r="T58" s="1988"/>
      <c r="U58" s="1847" t="s">
        <v>10</v>
      </c>
      <c r="V58" s="92">
        <f>XM.HN!D41</f>
        <v>8.1999999999999993</v>
      </c>
      <c r="W58" s="1876">
        <f>(V58*0.126)/100</f>
        <v>1.0331999999999999E-2</v>
      </c>
      <c r="X58" s="1844">
        <f>($G$23-W58)*530/65%/1.51</f>
        <v>-0.17927661742231221</v>
      </c>
      <c r="Y58" s="1845" t="s">
        <v>8</v>
      </c>
      <c r="Z58" s="1988">
        <f>IF(X58&lt;0,0,X58)</f>
        <v>0</v>
      </c>
      <c r="AA58" s="1988"/>
      <c r="AB58" s="1847" t="s">
        <v>10</v>
      </c>
      <c r="AC58" s="92">
        <f>XM.HN!E41</f>
        <v>9.8000000000000007</v>
      </c>
      <c r="AD58" s="1876">
        <f>(AC58*0.126)/100</f>
        <v>1.2348000000000001E-2</v>
      </c>
      <c r="AE58" s="1844">
        <f>($G$23-AD58)*530/65%/1.51</f>
        <v>-1.2678960774325019</v>
      </c>
      <c r="AF58" s="1845" t="s">
        <v>8</v>
      </c>
      <c r="AG58" s="1988">
        <f>IF(AE58&lt;0,0,AE58)</f>
        <v>0</v>
      </c>
      <c r="AH58" s="1988"/>
      <c r="AI58" s="1847" t="s">
        <v>10</v>
      </c>
      <c r="AJ58" s="91">
        <f>XM.HN!F41</f>
        <v>0</v>
      </c>
      <c r="AK58" s="1876">
        <v>1.2E-2</v>
      </c>
      <c r="AL58" s="1844">
        <f>($G$23-AK58)*530/65%/1.51</f>
        <v>-1.0799796230259806</v>
      </c>
      <c r="AM58" s="1845" t="s">
        <v>8</v>
      </c>
      <c r="AN58" s="1988">
        <f>IF(AL58&lt;0,0,AL58)</f>
        <v>0</v>
      </c>
      <c r="AO58" s="1988"/>
      <c r="AP58" s="1847" t="s">
        <v>10</v>
      </c>
      <c r="AQ58" s="91">
        <f>XM.HN!G41</f>
        <v>7.5</v>
      </c>
      <c r="AR58" s="1876">
        <f>(AQ58*0.126)/100</f>
        <v>9.4500000000000001E-3</v>
      </c>
      <c r="AS58" s="1844">
        <f>($G$23-AR58)*530/65%/1.51</f>
        <v>0.29699439633214475</v>
      </c>
      <c r="AT58" s="1845" t="s">
        <v>8</v>
      </c>
      <c r="AU58" s="1988">
        <f>IF(AS58&lt;0,0,AS58)</f>
        <v>0.29699439633214475</v>
      </c>
      <c r="AV58" s="1988"/>
      <c r="AW58" s="1847" t="s">
        <v>10</v>
      </c>
      <c r="AY58" s="1876">
        <v>1.008E-2</v>
      </c>
      <c r="AZ58" s="274">
        <v>-4.3199184921039337E-2</v>
      </c>
      <c r="BA58" s="274" t="s">
        <v>8</v>
      </c>
      <c r="BB58" s="274">
        <v>0</v>
      </c>
      <c r="BD58" s="274" t="s">
        <v>10</v>
      </c>
    </row>
    <row r="59" spans="1:56" ht="48" customHeight="1">
      <c r="A59" s="285" t="s">
        <v>275</v>
      </c>
      <c r="B59" s="1028" t="s">
        <v>215</v>
      </c>
      <c r="C59" s="302" t="s">
        <v>1161</v>
      </c>
      <c r="D59" s="47" t="s">
        <v>3</v>
      </c>
      <c r="E59" s="13" t="str">
        <f>'XM.GUI MAIL'!E59</f>
        <v>5~8</v>
      </c>
      <c r="F59" s="2029" t="str">
        <f>'XM.GUI MAIL'!F59</f>
        <v>(6±0.5)</v>
      </c>
      <c r="G59" s="1413">
        <f>'XM.GUI MAIL'!G59</f>
        <v>6</v>
      </c>
      <c r="H59" s="91">
        <f>XM.HN!B42</f>
        <v>5.9</v>
      </c>
      <c r="I59" s="1952">
        <f>H59*0.8+1.4</f>
        <v>6.120000000000001</v>
      </c>
      <c r="J59" s="1835">
        <f>($G$59-I59)*575/95</f>
        <v>-0.72631578947369024</v>
      </c>
      <c r="K59" s="1845" t="s">
        <v>8</v>
      </c>
      <c r="L59" s="1988">
        <f>IF(J59&lt;0,0,J59)</f>
        <v>0</v>
      </c>
      <c r="M59" s="2192"/>
      <c r="N59" s="1851" t="s">
        <v>10</v>
      </c>
      <c r="O59" s="92">
        <f>XM.HN!C42</f>
        <v>0</v>
      </c>
      <c r="P59" s="1952" t="s">
        <v>1623</v>
      </c>
      <c r="Q59" s="1835" t="e">
        <f>($G$59-P59)*575/95</f>
        <v>#VALUE!</v>
      </c>
      <c r="R59" s="1845" t="s">
        <v>8</v>
      </c>
      <c r="S59" s="1988"/>
      <c r="T59" s="2192"/>
      <c r="U59" s="1851" t="s">
        <v>10</v>
      </c>
      <c r="V59" s="92">
        <f>XM.HN!D42</f>
        <v>0</v>
      </c>
      <c r="W59" s="1952" t="s">
        <v>1623</v>
      </c>
      <c r="X59" s="1835" t="e">
        <f>($G$59-W59)*575/95</f>
        <v>#VALUE!</v>
      </c>
      <c r="Y59" s="1845" t="s">
        <v>8</v>
      </c>
      <c r="Z59" s="1988"/>
      <c r="AA59" s="2192"/>
      <c r="AB59" s="1851" t="s">
        <v>10</v>
      </c>
      <c r="AC59" s="92">
        <f>XM.HN!E42</f>
        <v>0</v>
      </c>
      <c r="AD59" s="1952" t="s">
        <v>1623</v>
      </c>
      <c r="AE59" s="1835" t="e">
        <f>($G$59-AD59)*575/95</f>
        <v>#VALUE!</v>
      </c>
      <c r="AF59" s="1845" t="s">
        <v>8</v>
      </c>
      <c r="AG59" s="1988"/>
      <c r="AH59" s="2192"/>
      <c r="AI59" s="1851" t="s">
        <v>10</v>
      </c>
      <c r="AJ59" s="92">
        <f>XM.HN!F42</f>
        <v>0</v>
      </c>
      <c r="AK59" s="1952" t="s">
        <v>1623</v>
      </c>
      <c r="AL59" s="1835" t="e">
        <f>($G$59-AK59)*575/95</f>
        <v>#VALUE!</v>
      </c>
      <c r="AM59" s="1845" t="s">
        <v>8</v>
      </c>
      <c r="AN59" s="1988"/>
      <c r="AO59" s="2192"/>
      <c r="AP59" s="1851" t="s">
        <v>10</v>
      </c>
      <c r="AQ59" s="92">
        <f>XM.HN!G42</f>
        <v>0</v>
      </c>
      <c r="AR59" s="1952" t="s">
        <v>1623</v>
      </c>
      <c r="AS59" s="1835" t="e">
        <f>($G$59-AR59)*575/95</f>
        <v>#VALUE!</v>
      </c>
      <c r="AT59" s="1845" t="s">
        <v>8</v>
      </c>
      <c r="AU59" s="1988"/>
      <c r="AV59" s="2192"/>
      <c r="AW59" s="1851" t="s">
        <v>10</v>
      </c>
      <c r="AY59" s="1989" t="s">
        <v>1623</v>
      </c>
      <c r="AZ59" s="274" t="e">
        <v>#VALUE!</v>
      </c>
      <c r="BA59" s="274" t="s">
        <v>8</v>
      </c>
      <c r="BD59" s="274" t="s">
        <v>10</v>
      </c>
    </row>
    <row r="60" spans="1:56" ht="41.25" customHeight="1">
      <c r="A60" s="47" t="s">
        <v>276</v>
      </c>
      <c r="B60" s="1028" t="s">
        <v>215</v>
      </c>
      <c r="C60" s="303" t="s">
        <v>121</v>
      </c>
      <c r="D60" s="47" t="s">
        <v>5</v>
      </c>
      <c r="E60" s="13" t="str">
        <f>'XM.GUI MAIL'!E60</f>
        <v>1.8~2.4</v>
      </c>
      <c r="F60" s="2029" t="str">
        <f>'XM.GUI MAIL'!F60</f>
        <v>(2.1±0.1 )</v>
      </c>
      <c r="G60" s="1410"/>
      <c r="H60" s="91"/>
      <c r="I60" s="1869">
        <f>XM.HN!B43</f>
        <v>2.2000000000000002</v>
      </c>
      <c r="J60" s="2219"/>
      <c r="K60" s="2219"/>
      <c r="L60" s="2220"/>
      <c r="M60" s="2402"/>
      <c r="N60" s="2403"/>
      <c r="O60" s="2404"/>
      <c r="P60" s="1952" t="s">
        <v>1623</v>
      </c>
      <c r="Q60" s="1835" t="e">
        <f>($G$59-P60)*575/95</f>
        <v>#VALUE!</v>
      </c>
      <c r="R60" s="1845" t="s">
        <v>8</v>
      </c>
      <c r="S60" s="1988"/>
      <c r="T60" s="2402"/>
      <c r="U60" s="2403"/>
      <c r="V60" s="2404"/>
      <c r="W60" s="1952" t="s">
        <v>1623</v>
      </c>
      <c r="X60" s="1835" t="e">
        <f>($G$59-W60)*575/95</f>
        <v>#VALUE!</v>
      </c>
      <c r="Y60" s="1845" t="s">
        <v>8</v>
      </c>
      <c r="Z60" s="1988"/>
      <c r="AA60" s="2402"/>
      <c r="AB60" s="2403"/>
      <c r="AC60" s="2404"/>
      <c r="AD60" s="1952" t="s">
        <v>1623</v>
      </c>
      <c r="AE60" s="1835" t="e">
        <f>($G$59-AD60)*575/95</f>
        <v>#VALUE!</v>
      </c>
      <c r="AF60" s="1845" t="s">
        <v>8</v>
      </c>
      <c r="AG60" s="1988"/>
      <c r="AH60" s="2402"/>
      <c r="AI60" s="2403"/>
      <c r="AJ60" s="2404"/>
      <c r="AK60" s="1952" t="s">
        <v>1623</v>
      </c>
      <c r="AL60" s="1835" t="e">
        <f>($G$59-AK60)*575/95</f>
        <v>#VALUE!</v>
      </c>
      <c r="AM60" s="1845" t="s">
        <v>8</v>
      </c>
      <c r="AN60" s="1988"/>
      <c r="AO60" s="2402"/>
      <c r="AP60" s="2403"/>
      <c r="AQ60" s="2404"/>
      <c r="AR60" s="1952" t="s">
        <v>1623</v>
      </c>
      <c r="AS60" s="1835" t="e">
        <f>($G$59-AR60)*575/95</f>
        <v>#VALUE!</v>
      </c>
      <c r="AT60" s="1845" t="s">
        <v>8</v>
      </c>
      <c r="AU60" s="1988"/>
      <c r="AV60" s="2402"/>
      <c r="AW60" s="2403"/>
      <c r="AY60" s="1990" t="s">
        <v>1623</v>
      </c>
    </row>
    <row r="61" spans="1:56" s="211" customFormat="1" ht="54" customHeight="1">
      <c r="A61" s="295" t="s">
        <v>74</v>
      </c>
      <c r="B61" s="296"/>
      <c r="C61" s="296"/>
      <c r="D61" s="296"/>
      <c r="E61" s="306"/>
      <c r="F61" s="293"/>
      <c r="G61" s="306"/>
      <c r="H61" s="296"/>
      <c r="I61" s="1475"/>
      <c r="J61" s="1475"/>
      <c r="K61" s="1475"/>
      <c r="L61" s="1475"/>
      <c r="M61" s="1475"/>
      <c r="N61" s="1475"/>
      <c r="O61" s="1475"/>
      <c r="P61" s="297"/>
      <c r="Q61" s="1475"/>
      <c r="R61" s="1475"/>
      <c r="S61" s="1475"/>
      <c r="T61" s="1705"/>
      <c r="U61" s="297"/>
      <c r="V61" s="1475"/>
      <c r="W61" s="297"/>
      <c r="X61" s="1475"/>
      <c r="Y61" s="1475"/>
      <c r="Z61" s="1475"/>
      <c r="AA61" s="1475"/>
      <c r="AB61" s="1475"/>
      <c r="AC61" s="1475"/>
      <c r="AD61" s="1475"/>
      <c r="AE61" s="1475"/>
      <c r="AF61" s="1475"/>
      <c r="AG61" s="1475"/>
      <c r="AH61" s="1475"/>
      <c r="AI61" s="1475"/>
      <c r="AJ61" s="297"/>
      <c r="AK61" s="297"/>
      <c r="AL61" s="297"/>
      <c r="AM61" s="297"/>
      <c r="AN61" s="297"/>
      <c r="AO61" s="297"/>
      <c r="AP61" s="297"/>
      <c r="AQ61" s="297"/>
      <c r="AR61" s="297"/>
      <c r="AS61" s="297"/>
      <c r="AT61" s="297"/>
      <c r="AU61" s="297"/>
      <c r="AV61" s="297"/>
      <c r="AW61" s="1039"/>
      <c r="AX61" s="2246"/>
      <c r="AY61" s="274"/>
      <c r="AZ61" s="93"/>
      <c r="BA61" s="93"/>
    </row>
    <row r="62" spans="1:56" ht="44.25" customHeight="1">
      <c r="A62" s="1034" t="s">
        <v>239</v>
      </c>
      <c r="B62" s="1027" t="s">
        <v>318</v>
      </c>
      <c r="C62" s="1025" t="s">
        <v>62</v>
      </c>
      <c r="D62" s="1025" t="s">
        <v>64</v>
      </c>
      <c r="E62" s="1456" t="s">
        <v>1318</v>
      </c>
      <c r="F62" s="2020" t="s">
        <v>1317</v>
      </c>
      <c r="G62" s="1168"/>
      <c r="H62" s="94"/>
      <c r="I62" s="1827" t="s">
        <v>46</v>
      </c>
      <c r="J62" s="1828"/>
      <c r="K62" s="1828"/>
      <c r="L62" s="1828" t="s">
        <v>63</v>
      </c>
      <c r="M62" s="1828"/>
      <c r="N62" s="1883"/>
      <c r="O62" s="1891"/>
      <c r="P62" s="1827" t="s">
        <v>46</v>
      </c>
      <c r="Q62" s="1828"/>
      <c r="R62" s="1828"/>
      <c r="S62" s="1828" t="s">
        <v>63</v>
      </c>
      <c r="T62" s="1828"/>
      <c r="U62" s="1883"/>
      <c r="V62" s="1884"/>
      <c r="W62" s="1827" t="s">
        <v>46</v>
      </c>
      <c r="X62" s="1828"/>
      <c r="Y62" s="1828"/>
      <c r="Z62" s="1828" t="s">
        <v>63</v>
      </c>
      <c r="AA62" s="1828"/>
      <c r="AB62" s="1883"/>
      <c r="AC62" s="1884"/>
      <c r="AD62" s="1827" t="s">
        <v>46</v>
      </c>
      <c r="AE62" s="1828"/>
      <c r="AF62" s="1828"/>
      <c r="AG62" s="1828" t="s">
        <v>63</v>
      </c>
      <c r="AH62" s="1828"/>
      <c r="AI62" s="1883"/>
      <c r="AJ62" s="1884"/>
      <c r="AK62" s="1827" t="s">
        <v>46</v>
      </c>
      <c r="AL62" s="1828"/>
      <c r="AM62" s="1828"/>
      <c r="AN62" s="1828" t="s">
        <v>63</v>
      </c>
      <c r="AO62" s="1828"/>
      <c r="AP62" s="1883"/>
      <c r="AQ62" s="1884"/>
      <c r="AR62" s="1827" t="s">
        <v>46</v>
      </c>
      <c r="AS62" s="1828"/>
      <c r="AT62" s="1828"/>
      <c r="AU62" s="1828" t="s">
        <v>63</v>
      </c>
      <c r="AV62" s="1828"/>
      <c r="AW62" s="1829"/>
      <c r="AY62" s="274" t="s">
        <v>46</v>
      </c>
      <c r="BB62" s="274" t="s">
        <v>63</v>
      </c>
    </row>
    <row r="63" spans="1:56" ht="38.25" customHeight="1">
      <c r="A63" s="1028" t="s">
        <v>277</v>
      </c>
      <c r="B63" s="1028" t="s">
        <v>215</v>
      </c>
      <c r="C63" s="1024" t="s">
        <v>66</v>
      </c>
      <c r="D63" s="99" t="s">
        <v>106</v>
      </c>
      <c r="E63" s="1405" t="str">
        <f>'XM.GUI MAIL'!E63</f>
        <v>50~70</v>
      </c>
      <c r="F63" s="2021" t="str">
        <f>'XM.GUI MAIL'!F63</f>
        <v>(60±5)</v>
      </c>
      <c r="G63" s="1408"/>
      <c r="H63" s="100"/>
      <c r="I63" s="2828">
        <v>58</v>
      </c>
      <c r="J63" s="2819"/>
      <c r="K63" s="2819"/>
      <c r="L63" s="2819">
        <v>56</v>
      </c>
      <c r="M63" s="2819"/>
      <c r="N63" s="2830"/>
      <c r="O63" s="1474"/>
      <c r="P63" s="2828">
        <v>58</v>
      </c>
      <c r="Q63" s="2819"/>
      <c r="R63" s="2819"/>
      <c r="S63" s="2819">
        <v>58</v>
      </c>
      <c r="T63" s="2819"/>
      <c r="U63" s="2830"/>
      <c r="V63" s="291"/>
      <c r="W63" s="2828">
        <v>54</v>
      </c>
      <c r="X63" s="2819"/>
      <c r="Y63" s="2819"/>
      <c r="Z63" s="2819">
        <v>53</v>
      </c>
      <c r="AA63" s="2819"/>
      <c r="AB63" s="2830"/>
      <c r="AC63" s="291"/>
      <c r="AD63" s="2828">
        <v>54</v>
      </c>
      <c r="AE63" s="2819"/>
      <c r="AF63" s="2819"/>
      <c r="AG63" s="2819">
        <v>52</v>
      </c>
      <c r="AH63" s="2819"/>
      <c r="AI63" s="2820"/>
      <c r="AJ63" s="290"/>
      <c r="AK63" s="2828"/>
      <c r="AL63" s="2819"/>
      <c r="AM63" s="2819"/>
      <c r="AN63" s="2819"/>
      <c r="AO63" s="2819"/>
      <c r="AP63" s="2820"/>
      <c r="AQ63" s="290"/>
      <c r="AR63" s="2828">
        <v>54</v>
      </c>
      <c r="AS63" s="2819"/>
      <c r="AT63" s="2819"/>
      <c r="AU63" s="2819">
        <v>52</v>
      </c>
      <c r="AV63" s="2819"/>
      <c r="AW63" s="2820"/>
      <c r="AY63" s="274">
        <v>59</v>
      </c>
      <c r="BB63" s="274">
        <v>58</v>
      </c>
    </row>
    <row r="64" spans="1:56" ht="38.25" customHeight="1">
      <c r="A64" s="1028" t="s">
        <v>278</v>
      </c>
      <c r="B64" s="1028" t="s">
        <v>215</v>
      </c>
      <c r="C64" s="1024" t="s">
        <v>67</v>
      </c>
      <c r="D64" s="99" t="s">
        <v>106</v>
      </c>
      <c r="E64" s="1405" t="str">
        <f>'XM.GUI MAIL'!E64</f>
        <v>50~70</v>
      </c>
      <c r="F64" s="2021" t="str">
        <f>'XM.GUI MAIL'!F64</f>
        <v>(60±5)</v>
      </c>
      <c r="G64" s="1408"/>
      <c r="H64" s="100"/>
      <c r="I64" s="2828">
        <v>59</v>
      </c>
      <c r="J64" s="2819"/>
      <c r="K64" s="2819"/>
      <c r="L64" s="2819">
        <v>60</v>
      </c>
      <c r="M64" s="2819"/>
      <c r="N64" s="2830"/>
      <c r="O64" s="1474"/>
      <c r="P64" s="2828">
        <v>60</v>
      </c>
      <c r="Q64" s="2819"/>
      <c r="R64" s="2819"/>
      <c r="S64" s="2819">
        <v>60</v>
      </c>
      <c r="T64" s="2819"/>
      <c r="U64" s="2830"/>
      <c r="V64" s="291"/>
      <c r="W64" s="2828">
        <v>59</v>
      </c>
      <c r="X64" s="2819"/>
      <c r="Y64" s="2819"/>
      <c r="Z64" s="2819">
        <v>60</v>
      </c>
      <c r="AA64" s="2819"/>
      <c r="AB64" s="2830"/>
      <c r="AC64" s="291"/>
      <c r="AD64" s="2828">
        <v>62</v>
      </c>
      <c r="AE64" s="2819"/>
      <c r="AF64" s="2819"/>
      <c r="AG64" s="2819">
        <v>61</v>
      </c>
      <c r="AH64" s="2819"/>
      <c r="AI64" s="2820"/>
      <c r="AJ64" s="290"/>
      <c r="AK64" s="2828"/>
      <c r="AL64" s="2819"/>
      <c r="AM64" s="2819"/>
      <c r="AN64" s="2819"/>
      <c r="AO64" s="2819"/>
      <c r="AP64" s="2820"/>
      <c r="AQ64" s="290"/>
      <c r="AR64" s="2828">
        <v>62</v>
      </c>
      <c r="AS64" s="2819"/>
      <c r="AT64" s="2819"/>
      <c r="AU64" s="2819">
        <v>61</v>
      </c>
      <c r="AV64" s="2819"/>
      <c r="AW64" s="2820"/>
      <c r="AY64" s="274">
        <v>61</v>
      </c>
      <c r="BB64" s="274">
        <v>60</v>
      </c>
    </row>
    <row r="65" spans="1:56" ht="38.25" customHeight="1">
      <c r="A65" s="1028" t="s">
        <v>279</v>
      </c>
      <c r="B65" s="1028" t="s">
        <v>215</v>
      </c>
      <c r="C65" s="1024" t="s">
        <v>69</v>
      </c>
      <c r="D65" s="99" t="s">
        <v>106</v>
      </c>
      <c r="E65" s="1405" t="str">
        <f>'XM.GUI MAIL'!E65</f>
        <v>40~60</v>
      </c>
      <c r="F65" s="2021" t="str">
        <f>'XM.GUI MAIL'!F65</f>
        <v>(50±5)</v>
      </c>
      <c r="G65" s="1408"/>
      <c r="H65" s="100"/>
      <c r="I65" s="2828">
        <v>53</v>
      </c>
      <c r="J65" s="2819"/>
      <c r="K65" s="2830"/>
      <c r="L65" s="2819">
        <v>52</v>
      </c>
      <c r="M65" s="2819"/>
      <c r="N65" s="2820"/>
      <c r="O65" s="288"/>
      <c r="P65" s="2828">
        <v>52</v>
      </c>
      <c r="Q65" s="2819"/>
      <c r="R65" s="2830"/>
      <c r="S65" s="2819">
        <v>52</v>
      </c>
      <c r="T65" s="2819"/>
      <c r="U65" s="2820"/>
      <c r="V65" s="95"/>
      <c r="W65" s="2828">
        <v>54</v>
      </c>
      <c r="X65" s="2819"/>
      <c r="Y65" s="2830"/>
      <c r="Z65" s="2819">
        <v>52</v>
      </c>
      <c r="AA65" s="2819"/>
      <c r="AB65" s="2820"/>
      <c r="AC65" s="96"/>
      <c r="AD65" s="2828">
        <v>53</v>
      </c>
      <c r="AE65" s="2819"/>
      <c r="AF65" s="2830"/>
      <c r="AG65" s="2819">
        <v>52</v>
      </c>
      <c r="AH65" s="2819"/>
      <c r="AI65" s="2820"/>
      <c r="AJ65" s="96"/>
      <c r="AK65" s="2828"/>
      <c r="AL65" s="2819"/>
      <c r="AM65" s="2830"/>
      <c r="AN65" s="2819"/>
      <c r="AO65" s="2819"/>
      <c r="AP65" s="2820"/>
      <c r="AQ65" s="96"/>
      <c r="AR65" s="2828">
        <v>53</v>
      </c>
      <c r="AS65" s="2819"/>
      <c r="AT65" s="2830"/>
      <c r="AU65" s="2819">
        <v>52</v>
      </c>
      <c r="AV65" s="2819"/>
      <c r="AW65" s="2820"/>
      <c r="AY65" s="274">
        <v>52</v>
      </c>
      <c r="BB65" s="274">
        <v>51</v>
      </c>
    </row>
    <row r="66" spans="1:56" ht="38.25" customHeight="1">
      <c r="A66" s="1028" t="s">
        <v>280</v>
      </c>
      <c r="B66" s="1028" t="s">
        <v>215</v>
      </c>
      <c r="C66" s="1024" t="s">
        <v>68</v>
      </c>
      <c r="D66" s="99" t="s">
        <v>106</v>
      </c>
      <c r="E66" s="1405" t="str">
        <f>'XM.GUI MAIL'!E66</f>
        <v>40~60</v>
      </c>
      <c r="F66" s="2021" t="str">
        <f>'XM.GUI MAIL'!F66</f>
        <v>(50±5)</v>
      </c>
      <c r="G66" s="1408"/>
      <c r="H66" s="100"/>
      <c r="I66" s="2828">
        <v>51</v>
      </c>
      <c r="J66" s="2819"/>
      <c r="K66" s="2830"/>
      <c r="L66" s="2819">
        <v>49</v>
      </c>
      <c r="M66" s="2819"/>
      <c r="N66" s="2820"/>
      <c r="O66" s="288"/>
      <c r="P66" s="2828">
        <v>50</v>
      </c>
      <c r="Q66" s="2819"/>
      <c r="R66" s="2830"/>
      <c r="S66" s="2819">
        <v>50</v>
      </c>
      <c r="T66" s="2819"/>
      <c r="U66" s="2820"/>
      <c r="V66" s="95"/>
      <c r="W66" s="2828">
        <v>54</v>
      </c>
      <c r="X66" s="2819"/>
      <c r="Y66" s="2830"/>
      <c r="Z66" s="2819">
        <v>52</v>
      </c>
      <c r="AA66" s="2819"/>
      <c r="AB66" s="2820"/>
      <c r="AC66" s="96"/>
      <c r="AD66" s="2828">
        <v>51</v>
      </c>
      <c r="AE66" s="2819"/>
      <c r="AF66" s="2830"/>
      <c r="AG66" s="2819">
        <v>50</v>
      </c>
      <c r="AH66" s="2819"/>
      <c r="AI66" s="2820"/>
      <c r="AJ66" s="96"/>
      <c r="AK66" s="2828"/>
      <c r="AL66" s="2819"/>
      <c r="AM66" s="2830"/>
      <c r="AN66" s="2819"/>
      <c r="AO66" s="2819"/>
      <c r="AP66" s="2820"/>
      <c r="AQ66" s="96"/>
      <c r="AR66" s="2828">
        <v>49</v>
      </c>
      <c r="AS66" s="2819"/>
      <c r="AT66" s="2830"/>
      <c r="AU66" s="2819">
        <v>48</v>
      </c>
      <c r="AV66" s="2819"/>
      <c r="AW66" s="2820"/>
      <c r="AY66" s="274">
        <v>50</v>
      </c>
      <c r="BB66" s="274">
        <v>49</v>
      </c>
    </row>
    <row r="67" spans="1:56" ht="38.25" customHeight="1">
      <c r="A67" s="1028" t="s">
        <v>316</v>
      </c>
      <c r="B67" s="1028" t="s">
        <v>215</v>
      </c>
      <c r="C67" s="1024" t="s">
        <v>70</v>
      </c>
      <c r="D67" s="99" t="s">
        <v>106</v>
      </c>
      <c r="E67" s="1405" t="str">
        <f>'XM.GUI MAIL'!E67</f>
        <v>22~35</v>
      </c>
      <c r="F67" s="2030" t="str">
        <f>'XM.GUI MAIL'!F67</f>
        <v>(30±4)</v>
      </c>
      <c r="G67" s="1408"/>
      <c r="H67" s="100"/>
      <c r="I67" s="2828">
        <v>32</v>
      </c>
      <c r="J67" s="2819"/>
      <c r="K67" s="2819"/>
      <c r="L67" s="2819">
        <v>31</v>
      </c>
      <c r="M67" s="2819"/>
      <c r="N67" s="2819"/>
      <c r="O67" s="2820"/>
      <c r="P67" s="2828">
        <v>32</v>
      </c>
      <c r="Q67" s="2819"/>
      <c r="R67" s="2819"/>
      <c r="S67" s="2819">
        <v>31</v>
      </c>
      <c r="T67" s="2819"/>
      <c r="U67" s="2819"/>
      <c r="V67" s="2820"/>
      <c r="W67" s="2828">
        <v>29</v>
      </c>
      <c r="X67" s="2819"/>
      <c r="Y67" s="2819"/>
      <c r="Z67" s="2819">
        <v>29</v>
      </c>
      <c r="AA67" s="2819"/>
      <c r="AB67" s="2819"/>
      <c r="AC67" s="2820"/>
      <c r="AD67" s="2828">
        <v>32</v>
      </c>
      <c r="AE67" s="2819"/>
      <c r="AF67" s="2819"/>
      <c r="AG67" s="2819">
        <v>31</v>
      </c>
      <c r="AH67" s="2819"/>
      <c r="AI67" s="2819"/>
      <c r="AJ67" s="2820"/>
      <c r="AK67" s="2828"/>
      <c r="AL67" s="2819"/>
      <c r="AM67" s="2819"/>
      <c r="AN67" s="2819"/>
      <c r="AO67" s="2819"/>
      <c r="AP67" s="2819"/>
      <c r="AQ67" s="2820"/>
      <c r="AR67" s="2828">
        <v>31</v>
      </c>
      <c r="AS67" s="2819"/>
      <c r="AT67" s="2819"/>
      <c r="AU67" s="2819">
        <v>30</v>
      </c>
      <c r="AV67" s="2819"/>
      <c r="AW67" s="2820"/>
      <c r="AY67" s="274">
        <v>34</v>
      </c>
      <c r="BB67" s="274">
        <v>33</v>
      </c>
    </row>
    <row r="68" spans="1:56" ht="38.25" customHeight="1">
      <c r="A68" s="285" t="s">
        <v>281</v>
      </c>
      <c r="B68" s="1028" t="s">
        <v>215</v>
      </c>
      <c r="C68" s="1024" t="s">
        <v>148</v>
      </c>
      <c r="D68" s="99" t="s">
        <v>106</v>
      </c>
      <c r="E68" s="1405" t="str">
        <f>'XM.GUI MAIL'!E68</f>
        <v>30-38</v>
      </c>
      <c r="F68" s="2030" t="str">
        <f>'XM.GUI MAIL'!F68</f>
        <v>(34±2)</v>
      </c>
      <c r="G68" s="1408"/>
      <c r="H68" s="100"/>
      <c r="I68" s="2828">
        <v>33</v>
      </c>
      <c r="J68" s="2819"/>
      <c r="K68" s="2819"/>
      <c r="L68" s="2819">
        <v>32</v>
      </c>
      <c r="M68" s="2819"/>
      <c r="N68" s="2819"/>
      <c r="O68" s="2820"/>
      <c r="P68" s="2828">
        <v>33</v>
      </c>
      <c r="Q68" s="2819"/>
      <c r="R68" s="2819"/>
      <c r="S68" s="2819">
        <v>33</v>
      </c>
      <c r="T68" s="2819"/>
      <c r="U68" s="2819"/>
      <c r="V68" s="2820"/>
      <c r="W68" s="2828">
        <v>34</v>
      </c>
      <c r="X68" s="2819"/>
      <c r="Y68" s="2819"/>
      <c r="Z68" s="2819">
        <v>33</v>
      </c>
      <c r="AA68" s="2819"/>
      <c r="AB68" s="2819"/>
      <c r="AC68" s="2820"/>
      <c r="AD68" s="2828">
        <v>34</v>
      </c>
      <c r="AE68" s="2819"/>
      <c r="AF68" s="2819"/>
      <c r="AG68" s="2819">
        <v>33</v>
      </c>
      <c r="AH68" s="2819"/>
      <c r="AI68" s="2819"/>
      <c r="AJ68" s="2820"/>
      <c r="AK68" s="2828"/>
      <c r="AL68" s="2819"/>
      <c r="AM68" s="2819"/>
      <c r="AN68" s="2819"/>
      <c r="AO68" s="2819"/>
      <c r="AP68" s="2819"/>
      <c r="AQ68" s="2820"/>
      <c r="AR68" s="2828">
        <v>34</v>
      </c>
      <c r="AS68" s="2819"/>
      <c r="AT68" s="2819"/>
      <c r="AU68" s="2819">
        <v>33</v>
      </c>
      <c r="AV68" s="2819"/>
      <c r="AW68" s="2820"/>
      <c r="AY68" s="274">
        <v>34</v>
      </c>
      <c r="BB68" s="274">
        <v>33</v>
      </c>
    </row>
    <row r="69" spans="1:56" ht="38.25" customHeight="1">
      <c r="A69" s="285" t="s">
        <v>282</v>
      </c>
      <c r="B69" s="1028" t="s">
        <v>215</v>
      </c>
      <c r="C69" s="1024" t="s">
        <v>71</v>
      </c>
      <c r="D69" s="99" t="s">
        <v>106</v>
      </c>
      <c r="E69" s="1405" t="str">
        <f>'XM.GUI MAIL'!E69</f>
        <v>50~70</v>
      </c>
      <c r="F69" s="2030" t="str">
        <f>'XM.GUI MAIL'!F69</f>
        <v>(60±10)</v>
      </c>
      <c r="G69" s="1408"/>
      <c r="H69" s="100"/>
      <c r="I69" s="2828">
        <v>52</v>
      </c>
      <c r="J69" s="2819"/>
      <c r="K69" s="2830"/>
      <c r="L69" s="2819">
        <v>51</v>
      </c>
      <c r="M69" s="2819"/>
      <c r="N69" s="2820"/>
      <c r="O69" s="1474"/>
      <c r="P69" s="2828">
        <v>55</v>
      </c>
      <c r="Q69" s="2819"/>
      <c r="R69" s="2830"/>
      <c r="S69" s="2819">
        <v>54</v>
      </c>
      <c r="T69" s="2819"/>
      <c r="U69" s="2820"/>
      <c r="V69" s="291"/>
      <c r="W69" s="2828">
        <v>57</v>
      </c>
      <c r="X69" s="2819"/>
      <c r="Y69" s="2830"/>
      <c r="Z69" s="2819">
        <v>58</v>
      </c>
      <c r="AA69" s="2819"/>
      <c r="AB69" s="2820"/>
      <c r="AC69" s="291"/>
      <c r="AD69" s="2828">
        <v>55</v>
      </c>
      <c r="AE69" s="2819"/>
      <c r="AF69" s="2830"/>
      <c r="AG69" s="2819">
        <v>54</v>
      </c>
      <c r="AH69" s="2819"/>
      <c r="AI69" s="2820"/>
      <c r="AJ69" s="290"/>
      <c r="AK69" s="2828"/>
      <c r="AL69" s="2819"/>
      <c r="AM69" s="2830"/>
      <c r="AN69" s="2819"/>
      <c r="AO69" s="2819"/>
      <c r="AP69" s="2820"/>
      <c r="AQ69" s="290"/>
      <c r="AR69" s="2828">
        <v>52</v>
      </c>
      <c r="AS69" s="2819"/>
      <c r="AT69" s="2830"/>
      <c r="AU69" s="2819">
        <v>51</v>
      </c>
      <c r="AV69" s="2819"/>
      <c r="AW69" s="2820"/>
      <c r="AY69" s="274">
        <v>52</v>
      </c>
      <c r="BB69" s="274">
        <v>51</v>
      </c>
    </row>
    <row r="70" spans="1:56" ht="38.25" customHeight="1">
      <c r="A70" s="47" t="s">
        <v>283</v>
      </c>
      <c r="B70" s="1028" t="s">
        <v>215</v>
      </c>
      <c r="C70" s="1024" t="s">
        <v>72</v>
      </c>
      <c r="D70" s="99" t="s">
        <v>106</v>
      </c>
      <c r="E70" s="1405" t="str">
        <f>'XM.GUI MAIL'!E70</f>
        <v>80~100</v>
      </c>
      <c r="F70" s="2030" t="str">
        <f>'XM.GUI MAIL'!F70</f>
        <v>(90±5)</v>
      </c>
      <c r="G70" s="1408"/>
      <c r="H70" s="100"/>
      <c r="I70" s="2845" t="s">
        <v>48</v>
      </c>
      <c r="J70" s="2846"/>
      <c r="K70" s="2846"/>
      <c r="L70" s="2819">
        <v>84</v>
      </c>
      <c r="M70" s="2819"/>
      <c r="N70" s="2820"/>
      <c r="O70" s="2380"/>
      <c r="P70" s="2825" t="s">
        <v>48</v>
      </c>
      <c r="Q70" s="2826"/>
      <c r="R70" s="2827"/>
      <c r="S70" s="2819">
        <v>89</v>
      </c>
      <c r="T70" s="2819"/>
      <c r="U70" s="2820"/>
      <c r="V70" s="2380"/>
      <c r="W70" s="2825" t="s">
        <v>48</v>
      </c>
      <c r="X70" s="2826"/>
      <c r="Y70" s="2827"/>
      <c r="Z70" s="2819">
        <v>93</v>
      </c>
      <c r="AA70" s="2819"/>
      <c r="AB70" s="2820"/>
      <c r="AC70" s="2380"/>
      <c r="AD70" s="2825" t="s">
        <v>48</v>
      </c>
      <c r="AE70" s="2826"/>
      <c r="AF70" s="2827"/>
      <c r="AG70" s="2819">
        <v>90</v>
      </c>
      <c r="AH70" s="2819"/>
      <c r="AI70" s="2820"/>
      <c r="AJ70" s="2380"/>
      <c r="AK70" s="2825" t="s">
        <v>48</v>
      </c>
      <c r="AL70" s="2826"/>
      <c r="AM70" s="2827"/>
      <c r="AN70" s="2819"/>
      <c r="AO70" s="2819"/>
      <c r="AP70" s="2820"/>
      <c r="AQ70" s="2380"/>
      <c r="AR70" s="2825" t="s">
        <v>48</v>
      </c>
      <c r="AS70" s="2826"/>
      <c r="AT70" s="2827"/>
      <c r="AU70" s="2819">
        <v>90</v>
      </c>
      <c r="AV70" s="2819"/>
      <c r="AW70" s="2820"/>
      <c r="AY70" s="274" t="s">
        <v>48</v>
      </c>
      <c r="BB70" s="274">
        <v>91</v>
      </c>
    </row>
    <row r="71" spans="1:56" s="211" customFormat="1" ht="54" customHeight="1">
      <c r="A71" s="295" t="s">
        <v>76</v>
      </c>
      <c r="B71" s="296"/>
      <c r="C71" s="296"/>
      <c r="D71" s="296"/>
      <c r="E71" s="306"/>
      <c r="F71" s="293"/>
      <c r="G71" s="306"/>
      <c r="H71" s="296"/>
      <c r="I71" s="296"/>
      <c r="J71" s="296"/>
      <c r="K71" s="296"/>
      <c r="L71" s="296"/>
      <c r="M71" s="296"/>
      <c r="N71" s="296"/>
      <c r="O71" s="296"/>
      <c r="P71" s="297"/>
      <c r="Q71" s="296"/>
      <c r="R71" s="296"/>
      <c r="S71" s="296"/>
      <c r="T71" s="1705"/>
      <c r="U71" s="297"/>
      <c r="V71" s="296"/>
      <c r="W71" s="297"/>
      <c r="X71" s="296"/>
      <c r="Y71" s="296"/>
      <c r="Z71" s="296"/>
      <c r="AA71" s="296"/>
      <c r="AB71" s="296"/>
      <c r="AC71" s="296"/>
      <c r="AD71" s="296"/>
      <c r="AE71" s="296"/>
      <c r="AF71" s="296"/>
      <c r="AG71" s="296"/>
      <c r="AH71" s="296"/>
      <c r="AI71" s="296"/>
      <c r="AJ71" s="297"/>
      <c r="AK71" s="297"/>
      <c r="AL71" s="297"/>
      <c r="AM71" s="297"/>
      <c r="AN71" s="297"/>
      <c r="AO71" s="297"/>
      <c r="AP71" s="297"/>
      <c r="AQ71" s="297"/>
      <c r="AR71" s="297"/>
      <c r="AS71" s="297"/>
      <c r="AT71" s="297"/>
      <c r="AU71" s="297"/>
      <c r="AV71" s="297"/>
      <c r="AW71" s="1036"/>
      <c r="AX71" s="2246"/>
      <c r="AY71" s="93"/>
      <c r="AZ71" s="93"/>
      <c r="BA71" s="93"/>
    </row>
    <row r="72" spans="1:56" ht="39.75" customHeight="1">
      <c r="A72" s="285" t="s">
        <v>284</v>
      </c>
      <c r="B72" s="1028" t="s">
        <v>215</v>
      </c>
      <c r="C72" s="1030" t="s">
        <v>236</v>
      </c>
      <c r="D72" s="1038" t="s">
        <v>238</v>
      </c>
      <c r="E72" s="997" t="str">
        <f>'XM.GUI MAIL'!E72</f>
        <v>100-200</v>
      </c>
      <c r="F72" s="2030" t="str">
        <f>'XM.GUI MAIL'!F72</f>
        <v>100-200</v>
      </c>
      <c r="G72" s="14"/>
      <c r="H72" s="44"/>
      <c r="I72" s="2831">
        <v>120</v>
      </c>
      <c r="J72" s="2832"/>
      <c r="K72" s="2832"/>
      <c r="L72" s="2832"/>
      <c r="M72" s="2832"/>
      <c r="N72" s="2833"/>
      <c r="O72" s="288"/>
      <c r="P72" s="2831">
        <v>122</v>
      </c>
      <c r="Q72" s="2832"/>
      <c r="R72" s="2832"/>
      <c r="S72" s="2832"/>
      <c r="T72" s="2832"/>
      <c r="U72" s="2833"/>
      <c r="V72" s="636"/>
      <c r="W72" s="2831">
        <v>115</v>
      </c>
      <c r="X72" s="2832"/>
      <c r="Y72" s="2832"/>
      <c r="Z72" s="2832"/>
      <c r="AA72" s="2832"/>
      <c r="AB72" s="2833"/>
      <c r="AC72" s="1033"/>
      <c r="AD72" s="2831">
        <v>115</v>
      </c>
      <c r="AE72" s="2832"/>
      <c r="AF72" s="2832"/>
      <c r="AG72" s="2832"/>
      <c r="AH72" s="2832"/>
      <c r="AI72" s="2833"/>
      <c r="AJ72" s="276"/>
      <c r="AK72" s="2831"/>
      <c r="AL72" s="2832"/>
      <c r="AM72" s="2832"/>
      <c r="AN72" s="2832"/>
      <c r="AO72" s="2832"/>
      <c r="AP72" s="2833"/>
      <c r="AQ72" s="276"/>
      <c r="AR72" s="2831">
        <v>115</v>
      </c>
      <c r="AS72" s="2832"/>
      <c r="AT72" s="2832"/>
      <c r="AU72" s="2832"/>
      <c r="AV72" s="2832"/>
      <c r="AW72" s="2832"/>
      <c r="AY72" s="274">
        <v>120</v>
      </c>
    </row>
    <row r="73" spans="1:56" ht="41.25" customHeight="1">
      <c r="A73" s="47" t="s">
        <v>285</v>
      </c>
      <c r="B73" s="1028" t="s">
        <v>215</v>
      </c>
      <c r="C73" s="107" t="s">
        <v>237</v>
      </c>
      <c r="D73" s="1038" t="s">
        <v>238</v>
      </c>
      <c r="E73" s="997" t="str">
        <f>'XM.GUI MAIL'!E73</f>
        <v>20-50</v>
      </c>
      <c r="F73" s="2030" t="str">
        <f>'XM.GUI MAIL'!F73</f>
        <v>20-50</v>
      </c>
      <c r="G73" s="14"/>
      <c r="H73" s="44"/>
      <c r="I73" s="2831">
        <v>38</v>
      </c>
      <c r="J73" s="2832"/>
      <c r="K73" s="2832"/>
      <c r="L73" s="2832"/>
      <c r="M73" s="2832"/>
      <c r="N73" s="2833"/>
      <c r="O73" s="1025"/>
      <c r="P73" s="2831">
        <v>40</v>
      </c>
      <c r="Q73" s="2832"/>
      <c r="R73" s="2832"/>
      <c r="S73" s="2832"/>
      <c r="T73" s="2832"/>
      <c r="U73" s="2833"/>
      <c r="V73" s="636"/>
      <c r="W73" s="2831">
        <v>40</v>
      </c>
      <c r="X73" s="2832"/>
      <c r="Y73" s="2832"/>
      <c r="Z73" s="2832"/>
      <c r="AA73" s="2832"/>
      <c r="AB73" s="2832"/>
      <c r="AC73" s="1025"/>
      <c r="AD73" s="2831">
        <v>42</v>
      </c>
      <c r="AE73" s="2832"/>
      <c r="AF73" s="2832"/>
      <c r="AG73" s="2832"/>
      <c r="AH73" s="2832"/>
      <c r="AI73" s="2832"/>
      <c r="AJ73" s="1023"/>
      <c r="AK73" s="2831"/>
      <c r="AL73" s="2832"/>
      <c r="AM73" s="2832"/>
      <c r="AN73" s="2832"/>
      <c r="AO73" s="2832"/>
      <c r="AP73" s="2832"/>
      <c r="AQ73" s="1023"/>
      <c r="AR73" s="2831">
        <v>40</v>
      </c>
      <c r="AS73" s="2832"/>
      <c r="AT73" s="2832"/>
      <c r="AU73" s="2832"/>
      <c r="AV73" s="2832"/>
      <c r="AW73" s="2832"/>
      <c r="AY73" s="274">
        <v>42</v>
      </c>
    </row>
    <row r="74" spans="1:56" ht="26.25" customHeight="1">
      <c r="A74" s="275"/>
      <c r="B74" s="275"/>
      <c r="C74" s="275"/>
      <c r="D74" s="275"/>
      <c r="E74" s="1407"/>
      <c r="F74" s="1703"/>
      <c r="G74" s="1407"/>
      <c r="H74" s="275"/>
      <c r="I74" s="275"/>
      <c r="J74" s="275"/>
      <c r="K74" s="275"/>
      <c r="L74" s="275"/>
      <c r="M74" s="1703"/>
      <c r="N74" s="275"/>
      <c r="O74" s="275"/>
      <c r="P74" s="275"/>
      <c r="Q74" s="275"/>
      <c r="R74" s="275"/>
      <c r="S74" s="275"/>
      <c r="T74" s="1703"/>
      <c r="U74" s="275"/>
      <c r="V74" s="275"/>
      <c r="W74" s="275"/>
      <c r="X74" s="275"/>
      <c r="Y74" s="275"/>
      <c r="Z74" s="275"/>
      <c r="AA74" s="1703"/>
      <c r="AB74" s="275"/>
      <c r="AC74" s="275"/>
      <c r="AD74" s="275"/>
      <c r="AE74" s="275"/>
      <c r="AF74" s="275"/>
      <c r="AG74" s="275"/>
      <c r="AH74" s="1703"/>
      <c r="AI74" s="275"/>
      <c r="AJ74" s="275"/>
      <c r="AK74" s="275"/>
      <c r="AL74" s="275"/>
      <c r="AM74" s="275"/>
      <c r="AN74" s="275"/>
      <c r="AO74" s="1703"/>
      <c r="AP74" s="275"/>
      <c r="AQ74" s="275"/>
      <c r="AR74" s="275"/>
      <c r="AS74" s="275"/>
      <c r="AT74" s="275"/>
      <c r="AU74" s="275"/>
      <c r="AV74" s="1703"/>
      <c r="AW74" s="275"/>
    </row>
    <row r="75" spans="1:56" ht="41.25" customHeight="1">
      <c r="A75" s="1087" t="s">
        <v>54</v>
      </c>
      <c r="B75" s="1088"/>
      <c r="C75" s="1089"/>
      <c r="D75" s="1089"/>
      <c r="E75" s="1457"/>
      <c r="F75" s="2032" t="str">
        <f>MENU!$AC$9</f>
        <v>Thứ 3,</v>
      </c>
      <c r="G75" s="2033"/>
      <c r="H75" s="1090"/>
      <c r="I75" s="1944" t="str">
        <f>MENU!$AD$9</f>
        <v>2024/01/09</v>
      </c>
      <c r="J75" s="1090"/>
      <c r="K75" s="1090"/>
      <c r="L75" s="1091"/>
      <c r="M75" s="1091"/>
      <c r="N75" s="1091"/>
      <c r="O75" s="1091"/>
      <c r="P75" s="1091"/>
      <c r="Q75" s="1091"/>
      <c r="R75" s="1091"/>
      <c r="S75" s="1091"/>
      <c r="T75" s="1091"/>
      <c r="U75" s="1090"/>
      <c r="V75" s="1090"/>
      <c r="W75" s="1090"/>
      <c r="X75" s="1090"/>
      <c r="Y75" s="1090"/>
      <c r="Z75" s="1090"/>
      <c r="AA75" s="1090"/>
      <c r="AB75" s="1090"/>
      <c r="AC75" s="1090"/>
      <c r="AD75" s="1090"/>
      <c r="AE75" s="1090"/>
      <c r="AF75" s="1090"/>
      <c r="AG75" s="1090"/>
      <c r="AH75" s="1090"/>
      <c r="AI75" s="1090"/>
      <c r="AJ75" s="1085"/>
      <c r="AK75" s="1088" t="s">
        <v>54</v>
      </c>
      <c r="AL75" s="1092"/>
      <c r="AM75" s="1092"/>
      <c r="AN75" s="1092"/>
      <c r="AO75" s="1092"/>
      <c r="AP75" s="1092"/>
      <c r="AQ75" s="1092"/>
      <c r="AR75" s="1092"/>
      <c r="AS75" s="1092"/>
      <c r="AT75" s="1092"/>
      <c r="AU75" s="1092"/>
      <c r="AV75" s="1092"/>
      <c r="AW75" s="1093"/>
    </row>
    <row r="76" spans="1:56" ht="36.75" customHeight="1">
      <c r="A76" s="1026"/>
      <c r="B76" s="1026"/>
      <c r="C76" s="1026"/>
      <c r="D76" s="1026"/>
      <c r="E76" s="1450"/>
      <c r="F76" s="2025"/>
      <c r="G76" s="2843" t="s">
        <v>126</v>
      </c>
      <c r="H76" s="87"/>
      <c r="I76" s="279" t="s">
        <v>1489</v>
      </c>
      <c r="J76" s="279"/>
      <c r="K76" s="279"/>
      <c r="L76" s="279"/>
      <c r="M76" s="279"/>
      <c r="N76" s="279"/>
      <c r="O76" s="88"/>
      <c r="P76" s="292" t="s">
        <v>1479</v>
      </c>
      <c r="Q76" s="279"/>
      <c r="R76" s="279"/>
      <c r="S76" s="279"/>
      <c r="T76" s="279"/>
      <c r="U76" s="280"/>
      <c r="V76" s="279"/>
      <c r="W76" s="279" t="s">
        <v>1480</v>
      </c>
      <c r="X76" s="279"/>
      <c r="Y76" s="279"/>
      <c r="Z76" s="279"/>
      <c r="AA76" s="279"/>
      <c r="AB76" s="279"/>
      <c r="AC76" s="88"/>
      <c r="AD76" s="292" t="s">
        <v>1481</v>
      </c>
      <c r="AE76" s="279"/>
      <c r="AF76" s="279"/>
      <c r="AG76" s="279"/>
      <c r="AH76" s="279"/>
      <c r="AI76" s="280"/>
      <c r="AJ76" s="279"/>
      <c r="AK76" s="279" t="s">
        <v>1482</v>
      </c>
      <c r="AL76" s="279"/>
      <c r="AM76" s="279"/>
      <c r="AN76" s="279"/>
      <c r="AO76" s="279"/>
      <c r="AP76" s="279"/>
      <c r="AQ76" s="279"/>
      <c r="AR76" s="292" t="s">
        <v>1483</v>
      </c>
      <c r="AS76" s="279"/>
      <c r="AT76" s="279"/>
      <c r="AU76" s="280"/>
      <c r="AV76" s="280"/>
      <c r="AW76" s="1035"/>
      <c r="AY76" s="274" t="s">
        <v>1483</v>
      </c>
    </row>
    <row r="77" spans="1:56" ht="63.75" customHeight="1">
      <c r="A77" s="1027" t="s">
        <v>239</v>
      </c>
      <c r="B77" s="1027" t="s">
        <v>318</v>
      </c>
      <c r="C77" s="1033" t="s">
        <v>317</v>
      </c>
      <c r="D77" s="1027" t="s">
        <v>125</v>
      </c>
      <c r="E77" s="1456" t="s">
        <v>1318</v>
      </c>
      <c r="F77" s="2026" t="s">
        <v>1317</v>
      </c>
      <c r="G77" s="2844"/>
      <c r="H77" s="20"/>
      <c r="I77" s="1993" t="s">
        <v>130</v>
      </c>
      <c r="J77" s="1992" t="s">
        <v>1</v>
      </c>
      <c r="K77" s="293" t="s">
        <v>1</v>
      </c>
      <c r="L77" s="293"/>
      <c r="M77" s="293"/>
      <c r="N77" s="294"/>
      <c r="O77" s="89"/>
      <c r="P77" s="1993" t="s">
        <v>130</v>
      </c>
      <c r="Q77" s="1992" t="s">
        <v>1</v>
      </c>
      <c r="R77" s="293" t="s">
        <v>1</v>
      </c>
      <c r="S77" s="293"/>
      <c r="T77" s="293"/>
      <c r="U77" s="294"/>
      <c r="V77" s="20"/>
      <c r="W77" s="2068" t="s">
        <v>130</v>
      </c>
      <c r="X77" s="2069" t="s">
        <v>1</v>
      </c>
      <c r="Y77" s="2070" t="s">
        <v>1</v>
      </c>
      <c r="Z77" s="2070"/>
      <c r="AA77" s="2070"/>
      <c r="AB77" s="2071"/>
      <c r="AC77" s="89"/>
      <c r="AD77" s="1993" t="s">
        <v>130</v>
      </c>
      <c r="AE77" s="1992" t="s">
        <v>1</v>
      </c>
      <c r="AF77" s="293" t="s">
        <v>1</v>
      </c>
      <c r="AG77" s="293"/>
      <c r="AH77" s="293"/>
      <c r="AI77" s="294"/>
      <c r="AJ77" s="89"/>
      <c r="AK77" s="1993" t="s">
        <v>130</v>
      </c>
      <c r="AL77" s="1992" t="s">
        <v>1</v>
      </c>
      <c r="AM77" s="293" t="s">
        <v>1</v>
      </c>
      <c r="AN77" s="293"/>
      <c r="AO77" s="293"/>
      <c r="AP77" s="294"/>
      <c r="AQ77" s="89"/>
      <c r="AR77" s="1993" t="s">
        <v>130</v>
      </c>
      <c r="AS77" s="1992" t="s">
        <v>1</v>
      </c>
      <c r="AT77" s="293" t="s">
        <v>1</v>
      </c>
      <c r="AU77" s="293"/>
      <c r="AV77" s="293"/>
      <c r="AW77" s="294"/>
      <c r="AY77" s="274" t="s">
        <v>130</v>
      </c>
      <c r="AZ77" s="274" t="s">
        <v>1</v>
      </c>
      <c r="BA77" s="274" t="s">
        <v>1</v>
      </c>
    </row>
    <row r="78" spans="1:56" ht="33.75" customHeight="1">
      <c r="A78" s="1946" t="s">
        <v>286</v>
      </c>
      <c r="B78" s="1947" t="s">
        <v>128</v>
      </c>
      <c r="C78" s="1987" t="s">
        <v>1510</v>
      </c>
      <c r="D78" s="1948" t="s">
        <v>4</v>
      </c>
      <c r="E78" s="1949" t="str">
        <f>'XM.GUI MAIL'!E78</f>
        <v>40~60</v>
      </c>
      <c r="F78" s="2027" t="str">
        <f>'XM.GUI MAIL'!F78</f>
        <v>(50±5)</v>
      </c>
      <c r="G78" s="1950">
        <f>'XM.GUI MAIL'!G78</f>
        <v>50</v>
      </c>
      <c r="H78" s="1951">
        <f>XM.HN!B47</f>
        <v>8.1</v>
      </c>
      <c r="I78" s="2067">
        <v>49.5</v>
      </c>
      <c r="J78" s="1953">
        <f>($G$78-I78)*15517/1000</f>
        <v>7.7584999999999997</v>
      </c>
      <c r="K78" s="1954" t="s">
        <v>8</v>
      </c>
      <c r="L78" s="1955">
        <f t="shared" ref="L78:L88" si="17">IF(J78&lt;0,0,J78)</f>
        <v>7.7584999999999997</v>
      </c>
      <c r="M78" s="1956"/>
      <c r="N78" s="1957" t="s">
        <v>9</v>
      </c>
      <c r="O78" s="1958">
        <f>XM.HN!C47</f>
        <v>8</v>
      </c>
      <c r="P78" s="2067">
        <f>O78*6.49</f>
        <v>51.92</v>
      </c>
      <c r="Q78" s="1953">
        <f>($G$78-P78)*15517/1000</f>
        <v>-29.792640000000024</v>
      </c>
      <c r="R78" s="1954" t="s">
        <v>8</v>
      </c>
      <c r="S78" s="1955">
        <f t="shared" ref="S78:S84" si="18">IF(Q78&lt;0,0,Q78)</f>
        <v>0</v>
      </c>
      <c r="T78" s="1956"/>
      <c r="U78" s="1957" t="s">
        <v>9</v>
      </c>
      <c r="V78" s="1958">
        <f>XM.HN!D47</f>
        <v>7.95</v>
      </c>
      <c r="W78" s="2067">
        <f>V78*6.49</f>
        <v>51.595500000000001</v>
      </c>
      <c r="X78" s="1966">
        <f>($G$78-W78)*15517/1000</f>
        <v>-24.757373500000021</v>
      </c>
      <c r="Y78" s="1967" t="s">
        <v>8</v>
      </c>
      <c r="Z78" s="2072">
        <f t="shared" ref="Z78:Z84" si="19">IF(X78&lt;0,0,X78)</f>
        <v>0</v>
      </c>
      <c r="AA78" s="1968"/>
      <c r="AB78" s="2073" t="s">
        <v>9</v>
      </c>
      <c r="AC78" s="1958">
        <f>XM.HN!E47</f>
        <v>8</v>
      </c>
      <c r="AD78" s="2067">
        <v>51</v>
      </c>
      <c r="AE78" s="1953">
        <f>($G$78-AD78)*15517/1000</f>
        <v>-15.516999999999999</v>
      </c>
      <c r="AF78" s="1954" t="s">
        <v>8</v>
      </c>
      <c r="AG78" s="1955">
        <f t="shared" ref="AG78:AG84" si="20">IF(AE78&lt;0,0,AE78)</f>
        <v>0</v>
      </c>
      <c r="AH78" s="1956"/>
      <c r="AI78" s="1957" t="s">
        <v>9</v>
      </c>
      <c r="AJ78" s="1958">
        <f>XM.HN!F47</f>
        <v>0</v>
      </c>
      <c r="AK78" s="2067">
        <v>50.5</v>
      </c>
      <c r="AL78" s="1953">
        <f>($G$78-AK78)*15517/1000</f>
        <v>-7.7584999999999997</v>
      </c>
      <c r="AM78" s="1954" t="s">
        <v>8</v>
      </c>
      <c r="AN78" s="1955">
        <f t="shared" ref="AN78:AN84" si="21">IF(AL78&lt;0,0,AL78)</f>
        <v>0</v>
      </c>
      <c r="AO78" s="1956"/>
      <c r="AP78" s="1957" t="s">
        <v>9</v>
      </c>
      <c r="AQ78" s="1958">
        <f>XM.HN!G47</f>
        <v>8</v>
      </c>
      <c r="AR78" s="2067">
        <v>50</v>
      </c>
      <c r="AS78" s="1953">
        <f>($G$78-AR78)*15517/1000</f>
        <v>0</v>
      </c>
      <c r="AT78" s="1954" t="s">
        <v>8</v>
      </c>
      <c r="AU78" s="1955">
        <f t="shared" ref="AU78:AU84" si="22">IF(AS78&lt;0,0,AS78)</f>
        <v>0</v>
      </c>
      <c r="AV78" s="1956"/>
      <c r="AW78" s="1957" t="s">
        <v>9</v>
      </c>
      <c r="AY78" s="2067">
        <v>50.6</v>
      </c>
      <c r="AZ78" s="274">
        <v>-9.3102000000000231</v>
      </c>
      <c r="BA78" s="274" t="s">
        <v>8</v>
      </c>
      <c r="BB78" s="274">
        <v>0</v>
      </c>
      <c r="BD78" s="274" t="s">
        <v>9</v>
      </c>
    </row>
    <row r="79" spans="1:56" ht="33.75" customHeight="1">
      <c r="A79" s="1971"/>
      <c r="B79" s="1972"/>
      <c r="C79" s="1986" t="s">
        <v>232</v>
      </c>
      <c r="D79" s="1974"/>
      <c r="E79" s="1975" t="s">
        <v>1514</v>
      </c>
      <c r="F79" s="2028"/>
      <c r="G79" s="1976"/>
      <c r="H79" s="1977"/>
      <c r="I79" s="1998"/>
      <c r="J79" s="1978"/>
      <c r="K79" s="1979" t="s">
        <v>8</v>
      </c>
      <c r="L79" s="1984">
        <f>L78/25*8.5</f>
        <v>2.6378900000000001</v>
      </c>
      <c r="M79" s="1980"/>
      <c r="N79" s="1981" t="s">
        <v>10</v>
      </c>
      <c r="O79" s="1982"/>
      <c r="P79" s="1998"/>
      <c r="Q79" s="1978"/>
      <c r="R79" s="1979" t="s">
        <v>8</v>
      </c>
      <c r="S79" s="1984">
        <f>S78/25*8.5</f>
        <v>0</v>
      </c>
      <c r="T79" s="1980"/>
      <c r="U79" s="1981" t="s">
        <v>10</v>
      </c>
      <c r="V79" s="1982"/>
      <c r="W79" s="1998"/>
      <c r="X79" s="1978"/>
      <c r="Y79" s="1979" t="s">
        <v>8</v>
      </c>
      <c r="Z79" s="1984">
        <f>Z78/25*8.5</f>
        <v>0</v>
      </c>
      <c r="AA79" s="1980"/>
      <c r="AB79" s="1981" t="s">
        <v>10</v>
      </c>
      <c r="AC79" s="1982"/>
      <c r="AD79" s="1998"/>
      <c r="AE79" s="1978"/>
      <c r="AF79" s="1979" t="s">
        <v>8</v>
      </c>
      <c r="AG79" s="1984">
        <f>AG78/25*8.5</f>
        <v>0</v>
      </c>
      <c r="AH79" s="1980"/>
      <c r="AI79" s="1981" t="s">
        <v>10</v>
      </c>
      <c r="AJ79" s="1982"/>
      <c r="AK79" s="1998"/>
      <c r="AL79" s="1978"/>
      <c r="AM79" s="1979" t="s">
        <v>8</v>
      </c>
      <c r="AN79" s="1984">
        <f>AN78/25*8.5</f>
        <v>0</v>
      </c>
      <c r="AO79" s="1980"/>
      <c r="AP79" s="1981" t="s">
        <v>10</v>
      </c>
      <c r="AQ79" s="1982"/>
      <c r="AR79" s="1998"/>
      <c r="AS79" s="1978"/>
      <c r="AT79" s="1979" t="s">
        <v>8</v>
      </c>
      <c r="AU79" s="1984">
        <f>AU78/25*8.5</f>
        <v>0</v>
      </c>
      <c r="AV79" s="1980"/>
      <c r="AW79" s="1981" t="s">
        <v>10</v>
      </c>
      <c r="AY79" s="1998"/>
      <c r="BA79" s="274" t="s">
        <v>8</v>
      </c>
      <c r="BB79" s="274">
        <v>0</v>
      </c>
      <c r="BD79" s="274" t="s">
        <v>10</v>
      </c>
    </row>
    <row r="80" spans="1:56" ht="33.75" customHeight="1">
      <c r="A80" s="1946" t="s">
        <v>287</v>
      </c>
      <c r="B80" s="1947" t="s">
        <v>128</v>
      </c>
      <c r="C80" s="1987" t="s">
        <v>1511</v>
      </c>
      <c r="D80" s="1948" t="s">
        <v>4</v>
      </c>
      <c r="E80" s="1949" t="str">
        <f>'XM.GUI MAIL'!E80</f>
        <v>40~60</v>
      </c>
      <c r="F80" s="2027" t="str">
        <f>'XM.GUI MAIL'!F80</f>
        <v>(50±5)</v>
      </c>
      <c r="G80" s="1950">
        <f>'XM.GUI MAIL'!G80</f>
        <v>50</v>
      </c>
      <c r="H80" s="1951">
        <f>XM.HN!B49</f>
        <v>7.75</v>
      </c>
      <c r="I80" s="2067">
        <f>H80*6.49</f>
        <v>50.297499999999999</v>
      </c>
      <c r="J80" s="1953">
        <f>($G$80-I80)*11475/1000</f>
        <v>-3.4138124999999935</v>
      </c>
      <c r="K80" s="1954" t="s">
        <v>8</v>
      </c>
      <c r="L80" s="1955">
        <f t="shared" si="17"/>
        <v>0</v>
      </c>
      <c r="M80" s="1956"/>
      <c r="N80" s="1957" t="s">
        <v>9</v>
      </c>
      <c r="O80" s="1958">
        <f>XM.HN!C49</f>
        <v>7.75</v>
      </c>
      <c r="P80" s="2067">
        <f>O80*6.49</f>
        <v>50.297499999999999</v>
      </c>
      <c r="Q80" s="1953">
        <f>($G$80-P80)*11475/1000</f>
        <v>-3.4138124999999935</v>
      </c>
      <c r="R80" s="1954" t="s">
        <v>8</v>
      </c>
      <c r="S80" s="1955">
        <f t="shared" si="18"/>
        <v>0</v>
      </c>
      <c r="T80" s="1956"/>
      <c r="U80" s="1957" t="s">
        <v>9</v>
      </c>
      <c r="V80" s="1958">
        <f>XM.HN!D49</f>
        <v>7.75</v>
      </c>
      <c r="W80" s="2067">
        <f>V80*6.49</f>
        <v>50.297499999999999</v>
      </c>
      <c r="X80" s="1953">
        <f>($G$80-W80)*11475/1000</f>
        <v>-3.4138124999999935</v>
      </c>
      <c r="Y80" s="1954" t="s">
        <v>8</v>
      </c>
      <c r="Z80" s="1955">
        <f t="shared" si="19"/>
        <v>0</v>
      </c>
      <c r="AA80" s="1956"/>
      <c r="AB80" s="1957" t="s">
        <v>9</v>
      </c>
      <c r="AC80" s="1958">
        <f>XM.HN!E49</f>
        <v>7.8</v>
      </c>
      <c r="AD80" s="2067">
        <v>50</v>
      </c>
      <c r="AE80" s="1953">
        <f>($G$80-AD80)*11475/1000</f>
        <v>0</v>
      </c>
      <c r="AF80" s="1954" t="s">
        <v>8</v>
      </c>
      <c r="AG80" s="1955">
        <f t="shared" si="20"/>
        <v>0</v>
      </c>
      <c r="AH80" s="1956"/>
      <c r="AI80" s="1957" t="s">
        <v>9</v>
      </c>
      <c r="AJ80" s="1958">
        <f>XM.HN!F49</f>
        <v>0</v>
      </c>
      <c r="AK80" s="2067">
        <v>49.6</v>
      </c>
      <c r="AL80" s="1953">
        <f>($G$80-AK80)*11475/1000</f>
        <v>4.5899999999999839</v>
      </c>
      <c r="AM80" s="1954" t="s">
        <v>8</v>
      </c>
      <c r="AN80" s="1955">
        <f t="shared" si="21"/>
        <v>4.5899999999999839</v>
      </c>
      <c r="AO80" s="1956"/>
      <c r="AP80" s="1957" t="s">
        <v>9</v>
      </c>
      <c r="AQ80" s="1958">
        <f>XM.HN!G49</f>
        <v>7.9</v>
      </c>
      <c r="AR80" s="2067">
        <f>AQ80*6.49</f>
        <v>51.271000000000001</v>
      </c>
      <c r="AS80" s="1953">
        <f>($G$80-AR80)*11475/1000</f>
        <v>-14.584725000000009</v>
      </c>
      <c r="AT80" s="1954" t="s">
        <v>8</v>
      </c>
      <c r="AU80" s="1955">
        <f t="shared" si="22"/>
        <v>0</v>
      </c>
      <c r="AV80" s="1956"/>
      <c r="AW80" s="1957" t="s">
        <v>9</v>
      </c>
      <c r="AY80" s="2067">
        <v>50</v>
      </c>
      <c r="AZ80" s="274">
        <v>0</v>
      </c>
      <c r="BA80" s="274" t="s">
        <v>8</v>
      </c>
      <c r="BB80" s="274">
        <v>0</v>
      </c>
      <c r="BD80" s="274" t="s">
        <v>9</v>
      </c>
    </row>
    <row r="81" spans="1:56" ht="33.75" customHeight="1">
      <c r="A81" s="1971"/>
      <c r="B81" s="1972"/>
      <c r="C81" s="1986" t="s">
        <v>232</v>
      </c>
      <c r="D81" s="1974"/>
      <c r="E81" s="1975" t="s">
        <v>1514</v>
      </c>
      <c r="F81" s="2028"/>
      <c r="G81" s="1976"/>
      <c r="H81" s="1977"/>
      <c r="I81" s="1998"/>
      <c r="J81" s="1978"/>
      <c r="K81" s="1979" t="s">
        <v>8</v>
      </c>
      <c r="L81" s="1984">
        <f>L80/25*8.5</f>
        <v>0</v>
      </c>
      <c r="M81" s="1980"/>
      <c r="N81" s="1981" t="s">
        <v>10</v>
      </c>
      <c r="O81" s="1982"/>
      <c r="P81" s="1998"/>
      <c r="Q81" s="1978"/>
      <c r="R81" s="1979" t="s">
        <v>8</v>
      </c>
      <c r="S81" s="1984">
        <f>S80/25*8.5</f>
        <v>0</v>
      </c>
      <c r="T81" s="1980"/>
      <c r="U81" s="1981" t="s">
        <v>10</v>
      </c>
      <c r="V81" s="1982"/>
      <c r="W81" s="1998"/>
      <c r="X81" s="1978"/>
      <c r="Y81" s="1979" t="s">
        <v>8</v>
      </c>
      <c r="Z81" s="1984">
        <f>Z80/25*8.5</f>
        <v>0</v>
      </c>
      <c r="AA81" s="1980"/>
      <c r="AB81" s="1981" t="s">
        <v>10</v>
      </c>
      <c r="AC81" s="1982"/>
      <c r="AD81" s="1998"/>
      <c r="AE81" s="1978"/>
      <c r="AF81" s="1979" t="s">
        <v>8</v>
      </c>
      <c r="AG81" s="1984">
        <f>AG80/25*8.5</f>
        <v>0</v>
      </c>
      <c r="AH81" s="1980"/>
      <c r="AI81" s="1981" t="s">
        <v>10</v>
      </c>
      <c r="AJ81" s="1982"/>
      <c r="AK81" s="1998"/>
      <c r="AL81" s="1978"/>
      <c r="AM81" s="1979" t="s">
        <v>8</v>
      </c>
      <c r="AN81" s="1984">
        <f>AN80/25*8.5</f>
        <v>1.5605999999999944</v>
      </c>
      <c r="AO81" s="1980"/>
      <c r="AP81" s="1981" t="s">
        <v>10</v>
      </c>
      <c r="AQ81" s="1982"/>
      <c r="AR81" s="1998"/>
      <c r="AS81" s="1978"/>
      <c r="AT81" s="1979" t="s">
        <v>8</v>
      </c>
      <c r="AU81" s="1984">
        <f>AU80/25*8.5</f>
        <v>0</v>
      </c>
      <c r="AV81" s="1980"/>
      <c r="AW81" s="1981" t="s">
        <v>10</v>
      </c>
      <c r="AY81" s="1998"/>
      <c r="BA81" s="274" t="s">
        <v>8</v>
      </c>
      <c r="BB81" s="274">
        <v>0</v>
      </c>
      <c r="BD81" s="274" t="s">
        <v>10</v>
      </c>
    </row>
    <row r="82" spans="1:56" ht="33.75" customHeight="1">
      <c r="A82" s="1946" t="s">
        <v>288</v>
      </c>
      <c r="B82" s="1947" t="s">
        <v>128</v>
      </c>
      <c r="C82" s="1987" t="s">
        <v>1512</v>
      </c>
      <c r="D82" s="1948" t="s">
        <v>4</v>
      </c>
      <c r="E82" s="1949" t="str">
        <f>'XM.GUI MAIL'!E82</f>
        <v>50~70</v>
      </c>
      <c r="F82" s="2027" t="str">
        <f>'XM.GUI MAIL'!F82</f>
        <v>(60±5)</v>
      </c>
      <c r="G82" s="1950">
        <f>'XM.GUI MAIL'!G82</f>
        <v>60</v>
      </c>
      <c r="H82" s="1951">
        <f>XM.HN!B51</f>
        <v>13.75</v>
      </c>
      <c r="I82" s="2067">
        <f>H82*4.62</f>
        <v>63.524999999999999</v>
      </c>
      <c r="J82" s="1953">
        <f>($G$82-I82)*8200/1000</f>
        <v>-28.90499999999999</v>
      </c>
      <c r="K82" s="1954" t="s">
        <v>8</v>
      </c>
      <c r="L82" s="1955">
        <f t="shared" si="17"/>
        <v>0</v>
      </c>
      <c r="M82" s="1956"/>
      <c r="N82" s="1957" t="s">
        <v>9</v>
      </c>
      <c r="O82" s="1958">
        <f>XM.HN!C51</f>
        <v>13.7</v>
      </c>
      <c r="P82" s="2067">
        <f>O82*4.62</f>
        <v>63.293999999999997</v>
      </c>
      <c r="Q82" s="1953">
        <f>($G$82-P82)*8200/1000</f>
        <v>-27.010799999999975</v>
      </c>
      <c r="R82" s="1954" t="s">
        <v>8</v>
      </c>
      <c r="S82" s="1955">
        <f t="shared" si="18"/>
        <v>0</v>
      </c>
      <c r="T82" s="1956"/>
      <c r="U82" s="1957" t="s">
        <v>9</v>
      </c>
      <c r="V82" s="1958">
        <f>XM.HN!D51</f>
        <v>13.4</v>
      </c>
      <c r="W82" s="2067">
        <f>V82*4.62</f>
        <v>61.908000000000001</v>
      </c>
      <c r="X82" s="1953">
        <f>($G$82-W82)*8200/1000</f>
        <v>-15.645600000000009</v>
      </c>
      <c r="Y82" s="1954" t="s">
        <v>8</v>
      </c>
      <c r="Z82" s="1955">
        <f t="shared" si="19"/>
        <v>0</v>
      </c>
      <c r="AA82" s="1956"/>
      <c r="AB82" s="1957" t="s">
        <v>9</v>
      </c>
      <c r="AC82" s="1958">
        <f>XM.HN!E51</f>
        <v>13.4</v>
      </c>
      <c r="AD82" s="2067">
        <v>61.2</v>
      </c>
      <c r="AE82" s="1953">
        <f>($G$82-AD82)*8200/1000</f>
        <v>-9.840000000000023</v>
      </c>
      <c r="AF82" s="1954" t="s">
        <v>8</v>
      </c>
      <c r="AG82" s="1955">
        <f t="shared" si="20"/>
        <v>0</v>
      </c>
      <c r="AH82" s="1956"/>
      <c r="AI82" s="1957" t="s">
        <v>9</v>
      </c>
      <c r="AJ82" s="1958">
        <f>XM.HN!F51</f>
        <v>0</v>
      </c>
      <c r="AK82" s="2067">
        <v>60.5</v>
      </c>
      <c r="AL82" s="1953">
        <f>($G$82-AK82)*8200/1000</f>
        <v>-4.0999999999999996</v>
      </c>
      <c r="AM82" s="1954" t="s">
        <v>8</v>
      </c>
      <c r="AN82" s="1955">
        <f t="shared" si="21"/>
        <v>0</v>
      </c>
      <c r="AO82" s="1956"/>
      <c r="AP82" s="1957" t="s">
        <v>9</v>
      </c>
      <c r="AQ82" s="1958">
        <f>XM.HN!G51</f>
        <v>13.3</v>
      </c>
      <c r="AR82" s="2067">
        <v>60</v>
      </c>
      <c r="AS82" s="1953">
        <f>($G$82-AR82)*8200/1000</f>
        <v>0</v>
      </c>
      <c r="AT82" s="1954" t="s">
        <v>8</v>
      </c>
      <c r="AU82" s="1955">
        <f t="shared" si="22"/>
        <v>0</v>
      </c>
      <c r="AV82" s="1956"/>
      <c r="AW82" s="1957" t="s">
        <v>9</v>
      </c>
      <c r="AY82" s="2067">
        <v>59.136000000000003</v>
      </c>
      <c r="AZ82" s="274">
        <v>7.0847999999999773</v>
      </c>
      <c r="BA82" s="274" t="s">
        <v>8</v>
      </c>
      <c r="BB82" s="274">
        <v>7.0847999999999773</v>
      </c>
      <c r="BD82" s="274" t="s">
        <v>9</v>
      </c>
    </row>
    <row r="83" spans="1:56" ht="33.75" customHeight="1">
      <c r="A83" s="1971"/>
      <c r="B83" s="1972"/>
      <c r="C83" s="1986" t="s">
        <v>234</v>
      </c>
      <c r="D83" s="1974"/>
      <c r="E83" s="1975" t="s">
        <v>1287</v>
      </c>
      <c r="F83" s="2028"/>
      <c r="G83" s="1976"/>
      <c r="H83" s="1977"/>
      <c r="I83" s="1998"/>
      <c r="J83" s="1978"/>
      <c r="K83" s="1979" t="s">
        <v>8</v>
      </c>
      <c r="L83" s="1984"/>
      <c r="M83" s="1980"/>
      <c r="N83" s="1981" t="s">
        <v>10</v>
      </c>
      <c r="O83" s="1982"/>
      <c r="P83" s="1998"/>
      <c r="Q83" s="1978"/>
      <c r="R83" s="1979" t="s">
        <v>8</v>
      </c>
      <c r="S83" s="1984"/>
      <c r="T83" s="1980"/>
      <c r="U83" s="1981" t="s">
        <v>10</v>
      </c>
      <c r="V83" s="1982"/>
      <c r="W83" s="1998"/>
      <c r="X83" s="1978"/>
      <c r="Y83" s="1979" t="s">
        <v>8</v>
      </c>
      <c r="Z83" s="1984"/>
      <c r="AA83" s="1980"/>
      <c r="AB83" s="1981" t="s">
        <v>10</v>
      </c>
      <c r="AC83" s="1982"/>
      <c r="AD83" s="1998"/>
      <c r="AE83" s="1978"/>
      <c r="AF83" s="1979" t="s">
        <v>8</v>
      </c>
      <c r="AG83" s="1984"/>
      <c r="AH83" s="1980"/>
      <c r="AI83" s="1981" t="s">
        <v>10</v>
      </c>
      <c r="AJ83" s="1982"/>
      <c r="AK83" s="1998"/>
      <c r="AL83" s="1978"/>
      <c r="AM83" s="1979" t="s">
        <v>8</v>
      </c>
      <c r="AN83" s="1984"/>
      <c r="AO83" s="1980"/>
      <c r="AP83" s="1981" t="s">
        <v>10</v>
      </c>
      <c r="AQ83" s="1982"/>
      <c r="AR83" s="1998"/>
      <c r="AS83" s="1978"/>
      <c r="AT83" s="1979" t="s">
        <v>8</v>
      </c>
      <c r="AU83" s="1984"/>
      <c r="AV83" s="1980"/>
      <c r="AW83" s="1981" t="s">
        <v>10</v>
      </c>
      <c r="AY83" s="1998"/>
      <c r="BA83" s="274" t="s">
        <v>8</v>
      </c>
      <c r="BD83" s="274" t="s">
        <v>10</v>
      </c>
    </row>
    <row r="84" spans="1:56" ht="33.75" customHeight="1">
      <c r="A84" s="1946" t="s">
        <v>289</v>
      </c>
      <c r="B84" s="1947" t="s">
        <v>128</v>
      </c>
      <c r="C84" s="1987" t="s">
        <v>1513</v>
      </c>
      <c r="D84" s="1948" t="s">
        <v>4</v>
      </c>
      <c r="E84" s="1949" t="str">
        <f>'XM.GUI MAIL'!E84</f>
        <v>50~70</v>
      </c>
      <c r="F84" s="2027" t="str">
        <f>'XM.GUI MAIL'!F84</f>
        <v>(60±5)</v>
      </c>
      <c r="G84" s="1950">
        <f>'XM.GUI MAIL'!G84</f>
        <v>60</v>
      </c>
      <c r="H84" s="1951">
        <f>XM.HN!B53</f>
        <v>13.35</v>
      </c>
      <c r="I84" s="2067">
        <v>59.7</v>
      </c>
      <c r="J84" s="1953">
        <f>($G$84-I84)*8668/1000</f>
        <v>2.6003999999999756</v>
      </c>
      <c r="K84" s="1954" t="s">
        <v>8</v>
      </c>
      <c r="L84" s="1955">
        <f t="shared" si="17"/>
        <v>2.6003999999999756</v>
      </c>
      <c r="M84" s="1956"/>
      <c r="N84" s="1957" t="s">
        <v>9</v>
      </c>
      <c r="O84" s="1958">
        <f>XM.HN!C53</f>
        <v>13.65</v>
      </c>
      <c r="P84" s="2067">
        <f>O84*4.62</f>
        <v>63.063000000000002</v>
      </c>
      <c r="Q84" s="1953">
        <f>($G$84-P84)*8668/1000</f>
        <v>-26.55008400000002</v>
      </c>
      <c r="R84" s="1954" t="s">
        <v>8</v>
      </c>
      <c r="S84" s="1955">
        <f t="shared" si="18"/>
        <v>0</v>
      </c>
      <c r="T84" s="1956"/>
      <c r="U84" s="1957" t="s">
        <v>9</v>
      </c>
      <c r="V84" s="1958">
        <f>XM.HN!D53</f>
        <v>13.1</v>
      </c>
      <c r="W84" s="2067">
        <f>V84*4.62</f>
        <v>60.521999999999998</v>
      </c>
      <c r="X84" s="1953">
        <f>($G$84-W84)*8668/1000</f>
        <v>-4.5246959999999863</v>
      </c>
      <c r="Y84" s="1954" t="s">
        <v>8</v>
      </c>
      <c r="Z84" s="1955">
        <f t="shared" si="19"/>
        <v>0</v>
      </c>
      <c r="AA84" s="1956"/>
      <c r="AB84" s="1957" t="s">
        <v>9</v>
      </c>
      <c r="AC84" s="1958">
        <f>XM.HN!E53</f>
        <v>13</v>
      </c>
      <c r="AD84" s="2067">
        <f>AC84*4.62</f>
        <v>60.06</v>
      </c>
      <c r="AE84" s="1953">
        <f>($G$84-AD84)*8668/1000</f>
        <v>-0.52008000000001975</v>
      </c>
      <c r="AF84" s="1954" t="s">
        <v>8</v>
      </c>
      <c r="AG84" s="1955">
        <f t="shared" si="20"/>
        <v>0</v>
      </c>
      <c r="AH84" s="1956"/>
      <c r="AI84" s="1957" t="s">
        <v>9</v>
      </c>
      <c r="AJ84" s="1958">
        <f>XM.HN!F53</f>
        <v>0</v>
      </c>
      <c r="AK84" s="2067">
        <v>60</v>
      </c>
      <c r="AL84" s="1953">
        <f>($G$84-AK84)*8668/1000</f>
        <v>0</v>
      </c>
      <c r="AM84" s="1954" t="s">
        <v>8</v>
      </c>
      <c r="AN84" s="1955">
        <f t="shared" si="21"/>
        <v>0</v>
      </c>
      <c r="AO84" s="1956"/>
      <c r="AP84" s="1957" t="s">
        <v>9</v>
      </c>
      <c r="AQ84" s="1958">
        <f>XM.HN!G53</f>
        <v>13</v>
      </c>
      <c r="AR84" s="2067">
        <v>60</v>
      </c>
      <c r="AS84" s="1953">
        <f>($G$84-AR84)*8668/1000</f>
        <v>0</v>
      </c>
      <c r="AT84" s="1954" t="s">
        <v>8</v>
      </c>
      <c r="AU84" s="1955">
        <f t="shared" si="22"/>
        <v>0</v>
      </c>
      <c r="AV84" s="1956"/>
      <c r="AW84" s="1957" t="s">
        <v>9</v>
      </c>
      <c r="AY84" s="2067">
        <v>60</v>
      </c>
      <c r="AZ84" s="274">
        <v>0</v>
      </c>
      <c r="BA84" s="274" t="s">
        <v>8</v>
      </c>
      <c r="BB84" s="274">
        <v>0</v>
      </c>
      <c r="BD84" s="274" t="s">
        <v>9</v>
      </c>
    </row>
    <row r="85" spans="1:56" ht="33.75" customHeight="1">
      <c r="A85" s="1971"/>
      <c r="B85" s="1972"/>
      <c r="C85" s="1986" t="s">
        <v>234</v>
      </c>
      <c r="D85" s="1974"/>
      <c r="E85" s="1975" t="s">
        <v>1287</v>
      </c>
      <c r="F85" s="2028"/>
      <c r="G85" s="1976"/>
      <c r="H85" s="1977"/>
      <c r="I85" s="1998"/>
      <c r="J85" s="1978"/>
      <c r="K85" s="1979" t="s">
        <v>8</v>
      </c>
      <c r="L85" s="1984"/>
      <c r="M85" s="1980"/>
      <c r="N85" s="1981" t="s">
        <v>10</v>
      </c>
      <c r="O85" s="1982"/>
      <c r="P85" s="1998"/>
      <c r="Q85" s="1978"/>
      <c r="R85" s="1979" t="s">
        <v>8</v>
      </c>
      <c r="S85" s="1984"/>
      <c r="T85" s="1980"/>
      <c r="U85" s="1981" t="s">
        <v>10</v>
      </c>
      <c r="V85" s="1982"/>
      <c r="W85" s="1998"/>
      <c r="X85" s="1978"/>
      <c r="Y85" s="1979" t="s">
        <v>8</v>
      </c>
      <c r="Z85" s="1984"/>
      <c r="AA85" s="1980"/>
      <c r="AB85" s="1981" t="s">
        <v>10</v>
      </c>
      <c r="AC85" s="1982"/>
      <c r="AD85" s="1998"/>
      <c r="AE85" s="1978"/>
      <c r="AF85" s="1979" t="s">
        <v>8</v>
      </c>
      <c r="AG85" s="1984"/>
      <c r="AH85" s="1980"/>
      <c r="AI85" s="1981" t="s">
        <v>10</v>
      </c>
      <c r="AJ85" s="1982"/>
      <c r="AK85" s="1998"/>
      <c r="AL85" s="1978"/>
      <c r="AM85" s="1979" t="s">
        <v>8</v>
      </c>
      <c r="AN85" s="1984"/>
      <c r="AO85" s="1980"/>
      <c r="AP85" s="1981" t="s">
        <v>10</v>
      </c>
      <c r="AQ85" s="1982"/>
      <c r="AR85" s="1998"/>
      <c r="AS85" s="1978"/>
      <c r="AT85" s="1979" t="s">
        <v>8</v>
      </c>
      <c r="AU85" s="1984"/>
      <c r="AV85" s="1980"/>
      <c r="AW85" s="1981" t="s">
        <v>10</v>
      </c>
      <c r="AY85" s="1998"/>
      <c r="BA85" s="274" t="s">
        <v>8</v>
      </c>
      <c r="BD85" s="274" t="s">
        <v>10</v>
      </c>
    </row>
    <row r="86" spans="1:56" ht="33.75" customHeight="1">
      <c r="A86" s="1028" t="s">
        <v>290</v>
      </c>
      <c r="B86" s="1028" t="s">
        <v>128</v>
      </c>
      <c r="C86" s="107" t="s">
        <v>81</v>
      </c>
      <c r="D86" s="47" t="s">
        <v>4</v>
      </c>
      <c r="E86" s="13" t="str">
        <f>'XM.GUI MAIL'!E86</f>
        <v>135~ 145</v>
      </c>
      <c r="F86" s="2029" t="str">
        <f>'XM.GUI MAIL'!F86</f>
        <v>(140±5)</v>
      </c>
      <c r="G86" s="1109">
        <f>'XM.GUI MAIL'!G86</f>
        <v>140</v>
      </c>
      <c r="H86" s="92">
        <f>XM.HN!B55</f>
        <v>17.95</v>
      </c>
      <c r="I86" s="1852">
        <f>H86*8</f>
        <v>143.6</v>
      </c>
      <c r="J86" s="1844">
        <f>($G$86-I86)*53066/1000</f>
        <v>-191.03759999999968</v>
      </c>
      <c r="K86" s="1845" t="s">
        <v>8</v>
      </c>
      <c r="L86" s="1846">
        <f t="shared" si="17"/>
        <v>0</v>
      </c>
      <c r="M86" s="1846"/>
      <c r="N86" s="1994" t="s">
        <v>9</v>
      </c>
      <c r="O86" s="1842">
        <f>XM.HN!C55</f>
        <v>18.100000000000001</v>
      </c>
      <c r="P86" s="1852">
        <f>O86*8</f>
        <v>144.80000000000001</v>
      </c>
      <c r="Q86" s="1844">
        <f>($G$86-P86)*53066/1000</f>
        <v>-254.7168000000006</v>
      </c>
      <c r="R86" s="1845" t="s">
        <v>8</v>
      </c>
      <c r="S86" s="1846">
        <f t="shared" ref="S86:S88" si="23">IF(Q86&lt;0,0,Q86)</f>
        <v>0</v>
      </c>
      <c r="T86" s="1846"/>
      <c r="U86" s="1847" t="s">
        <v>9</v>
      </c>
      <c r="V86" s="1296">
        <f>XM.HN!D55</f>
        <v>17.899999999999999</v>
      </c>
      <c r="W86" s="1852">
        <f>V86*8</f>
        <v>143.19999999999999</v>
      </c>
      <c r="X86" s="1844">
        <f>($G$86-W86)*53066/1000</f>
        <v>-169.81119999999939</v>
      </c>
      <c r="Y86" s="1845" t="s">
        <v>8</v>
      </c>
      <c r="Z86" s="1846">
        <f t="shared" ref="Z86:Z88" si="24">IF(X86&lt;0,0,X86)</f>
        <v>0</v>
      </c>
      <c r="AA86" s="1846"/>
      <c r="AB86" s="1847" t="s">
        <v>9</v>
      </c>
      <c r="AC86" s="89">
        <f>XM.HN!E55</f>
        <v>17.8</v>
      </c>
      <c r="AD86" s="1852">
        <f>AC86*8</f>
        <v>142.4</v>
      </c>
      <c r="AE86" s="1844">
        <f>($G$86-AD86)*53066/1000</f>
        <v>-127.3584000000003</v>
      </c>
      <c r="AF86" s="1845" t="s">
        <v>8</v>
      </c>
      <c r="AG86" s="1846">
        <f t="shared" ref="AG86:AG88" si="25">IF(AE86&lt;0,0,AE86)</f>
        <v>0</v>
      </c>
      <c r="AH86" s="1846"/>
      <c r="AI86" s="1847" t="s">
        <v>9</v>
      </c>
      <c r="AJ86" s="89">
        <f>XM.HN!F55</f>
        <v>0</v>
      </c>
      <c r="AK86" s="1852">
        <v>142</v>
      </c>
      <c r="AL86" s="1844">
        <f>($G$86-AK86)*53066/1000</f>
        <v>-106.13200000000001</v>
      </c>
      <c r="AM86" s="1845" t="s">
        <v>8</v>
      </c>
      <c r="AN86" s="1846">
        <f t="shared" ref="AN86:AN88" si="26">IF(AL86&lt;0,0,AL86)</f>
        <v>0</v>
      </c>
      <c r="AO86" s="1846"/>
      <c r="AP86" s="1847" t="s">
        <v>9</v>
      </c>
      <c r="AQ86" s="89">
        <f>XM.HN!G55</f>
        <v>17.8</v>
      </c>
      <c r="AR86" s="1852">
        <v>141.80000000000001</v>
      </c>
      <c r="AS86" s="1834">
        <f>($G$86-AR86)*53066/1000</f>
        <v>-95.518800000000596</v>
      </c>
      <c r="AT86" s="1835" t="s">
        <v>8</v>
      </c>
      <c r="AU86" s="1836">
        <f t="shared" ref="AU86:AU88" si="27">IF(AS86&lt;0,0,AS86)</f>
        <v>0</v>
      </c>
      <c r="AV86" s="1836"/>
      <c r="AW86" s="1837" t="s">
        <v>9</v>
      </c>
      <c r="AY86" s="1852">
        <v>139.19999999999999</v>
      </c>
      <c r="AZ86" s="274">
        <v>42.452800000000607</v>
      </c>
      <c r="BA86" s="274" t="s">
        <v>8</v>
      </c>
      <c r="BB86" s="274">
        <v>42.452800000000607</v>
      </c>
      <c r="BD86" s="274" t="s">
        <v>9</v>
      </c>
    </row>
    <row r="87" spans="1:56" ht="33.75" customHeight="1">
      <c r="A87" s="47" t="s">
        <v>291</v>
      </c>
      <c r="B87" s="1028" t="s">
        <v>128</v>
      </c>
      <c r="C87" s="1199" t="s">
        <v>82</v>
      </c>
      <c r="D87" s="47" t="s">
        <v>4</v>
      </c>
      <c r="E87" s="13" t="str">
        <f>'XM.GUI MAIL'!E87</f>
        <v>7~10</v>
      </c>
      <c r="F87" s="2029" t="str">
        <f>'XM.GUI MAIL'!F87</f>
        <v>(8.5±1)</v>
      </c>
      <c r="G87" s="1109">
        <f>'XM.GUI MAIL'!G87</f>
        <v>8.5</v>
      </c>
      <c r="H87" s="92">
        <f>XM.HN!B56</f>
        <v>6.6</v>
      </c>
      <c r="I87" s="2067">
        <f>H87*1.3</f>
        <v>8.58</v>
      </c>
      <c r="J87" s="1844">
        <f>($G$87-I87)*53066/1000</f>
        <v>-4.2452800000000037</v>
      </c>
      <c r="K87" s="1845" t="s">
        <v>8</v>
      </c>
      <c r="L87" s="1865">
        <f t="shared" si="17"/>
        <v>0</v>
      </c>
      <c r="M87" s="2192"/>
      <c r="N87" s="1847" t="s">
        <v>989</v>
      </c>
      <c r="O87" s="92">
        <f>XM.HN!C56</f>
        <v>6.4</v>
      </c>
      <c r="P87" s="2067">
        <f>O87*1.3</f>
        <v>8.32</v>
      </c>
      <c r="Q87" s="1844">
        <f>($G$87-P87)*53066/1000</f>
        <v>9.5518799999999846</v>
      </c>
      <c r="R87" s="1845" t="s">
        <v>8</v>
      </c>
      <c r="S87" s="1865">
        <f t="shared" si="23"/>
        <v>9.5518799999999846</v>
      </c>
      <c r="T87" s="2192"/>
      <c r="U87" s="1847" t="s">
        <v>989</v>
      </c>
      <c r="V87" s="20">
        <f>XM.HN!D56</f>
        <v>6.45</v>
      </c>
      <c r="W87" s="2067">
        <f>V87*1.3</f>
        <v>8.3849999999999998</v>
      </c>
      <c r="X87" s="1844">
        <f>($G$87-W87)*53066/1000</f>
        <v>6.1025900000000108</v>
      </c>
      <c r="Y87" s="1845" t="s">
        <v>8</v>
      </c>
      <c r="Z87" s="1865">
        <f t="shared" si="24"/>
        <v>6.1025900000000108</v>
      </c>
      <c r="AA87" s="2192"/>
      <c r="AB87" s="1847" t="s">
        <v>989</v>
      </c>
      <c r="AC87" s="89">
        <f>XM.HN!E56</f>
        <v>6.5</v>
      </c>
      <c r="AD87" s="2067">
        <f>AC87*1.3</f>
        <v>8.4500000000000011</v>
      </c>
      <c r="AE87" s="1844">
        <f>($G$87-AD87)*53066/1000</f>
        <v>2.6532999999999434</v>
      </c>
      <c r="AF87" s="1845" t="s">
        <v>8</v>
      </c>
      <c r="AG87" s="1865">
        <f t="shared" si="25"/>
        <v>2.6532999999999434</v>
      </c>
      <c r="AH87" s="2192"/>
      <c r="AI87" s="1847" t="s">
        <v>989</v>
      </c>
      <c r="AJ87" s="89">
        <f>XM.HN!F56</f>
        <v>0</v>
      </c>
      <c r="AK87" s="2067">
        <v>8.6</v>
      </c>
      <c r="AL87" s="1844">
        <f>($G$87-AK87)*53066/1000</f>
        <v>-5.3065999999999809</v>
      </c>
      <c r="AM87" s="1845" t="s">
        <v>8</v>
      </c>
      <c r="AN87" s="1865">
        <f t="shared" si="26"/>
        <v>0</v>
      </c>
      <c r="AO87" s="2192"/>
      <c r="AP87" s="1847" t="s">
        <v>989</v>
      </c>
      <c r="AQ87" s="89">
        <f>XM.HN!G56</f>
        <v>6.5</v>
      </c>
      <c r="AR87" s="2067">
        <f>AQ87*1.3</f>
        <v>8.4500000000000011</v>
      </c>
      <c r="AS87" s="1848">
        <f>($G$87-AR87)*53066/1000</f>
        <v>2.6532999999999434</v>
      </c>
      <c r="AT87" s="1848" t="s">
        <v>8</v>
      </c>
      <c r="AU87" s="1836">
        <f t="shared" si="27"/>
        <v>2.6532999999999434</v>
      </c>
      <c r="AV87" s="1836"/>
      <c r="AW87" s="1837" t="s">
        <v>989</v>
      </c>
      <c r="AY87" s="1838">
        <v>8.6999999999999993</v>
      </c>
      <c r="AZ87" s="274">
        <v>-10.613199999999962</v>
      </c>
      <c r="BA87" s="274" t="s">
        <v>8</v>
      </c>
      <c r="BB87" s="274">
        <v>0</v>
      </c>
      <c r="BD87" s="274" t="s">
        <v>9</v>
      </c>
    </row>
    <row r="88" spans="1:56" ht="37.5" customHeight="1">
      <c r="A88" s="285" t="s">
        <v>292</v>
      </c>
      <c r="B88" s="1028" t="s">
        <v>128</v>
      </c>
      <c r="C88" s="1435" t="s">
        <v>1154</v>
      </c>
      <c r="D88" s="1433" t="s">
        <v>3</v>
      </c>
      <c r="E88" s="13" t="str">
        <f>'XM.GUI MAIL'!E88</f>
        <v>5~8</v>
      </c>
      <c r="F88" s="2029" t="str">
        <f>'XM.GUI MAIL'!F88</f>
        <v>(6±1)</v>
      </c>
      <c r="G88" s="1109">
        <f>'XM.GUI MAIL'!G88</f>
        <v>6</v>
      </c>
      <c r="H88" s="92">
        <f>XM.HN!B57</f>
        <v>17.7</v>
      </c>
      <c r="I88" s="1838">
        <f>(H88*0.4237)-1.0461</f>
        <v>6.4533899999999997</v>
      </c>
      <c r="J88" s="1844">
        <f>($G$88-I88)*3360/100</f>
        <v>-15.23390399999999</v>
      </c>
      <c r="K88" s="1845" t="s">
        <v>8</v>
      </c>
      <c r="L88" s="1846">
        <f t="shared" si="17"/>
        <v>0</v>
      </c>
      <c r="M88" s="1846"/>
      <c r="N88" s="1994" t="s">
        <v>10</v>
      </c>
      <c r="O88" s="1995">
        <f>XM.HN!C57</f>
        <v>17.649999999999999</v>
      </c>
      <c r="P88" s="1838">
        <f>(O88*0.4237)-1.0461</f>
        <v>6.4322049999999997</v>
      </c>
      <c r="Q88" s="1844">
        <f>($G$88-P88)*3360/100</f>
        <v>-14.522087999999989</v>
      </c>
      <c r="R88" s="1845" t="s">
        <v>8</v>
      </c>
      <c r="S88" s="1846">
        <f t="shared" si="23"/>
        <v>0</v>
      </c>
      <c r="T88" s="1846"/>
      <c r="U88" s="1847" t="s">
        <v>10</v>
      </c>
      <c r="V88" s="1296">
        <f>XM.HN!D57</f>
        <v>17</v>
      </c>
      <c r="W88" s="1838">
        <f>(V88*0.4237)-1.0461</f>
        <v>6.1568000000000005</v>
      </c>
      <c r="X88" s="1844">
        <f>($G$88-W88)*3360/100</f>
        <v>-5.2684800000000163</v>
      </c>
      <c r="Y88" s="1845" t="s">
        <v>8</v>
      </c>
      <c r="Z88" s="1846">
        <f t="shared" si="24"/>
        <v>0</v>
      </c>
      <c r="AA88" s="1846"/>
      <c r="AB88" s="1847" t="s">
        <v>10</v>
      </c>
      <c r="AC88" s="89">
        <f>XM.HN!E57</f>
        <v>18.3</v>
      </c>
      <c r="AD88" s="1838">
        <v>6.1</v>
      </c>
      <c r="AE88" s="1844">
        <f>($G$88-AD88)*3360/100</f>
        <v>-3.3599999999999879</v>
      </c>
      <c r="AF88" s="1845" t="s">
        <v>8</v>
      </c>
      <c r="AG88" s="1846">
        <f t="shared" si="25"/>
        <v>0</v>
      </c>
      <c r="AH88" s="1846"/>
      <c r="AI88" s="1847" t="s">
        <v>10</v>
      </c>
      <c r="AJ88" s="89">
        <f>XM.HN!F57</f>
        <v>0</v>
      </c>
      <c r="AK88" s="1838">
        <v>6</v>
      </c>
      <c r="AL88" s="1844">
        <f>($G$88-AK88)*3360/100</f>
        <v>0</v>
      </c>
      <c r="AM88" s="1845" t="s">
        <v>8</v>
      </c>
      <c r="AN88" s="1846">
        <f t="shared" si="26"/>
        <v>0</v>
      </c>
      <c r="AO88" s="1846"/>
      <c r="AP88" s="1847" t="s">
        <v>10</v>
      </c>
      <c r="AQ88" s="89">
        <f>XM.HN!G57</f>
        <v>17.899999999999999</v>
      </c>
      <c r="AR88" s="1838">
        <v>5.9</v>
      </c>
      <c r="AS88" s="1844">
        <f>($G$88-AR88)*3360/100</f>
        <v>3.3599999999999879</v>
      </c>
      <c r="AT88" s="1845" t="s">
        <v>8</v>
      </c>
      <c r="AU88" s="1846">
        <f t="shared" si="27"/>
        <v>3.3599999999999879</v>
      </c>
      <c r="AV88" s="1846"/>
      <c r="AW88" s="1847" t="s">
        <v>10</v>
      </c>
      <c r="AY88" s="1838">
        <v>6.1</v>
      </c>
      <c r="AZ88" s="274">
        <v>-3.3599999999999879</v>
      </c>
      <c r="BA88" s="274" t="s">
        <v>8</v>
      </c>
      <c r="BB88" s="274">
        <v>0</v>
      </c>
      <c r="BD88" s="274" t="s">
        <v>10</v>
      </c>
    </row>
    <row r="89" spans="1:56" ht="33.75" customHeight="1">
      <c r="A89" s="47" t="s">
        <v>293</v>
      </c>
      <c r="B89" s="1028" t="s">
        <v>128</v>
      </c>
      <c r="C89" s="1418" t="str">
        <f>MENU!AE44</f>
        <v>Pha mới: 2023/12/08</v>
      </c>
      <c r="D89" s="1433" t="s">
        <v>5</v>
      </c>
      <c r="E89" s="13" t="str">
        <f>'XM.GUI MAIL'!E89</f>
        <v>2.0~2.4</v>
      </c>
      <c r="F89" s="2029" t="str">
        <f>'XM.GUI MAIL'!F89</f>
        <v>(2.2±0.1)</v>
      </c>
      <c r="G89" s="1109">
        <f>'XM.GUI MAIL'!G89</f>
        <v>0</v>
      </c>
      <c r="H89" s="92"/>
      <c r="I89" s="2456">
        <v>2.2599999999999998</v>
      </c>
      <c r="J89" s="1840"/>
      <c r="K89" s="1841"/>
      <c r="L89" s="1865"/>
      <c r="M89" s="2192"/>
      <c r="N89" s="1842"/>
      <c r="O89" s="92"/>
      <c r="P89" s="2456">
        <f>XM.HN!C66</f>
        <v>2.2400000000000002</v>
      </c>
      <c r="Q89" s="1848"/>
      <c r="R89" s="1848"/>
      <c r="S89" s="1865"/>
      <c r="T89" s="2192"/>
      <c r="U89" s="1853"/>
      <c r="V89" s="20"/>
      <c r="W89" s="2456">
        <v>2.25</v>
      </c>
      <c r="X89" s="1848"/>
      <c r="Y89" s="1848"/>
      <c r="Z89" s="1865"/>
      <c r="AA89" s="2192"/>
      <c r="AB89" s="1853"/>
      <c r="AC89" s="89"/>
      <c r="AD89" s="2456">
        <v>2.23</v>
      </c>
      <c r="AE89" s="1848"/>
      <c r="AF89" s="1848"/>
      <c r="AG89" s="1865"/>
      <c r="AH89" s="2192"/>
      <c r="AI89" s="1853"/>
      <c r="AJ89" s="89"/>
      <c r="AK89" s="2456">
        <v>2.25</v>
      </c>
      <c r="AL89" s="1848"/>
      <c r="AM89" s="1848"/>
      <c r="AN89" s="1865"/>
      <c r="AO89" s="2192"/>
      <c r="AP89" s="1853"/>
      <c r="AQ89" s="89"/>
      <c r="AR89" s="2456">
        <f>XM.HN!G66</f>
        <v>2.2000000000000002</v>
      </c>
      <c r="AS89" s="1840"/>
      <c r="AT89" s="1841"/>
      <c r="AU89" s="1841"/>
      <c r="AV89" s="1841"/>
      <c r="AW89" s="1880"/>
      <c r="AY89" s="1838">
        <v>2.16</v>
      </c>
    </row>
    <row r="90" spans="1:56" ht="33.75" customHeight="1">
      <c r="A90" s="286" t="s">
        <v>294</v>
      </c>
      <c r="B90" s="1028" t="s">
        <v>128</v>
      </c>
      <c r="C90" s="107" t="s">
        <v>1601</v>
      </c>
      <c r="D90" s="47" t="s">
        <v>6</v>
      </c>
      <c r="E90" s="13" t="str">
        <f>'XM.GUI MAIL'!E90</f>
        <v>40~50</v>
      </c>
      <c r="F90" s="2029" t="str">
        <f>'XM.GUI MAIL'!F90</f>
        <v>(45±5)</v>
      </c>
      <c r="G90" s="1414">
        <f>'XM.GUI MAIL'!G90</f>
        <v>0.45</v>
      </c>
      <c r="H90" s="92">
        <f>XM.HN!B59</f>
        <v>2.1800000000000002</v>
      </c>
      <c r="I90" s="1854">
        <v>0.46500000000000002</v>
      </c>
      <c r="J90" s="1844">
        <f>($G$90-I90)*3361</f>
        <v>-50.415000000000042</v>
      </c>
      <c r="K90" s="1845" t="s">
        <v>8</v>
      </c>
      <c r="L90" s="1846">
        <f t="shared" ref="L90:L95" si="28">IF(J90&lt;0,0,J90)</f>
        <v>0</v>
      </c>
      <c r="M90" s="1846"/>
      <c r="N90" s="1994" t="s">
        <v>10</v>
      </c>
      <c r="O90" s="1842">
        <f>XM.HN!C59</f>
        <v>2.14</v>
      </c>
      <c r="P90" s="1854">
        <v>0.46400000000000002</v>
      </c>
      <c r="Q90" s="1844">
        <f>($G$90-P90)*3361</f>
        <v>-47.054000000000045</v>
      </c>
      <c r="R90" s="1845" t="s">
        <v>8</v>
      </c>
      <c r="S90" s="1846">
        <f t="shared" ref="S90:S95" si="29">IF(Q90&lt;0,0,Q90)</f>
        <v>0</v>
      </c>
      <c r="T90" s="1846"/>
      <c r="U90" s="1994" t="s">
        <v>10</v>
      </c>
      <c r="V90" s="1296">
        <f>XM.HN!D59</f>
        <v>2.1</v>
      </c>
      <c r="W90" s="1854">
        <v>0.46</v>
      </c>
      <c r="X90" s="1844">
        <f>($G$90-W90)*3361</f>
        <v>-33.610000000000028</v>
      </c>
      <c r="Y90" s="1845" t="s">
        <v>8</v>
      </c>
      <c r="Z90" s="1846">
        <f t="shared" ref="Z90:Z95" si="30">IF(X90&lt;0,0,X90)</f>
        <v>0</v>
      </c>
      <c r="AA90" s="1846"/>
      <c r="AB90" s="1994" t="s">
        <v>10</v>
      </c>
      <c r="AC90" s="89">
        <f>XM.HN!E59</f>
        <v>2.1800000000000002</v>
      </c>
      <c r="AD90" s="1854">
        <v>0.45600000000000002</v>
      </c>
      <c r="AE90" s="1844">
        <f>($G$90-AD90)*3361</f>
        <v>-20.166000000000018</v>
      </c>
      <c r="AF90" s="1845" t="s">
        <v>8</v>
      </c>
      <c r="AG90" s="1846">
        <f t="shared" ref="AG90:AG95" si="31">IF(AE90&lt;0,0,AE90)</f>
        <v>0</v>
      </c>
      <c r="AH90" s="1846"/>
      <c r="AI90" s="1994" t="s">
        <v>10</v>
      </c>
      <c r="AJ90" s="89">
        <f>XM.HN!F59</f>
        <v>0</v>
      </c>
      <c r="AK90" s="1854">
        <v>0.45200000000000001</v>
      </c>
      <c r="AL90" s="1844">
        <f>($G$90-AK90)*3361</f>
        <v>-6.7220000000000057</v>
      </c>
      <c r="AM90" s="1845" t="s">
        <v>8</v>
      </c>
      <c r="AN90" s="1846">
        <f t="shared" ref="AN90:AN95" si="32">IF(AL90&lt;0,0,AL90)</f>
        <v>0</v>
      </c>
      <c r="AO90" s="1846"/>
      <c r="AP90" s="1994" t="s">
        <v>10</v>
      </c>
      <c r="AQ90" s="89">
        <f>XM.HN!G59</f>
        <v>2.14</v>
      </c>
      <c r="AR90" s="1854">
        <v>0.45</v>
      </c>
      <c r="AS90" s="1844">
        <f>($G$90-AR90)*3361</f>
        <v>0</v>
      </c>
      <c r="AT90" s="1845" t="s">
        <v>8</v>
      </c>
      <c r="AU90" s="1846">
        <f t="shared" ref="AU90:AU95" si="33">IF(AS90&lt;0,0,AS90)</f>
        <v>0</v>
      </c>
      <c r="AV90" s="1846"/>
      <c r="AW90" s="1994" t="s">
        <v>10</v>
      </c>
      <c r="AY90" s="1854">
        <v>0.47</v>
      </c>
      <c r="AZ90" s="274">
        <v>-67.219999999999871</v>
      </c>
      <c r="BA90" s="274" t="s">
        <v>8</v>
      </c>
      <c r="BB90" s="274">
        <v>0</v>
      </c>
      <c r="BD90" s="274" t="s">
        <v>10</v>
      </c>
    </row>
    <row r="91" spans="1:56" ht="33.75" customHeight="1">
      <c r="A91" s="2487"/>
      <c r="B91" s="2489"/>
      <c r="C91" s="107" t="s">
        <v>1602</v>
      </c>
      <c r="D91" s="2488" t="s">
        <v>6</v>
      </c>
      <c r="E91" s="13" t="str">
        <f>'XM.GUI MAIL'!E92</f>
        <v>40~50</v>
      </c>
      <c r="F91" s="2029" t="str">
        <f>'XM.GUI MAIL'!F92</f>
        <v>(45±5)</v>
      </c>
      <c r="G91" s="1414">
        <f>'XM.GUI MAIL'!G92</f>
        <v>0.45</v>
      </c>
      <c r="H91" s="92">
        <f>XM.HN!B60</f>
        <v>2.02</v>
      </c>
      <c r="I91" s="1854">
        <f>(1*H91*36.5)/(0.5*10)/32%/100</f>
        <v>0.46081249999999996</v>
      </c>
      <c r="J91" s="1844">
        <f>($G$90-I91)*3361</f>
        <v>-36.340812499999821</v>
      </c>
      <c r="K91" s="1845" t="s">
        <v>8</v>
      </c>
      <c r="L91" s="1846">
        <f t="shared" si="28"/>
        <v>0</v>
      </c>
      <c r="M91" s="1846"/>
      <c r="N91" s="1994" t="s">
        <v>10</v>
      </c>
      <c r="O91" s="1842">
        <f>XM.HN!C60</f>
        <v>1.98</v>
      </c>
      <c r="P91" s="1854">
        <f>(1*O91*36.5)/(0.5*10)/32%/100</f>
        <v>0.45168749999999996</v>
      </c>
      <c r="Q91" s="1844">
        <f>($G$90-P91)*3361</f>
        <v>-5.6716874999998419</v>
      </c>
      <c r="R91" s="1845" t="s">
        <v>8</v>
      </c>
      <c r="S91" s="1846">
        <f t="shared" si="29"/>
        <v>0</v>
      </c>
      <c r="T91" s="1846"/>
      <c r="U91" s="1994" t="s">
        <v>10</v>
      </c>
      <c r="V91" s="1296">
        <f>XM.HN!D60</f>
        <v>2</v>
      </c>
      <c r="W91" s="1854">
        <f>(1*V91*36.5)/(0.5*10)/32%/100</f>
        <v>0.45624999999999999</v>
      </c>
      <c r="X91" s="1844">
        <f>($G$90-W91)*3361</f>
        <v>-21.006249999999927</v>
      </c>
      <c r="Y91" s="1845" t="s">
        <v>8</v>
      </c>
      <c r="Z91" s="1846">
        <f t="shared" si="30"/>
        <v>0</v>
      </c>
      <c r="AA91" s="1846"/>
      <c r="AB91" s="1994" t="s">
        <v>10</v>
      </c>
      <c r="AC91" s="89">
        <f>XM.HN!E60</f>
        <v>2.04</v>
      </c>
      <c r="AD91" s="1854">
        <v>0.45200000000000001</v>
      </c>
      <c r="AE91" s="1844">
        <f>($G$90-AD91)*3361</f>
        <v>-6.7220000000000057</v>
      </c>
      <c r="AF91" s="1845" t="s">
        <v>8</v>
      </c>
      <c r="AG91" s="1846">
        <f t="shared" si="31"/>
        <v>0</v>
      </c>
      <c r="AH91" s="1846"/>
      <c r="AI91" s="1994" t="s">
        <v>10</v>
      </c>
      <c r="AJ91" s="89">
        <f>XM.HN!F60</f>
        <v>0</v>
      </c>
      <c r="AK91" s="1854">
        <v>0.45</v>
      </c>
      <c r="AL91" s="1844">
        <f>($G$90-AK91)*3361</f>
        <v>0</v>
      </c>
      <c r="AM91" s="1845" t="s">
        <v>8</v>
      </c>
      <c r="AN91" s="1846">
        <f t="shared" si="32"/>
        <v>0</v>
      </c>
      <c r="AO91" s="1846"/>
      <c r="AP91" s="1994" t="s">
        <v>10</v>
      </c>
      <c r="AQ91" s="89">
        <f>XM.HN!G60</f>
        <v>1.96</v>
      </c>
      <c r="AR91" s="1854">
        <v>0.44600000000000001</v>
      </c>
      <c r="AS91" s="1844">
        <f>($G$90-AR91)*3361</f>
        <v>13.444000000000011</v>
      </c>
      <c r="AT91" s="1845" t="s">
        <v>8</v>
      </c>
      <c r="AU91" s="1846">
        <f t="shared" si="33"/>
        <v>13.444000000000011</v>
      </c>
      <c r="AV91" s="1846"/>
      <c r="AW91" s="1994" t="s">
        <v>10</v>
      </c>
      <c r="AY91" s="1854">
        <v>0.45</v>
      </c>
      <c r="AZ91" s="274">
        <v>0</v>
      </c>
      <c r="BA91" s="274" t="s">
        <v>8</v>
      </c>
      <c r="BB91" s="274">
        <v>0</v>
      </c>
      <c r="BD91" s="274" t="s">
        <v>10</v>
      </c>
    </row>
    <row r="92" spans="1:56" ht="33.75" customHeight="1">
      <c r="A92" s="286" t="s">
        <v>295</v>
      </c>
      <c r="B92" s="1028" t="s">
        <v>128</v>
      </c>
      <c r="C92" s="107" t="s">
        <v>84</v>
      </c>
      <c r="D92" s="47" t="s">
        <v>6</v>
      </c>
      <c r="E92" s="13" t="str">
        <f>'XM.GUI MAIL'!E92</f>
        <v>40~50</v>
      </c>
      <c r="F92" s="2029" t="str">
        <f>'XM.GUI MAIL'!F92</f>
        <v>(45±5)</v>
      </c>
      <c r="G92" s="1414">
        <f>'XM.GUI MAIL'!G92</f>
        <v>0.45</v>
      </c>
      <c r="H92" s="92">
        <f>XM.HN!B61</f>
        <v>1.98</v>
      </c>
      <c r="I92" s="1854">
        <f>(1*H92*36.5)/(0.5*10)/32%/100</f>
        <v>0.45168749999999996</v>
      </c>
      <c r="J92" s="1844">
        <f>($G$90-I92)*10509/2.6</f>
        <v>-6.820745192307502</v>
      </c>
      <c r="K92" s="1845" t="s">
        <v>8</v>
      </c>
      <c r="L92" s="1846">
        <f t="shared" si="28"/>
        <v>0</v>
      </c>
      <c r="M92" s="1846"/>
      <c r="N92" s="1994" t="s">
        <v>10</v>
      </c>
      <c r="O92" s="1842">
        <f>XM.HN!C61</f>
        <v>1.92</v>
      </c>
      <c r="P92" s="1854">
        <f>(1*O92*36.5)/(0.5*10)/32%/100</f>
        <v>0.43799999999999994</v>
      </c>
      <c r="Q92" s="1844">
        <f>($G$90-P92)*10509/2.6</f>
        <v>48.503076923077188</v>
      </c>
      <c r="R92" s="1845" t="s">
        <v>8</v>
      </c>
      <c r="S92" s="1846">
        <f t="shared" si="29"/>
        <v>48.503076923077188</v>
      </c>
      <c r="T92" s="1846"/>
      <c r="U92" s="1847" t="s">
        <v>10</v>
      </c>
      <c r="V92" s="1296">
        <f>XM.HN!D61</f>
        <v>1.9</v>
      </c>
      <c r="W92" s="1854">
        <v>0.45800000000000002</v>
      </c>
      <c r="X92" s="1844">
        <f>($G$90-W92)*10509/2.6</f>
        <v>-32.33538461538464</v>
      </c>
      <c r="Y92" s="1845" t="s">
        <v>8</v>
      </c>
      <c r="Z92" s="1846">
        <f t="shared" si="30"/>
        <v>0</v>
      </c>
      <c r="AA92" s="1846"/>
      <c r="AB92" s="1851" t="s">
        <v>10</v>
      </c>
      <c r="AC92" s="89">
        <f>XM.HN!E61</f>
        <v>1.98</v>
      </c>
      <c r="AD92" s="1854">
        <f>(1*AC92*36.5)/(0.5*10)/32%/100</f>
        <v>0.45168749999999996</v>
      </c>
      <c r="AE92" s="1844">
        <f>($G$90-AD92)*10509/2.6</f>
        <v>-6.820745192307502</v>
      </c>
      <c r="AF92" s="1845" t="s">
        <v>8</v>
      </c>
      <c r="AG92" s="1846">
        <f t="shared" si="31"/>
        <v>0</v>
      </c>
      <c r="AH92" s="1846"/>
      <c r="AI92" s="1851" t="s">
        <v>10</v>
      </c>
      <c r="AJ92" s="89">
        <f>XM.HN!F61</f>
        <v>0</v>
      </c>
      <c r="AK92" s="1854">
        <v>0.45</v>
      </c>
      <c r="AL92" s="1844">
        <f>($G$90-AK92)*10509/2.6</f>
        <v>0</v>
      </c>
      <c r="AM92" s="1845" t="s">
        <v>8</v>
      </c>
      <c r="AN92" s="1846">
        <f t="shared" si="32"/>
        <v>0</v>
      </c>
      <c r="AO92" s="1846"/>
      <c r="AP92" s="1847" t="s">
        <v>10</v>
      </c>
      <c r="AQ92" s="89">
        <f>XM.HN!G61</f>
        <v>1.94</v>
      </c>
      <c r="AR92" s="1854">
        <f>(1*AQ92*36.5)/(0.5*10)/32%/100</f>
        <v>0.44256250000000003</v>
      </c>
      <c r="AS92" s="1844">
        <f>($G$90-AR92)*10509/2.6</f>
        <v>30.061802884615325</v>
      </c>
      <c r="AT92" s="1845" t="s">
        <v>8</v>
      </c>
      <c r="AU92" s="1846">
        <f t="shared" si="33"/>
        <v>30.061802884615325</v>
      </c>
      <c r="AV92" s="1846"/>
      <c r="AW92" s="1847" t="s">
        <v>10</v>
      </c>
      <c r="AY92" s="1854">
        <v>0.45600000000000002</v>
      </c>
      <c r="AZ92" s="274">
        <v>-24.251538461538484</v>
      </c>
      <c r="BA92" s="274" t="s">
        <v>8</v>
      </c>
      <c r="BB92" s="274">
        <v>0</v>
      </c>
      <c r="BD92" s="274" t="s">
        <v>10</v>
      </c>
    </row>
    <row r="93" spans="1:56" ht="33.75" customHeight="1">
      <c r="A93" s="286" t="s">
        <v>296</v>
      </c>
      <c r="B93" s="1028" t="s">
        <v>128</v>
      </c>
      <c r="C93" s="107" t="s">
        <v>83</v>
      </c>
      <c r="D93" s="47" t="s">
        <v>6</v>
      </c>
      <c r="E93" s="13" t="str">
        <f>'XM.GUI MAIL'!E93</f>
        <v>10~20</v>
      </c>
      <c r="F93" s="2029" t="str">
        <f>'XM.GUI MAIL'!F93</f>
        <v>(15±5)</v>
      </c>
      <c r="G93" s="1414">
        <f>'XM.GUI MAIL'!G93</f>
        <v>0.15</v>
      </c>
      <c r="H93" s="92">
        <f>XM.HN!B62</f>
        <v>0.57999999999999996</v>
      </c>
      <c r="I93" s="1843">
        <f>(1*H93*36.5)/(0.5*10)/32%/100</f>
        <v>0.1323125</v>
      </c>
      <c r="J93" s="1848">
        <f>($G$93-I93)*3234/2.9</f>
        <v>19.724612068965513</v>
      </c>
      <c r="K93" s="1848" t="s">
        <v>8</v>
      </c>
      <c r="L93" s="1846">
        <f t="shared" si="28"/>
        <v>19.724612068965513</v>
      </c>
      <c r="M93" s="1846"/>
      <c r="N93" s="1994" t="s">
        <v>10</v>
      </c>
      <c r="O93" s="1995">
        <f>XM.HN!C62</f>
        <v>0.56000000000000005</v>
      </c>
      <c r="P93" s="1843">
        <v>0.159</v>
      </c>
      <c r="Q93" s="1848">
        <f>($G$93-P93)*3234/2.9</f>
        <v>-10.03655172413794</v>
      </c>
      <c r="R93" s="1848" t="s">
        <v>8</v>
      </c>
      <c r="S93" s="1846">
        <f t="shared" si="29"/>
        <v>0</v>
      </c>
      <c r="T93" s="1846"/>
      <c r="U93" s="1847" t="s">
        <v>10</v>
      </c>
      <c r="V93" s="1296">
        <f>XM.HN!D62</f>
        <v>0.57999999999999996</v>
      </c>
      <c r="W93" s="1843">
        <v>0.154</v>
      </c>
      <c r="X93" s="1848">
        <f>($G$93-W93)*3234/2.9</f>
        <v>-4.460689655172418</v>
      </c>
      <c r="Y93" s="1848" t="s">
        <v>8</v>
      </c>
      <c r="Z93" s="1846">
        <f t="shared" si="30"/>
        <v>0</v>
      </c>
      <c r="AA93" s="1846"/>
      <c r="AB93" s="1851" t="s">
        <v>10</v>
      </c>
      <c r="AC93" s="89">
        <f>XM.HN!E62</f>
        <v>0.57999999999999996</v>
      </c>
      <c r="AD93" s="1843">
        <v>0.152</v>
      </c>
      <c r="AE93" s="1848">
        <f>($G$93-AD93)*3234/2.9</f>
        <v>-2.230344827586209</v>
      </c>
      <c r="AF93" s="1848" t="s">
        <v>8</v>
      </c>
      <c r="AG93" s="1846">
        <f t="shared" si="31"/>
        <v>0</v>
      </c>
      <c r="AH93" s="1846"/>
      <c r="AI93" s="1851" t="s">
        <v>10</v>
      </c>
      <c r="AJ93" s="89">
        <f>XM.HN!F62</f>
        <v>0</v>
      </c>
      <c r="AK93" s="1843">
        <v>0.15</v>
      </c>
      <c r="AL93" s="1848">
        <f>($G$93-AK93)*3234/2.9</f>
        <v>0</v>
      </c>
      <c r="AM93" s="1848" t="s">
        <v>8</v>
      </c>
      <c r="AN93" s="1846">
        <f t="shared" si="32"/>
        <v>0</v>
      </c>
      <c r="AO93" s="1846"/>
      <c r="AP93" s="1847" t="s">
        <v>10</v>
      </c>
      <c r="AQ93" s="89">
        <f>XM.HN!G62</f>
        <v>0.57999999999999996</v>
      </c>
      <c r="AR93" s="1843">
        <v>0.14599999999999999</v>
      </c>
      <c r="AS93" s="1848">
        <f>($G$93-AR93)*3234/2.9</f>
        <v>4.460689655172418</v>
      </c>
      <c r="AT93" s="1848" t="s">
        <v>8</v>
      </c>
      <c r="AU93" s="1846">
        <f t="shared" si="33"/>
        <v>4.460689655172418</v>
      </c>
      <c r="AV93" s="1846"/>
      <c r="AW93" s="1847" t="s">
        <v>10</v>
      </c>
      <c r="AY93" s="1843">
        <v>0.14799999999999999</v>
      </c>
      <c r="AZ93" s="274">
        <v>2.230344827586209</v>
      </c>
      <c r="BA93" s="274" t="s">
        <v>8</v>
      </c>
      <c r="BB93" s="274">
        <v>2.230344827586209</v>
      </c>
      <c r="BD93" s="274" t="s">
        <v>10</v>
      </c>
    </row>
    <row r="94" spans="1:56" ht="33.75" customHeight="1">
      <c r="A94" s="286" t="s">
        <v>297</v>
      </c>
      <c r="B94" s="1028" t="s">
        <v>128</v>
      </c>
      <c r="C94" s="107" t="s">
        <v>149</v>
      </c>
      <c r="D94" s="47" t="s">
        <v>6</v>
      </c>
      <c r="E94" s="13" t="str">
        <f>'XM.GUI MAIL'!E94</f>
        <v>(1±0.4)=0.6~1.4</v>
      </c>
      <c r="F94" s="2029" t="str">
        <f>'XM.GUI MAIL'!F94</f>
        <v>(1±0.4)</v>
      </c>
      <c r="G94" s="1414">
        <f>'XM.GUI MAIL'!G94</f>
        <v>0.01</v>
      </c>
      <c r="H94" s="92">
        <f>XM.HN!B63</f>
        <v>6</v>
      </c>
      <c r="I94" s="1876">
        <v>1.0500000000000001E-2</v>
      </c>
      <c r="J94" s="1844">
        <f>($G$94-I94)*2808/65%/1.51</f>
        <v>-1.4304635761589417</v>
      </c>
      <c r="K94" s="1845" t="s">
        <v>8</v>
      </c>
      <c r="L94" s="1988">
        <f t="shared" si="28"/>
        <v>0</v>
      </c>
      <c r="M94" s="1988"/>
      <c r="N94" s="1847" t="s">
        <v>10</v>
      </c>
      <c r="O94" s="92">
        <f>XM.HN!C63</f>
        <v>6</v>
      </c>
      <c r="P94" s="1876">
        <v>1.0200000000000001E-2</v>
      </c>
      <c r="Q94" s="1844">
        <f>($G$94-P94)*2808/65%/1.51</f>
        <v>-0.57218543046357762</v>
      </c>
      <c r="R94" s="1845" t="s">
        <v>8</v>
      </c>
      <c r="S94" s="1988">
        <f t="shared" si="29"/>
        <v>0</v>
      </c>
      <c r="T94" s="1988"/>
      <c r="U94" s="1847" t="s">
        <v>10</v>
      </c>
      <c r="V94" s="92">
        <f>XM.HN!D63</f>
        <v>5.9</v>
      </c>
      <c r="W94" s="1876">
        <v>0.01</v>
      </c>
      <c r="X94" s="1844">
        <f>($G$94-W94)*2808/65%/1.51</f>
        <v>0</v>
      </c>
      <c r="Y94" s="1845" t="s">
        <v>8</v>
      </c>
      <c r="Z94" s="1988">
        <f t="shared" si="30"/>
        <v>0</v>
      </c>
      <c r="AA94" s="1988"/>
      <c r="AB94" s="1847" t="s">
        <v>10</v>
      </c>
      <c r="AC94" s="92">
        <f>XM.HN!E63</f>
        <v>5.7</v>
      </c>
      <c r="AD94" s="1876">
        <f>(AC94*0.126)/100</f>
        <v>7.1820000000000009E-3</v>
      </c>
      <c r="AE94" s="1844">
        <f>($G$94-AD94)*2808/65%/1.51</f>
        <v>8.0620927152317847</v>
      </c>
      <c r="AF94" s="1845" t="s">
        <v>8</v>
      </c>
      <c r="AG94" s="1988">
        <f t="shared" si="31"/>
        <v>8.0620927152317847</v>
      </c>
      <c r="AH94" s="1988"/>
      <c r="AI94" s="1847" t="s">
        <v>10</v>
      </c>
      <c r="AJ94" s="91">
        <f>XM.HN!F63</f>
        <v>0</v>
      </c>
      <c r="AK94" s="1876">
        <v>0.01</v>
      </c>
      <c r="AL94" s="1844">
        <f>($G$94-AK94)*2808/65%/1.51</f>
        <v>0</v>
      </c>
      <c r="AM94" s="1845" t="s">
        <v>8</v>
      </c>
      <c r="AN94" s="1988">
        <f t="shared" si="32"/>
        <v>0</v>
      </c>
      <c r="AO94" s="1988"/>
      <c r="AP94" s="1847" t="s">
        <v>10</v>
      </c>
      <c r="AQ94" s="91">
        <f>XM.HN!G63</f>
        <v>5.5</v>
      </c>
      <c r="AR94" s="1876">
        <v>8.9999999999999993E-3</v>
      </c>
      <c r="AS94" s="1844">
        <f>($G$94-AR94)*2808/65%/1.51</f>
        <v>2.8609271523178834</v>
      </c>
      <c r="AT94" s="1845" t="s">
        <v>8</v>
      </c>
      <c r="AU94" s="1988">
        <f t="shared" si="33"/>
        <v>2.8609271523178834</v>
      </c>
      <c r="AV94" s="1988"/>
      <c r="AW94" s="1847" t="s">
        <v>10</v>
      </c>
      <c r="AY94" s="1876">
        <v>7.1820000000000009E-3</v>
      </c>
      <c r="AZ94" s="274">
        <v>8.0620927152317847</v>
      </c>
      <c r="BA94" s="274" t="s">
        <v>8</v>
      </c>
      <c r="BB94" s="274">
        <v>8.0620927152317847</v>
      </c>
      <c r="BD94" s="274" t="s">
        <v>10</v>
      </c>
    </row>
    <row r="95" spans="1:56" ht="33.75" customHeight="1">
      <c r="A95" s="285" t="s">
        <v>298</v>
      </c>
      <c r="B95" s="1028" t="s">
        <v>128</v>
      </c>
      <c r="C95" s="302" t="s">
        <v>1592</v>
      </c>
      <c r="D95" s="47" t="s">
        <v>3</v>
      </c>
      <c r="E95" s="13" t="str">
        <f>'XM.GUI MAIL'!E95</f>
        <v>5~8</v>
      </c>
      <c r="F95" s="2029" t="str">
        <f>'XM.GUI MAIL'!F95</f>
        <v>(6±0.5)</v>
      </c>
      <c r="G95" s="1109">
        <f>'XM.GUI MAIL'!G95</f>
        <v>6</v>
      </c>
      <c r="H95" s="92">
        <f>XM.HN!B64</f>
        <v>5.45</v>
      </c>
      <c r="I95" s="2398">
        <v>6</v>
      </c>
      <c r="J95" s="1835">
        <f>($G$95-I95)*4042/95*0.88</f>
        <v>0</v>
      </c>
      <c r="K95" s="1845" t="s">
        <v>8</v>
      </c>
      <c r="L95" s="1988">
        <f t="shared" si="28"/>
        <v>0</v>
      </c>
      <c r="M95" s="2192"/>
      <c r="N95" s="1851" t="s">
        <v>10</v>
      </c>
      <c r="O95" s="92">
        <f>XM.HN!C64</f>
        <v>5.4</v>
      </c>
      <c r="P95" s="2398">
        <v>6.05</v>
      </c>
      <c r="Q95" s="1835">
        <f>($G$95-P95)*4042/95*0.88</f>
        <v>-1.8720842105263091</v>
      </c>
      <c r="R95" s="1845" t="s">
        <v>8</v>
      </c>
      <c r="S95" s="1988">
        <f t="shared" si="29"/>
        <v>0</v>
      </c>
      <c r="T95" s="2192"/>
      <c r="U95" s="1847" t="s">
        <v>10</v>
      </c>
      <c r="V95" s="92">
        <f>XM.HN!D64</f>
        <v>5.4</v>
      </c>
      <c r="W95" s="2398">
        <v>5.9</v>
      </c>
      <c r="X95" s="1835">
        <f>($G$95-W95)*4042/95*0.88</f>
        <v>3.7441684210526183</v>
      </c>
      <c r="Y95" s="1845" t="s">
        <v>8</v>
      </c>
      <c r="Z95" s="1988">
        <f t="shared" si="30"/>
        <v>3.7441684210526183</v>
      </c>
      <c r="AA95" s="2192"/>
      <c r="AB95" s="1851" t="s">
        <v>10</v>
      </c>
      <c r="AC95" s="92">
        <f>XM.HN!E64</f>
        <v>5.7</v>
      </c>
      <c r="AD95" s="2398">
        <v>6.3</v>
      </c>
      <c r="AE95" s="1835">
        <f>($G$95-AD95)*4042/95*0.88</f>
        <v>-11.232505263157886</v>
      </c>
      <c r="AF95" s="1845" t="s">
        <v>8</v>
      </c>
      <c r="AG95" s="1988">
        <f t="shared" si="31"/>
        <v>0</v>
      </c>
      <c r="AH95" s="2192"/>
      <c r="AI95" s="1851" t="s">
        <v>10</v>
      </c>
      <c r="AJ95" s="92">
        <f>XM.HN!F64</f>
        <v>0</v>
      </c>
      <c r="AK95" s="2398">
        <v>6.2</v>
      </c>
      <c r="AL95" s="2398">
        <f>($G$95-AK95)*4042/95*0.88</f>
        <v>-7.4883368421052712</v>
      </c>
      <c r="AM95" s="1835" t="s">
        <v>8</v>
      </c>
      <c r="AN95" s="1845">
        <f t="shared" si="32"/>
        <v>0</v>
      </c>
      <c r="AO95" s="1988"/>
      <c r="AP95" s="2192" t="s">
        <v>10</v>
      </c>
      <c r="AQ95" s="1851">
        <f>XM.HN!G64</f>
        <v>5.6</v>
      </c>
      <c r="AR95" s="2398">
        <v>6</v>
      </c>
      <c r="AS95" s="1835">
        <f>($G$95-AR95)*4042/95*0.88</f>
        <v>0</v>
      </c>
      <c r="AT95" s="1845" t="s">
        <v>8</v>
      </c>
      <c r="AU95" s="1988">
        <f t="shared" si="33"/>
        <v>0</v>
      </c>
      <c r="AV95" s="1846"/>
      <c r="AW95" s="1847" t="s">
        <v>10</v>
      </c>
      <c r="AY95" s="1855">
        <v>6.1</v>
      </c>
      <c r="AZ95" s="274">
        <v>-3.7441684210526183</v>
      </c>
      <c r="BA95" s="274" t="s">
        <v>8</v>
      </c>
      <c r="BB95" s="274">
        <v>0</v>
      </c>
      <c r="BD95" s="274" t="s">
        <v>10</v>
      </c>
    </row>
    <row r="96" spans="1:56" ht="36.75" customHeight="1">
      <c r="A96" s="285" t="s">
        <v>299</v>
      </c>
      <c r="B96" s="1028" t="s">
        <v>128</v>
      </c>
      <c r="C96" s="2392" t="s">
        <v>121</v>
      </c>
      <c r="D96" s="47" t="s">
        <v>5</v>
      </c>
      <c r="E96" s="13" t="str">
        <f>'XM.GUI MAIL'!E96</f>
        <v>1.8~2.4</v>
      </c>
      <c r="F96" s="2029" t="str">
        <f>'XM.GUI MAIL'!F96</f>
        <v>(2.1±0.1)</v>
      </c>
      <c r="G96" s="1109">
        <f>'XM.GUI MAIL'!G96</f>
        <v>0</v>
      </c>
      <c r="H96" s="91"/>
      <c r="I96" s="1869">
        <f>XM.HN!B65</f>
        <v>2.1</v>
      </c>
      <c r="J96" s="1835"/>
      <c r="K96" s="1845"/>
      <c r="L96" s="1846"/>
      <c r="M96" s="2192"/>
      <c r="N96" s="1851"/>
      <c r="O96" s="92"/>
      <c r="P96" s="1869">
        <v>2.06</v>
      </c>
      <c r="Q96" s="1835"/>
      <c r="R96" s="1845"/>
      <c r="S96" s="1846"/>
      <c r="T96" s="2192"/>
      <c r="U96" s="1847"/>
      <c r="V96" s="92"/>
      <c r="W96" s="1869">
        <f>XM.HN!D65</f>
        <v>2.08</v>
      </c>
      <c r="X96" s="1835"/>
      <c r="Y96" s="1845"/>
      <c r="Z96" s="1846"/>
      <c r="AA96" s="2192"/>
      <c r="AB96" s="1851"/>
      <c r="AC96" s="92"/>
      <c r="AD96" s="1869">
        <f>XM.HN!E65</f>
        <v>2</v>
      </c>
      <c r="AE96" s="1835"/>
      <c r="AF96" s="1845"/>
      <c r="AG96" s="1846"/>
      <c r="AH96" s="2192"/>
      <c r="AI96" s="1851"/>
      <c r="AJ96" s="92"/>
      <c r="AK96" s="1869">
        <v>2.0299999999999998</v>
      </c>
      <c r="AL96" s="1869"/>
      <c r="AM96" s="1835"/>
      <c r="AN96" s="1845"/>
      <c r="AO96" s="1846"/>
      <c r="AP96" s="2192"/>
      <c r="AQ96" s="1851"/>
      <c r="AR96" s="1869">
        <f>XM.HN!G65</f>
        <v>2.0299999999999998</v>
      </c>
      <c r="AS96" s="1840"/>
      <c r="AT96" s="1835"/>
      <c r="AU96" s="1836"/>
      <c r="AV96" s="1836"/>
      <c r="AW96" s="1880"/>
      <c r="AY96" s="1856">
        <v>2.0299999999999998</v>
      </c>
    </row>
    <row r="97" spans="1:56" ht="38.25" customHeight="1">
      <c r="A97" s="1419"/>
      <c r="B97" s="1420"/>
      <c r="C97" s="1417" t="s">
        <v>1299</v>
      </c>
      <c r="D97" s="283" t="s">
        <v>3</v>
      </c>
      <c r="E97" s="1445" t="str">
        <f>'XM.GUI MAIL'!E97</f>
        <v>8~16 %</v>
      </c>
      <c r="F97" s="2029" t="str">
        <f>'XM.GUI MAIL'!F97</f>
        <v>(12±2%)</v>
      </c>
      <c r="G97" s="1109">
        <f>'XM.GUI MAIL'!G97</f>
        <v>12</v>
      </c>
      <c r="H97" s="92">
        <f>XM.HN!B67</f>
        <v>0</v>
      </c>
      <c r="I97" s="1833">
        <v>12.1</v>
      </c>
      <c r="J97" s="1844">
        <f>($G$97-I97)*3360/100</f>
        <v>-3.3599999999999879</v>
      </c>
      <c r="K97" s="1845" t="s">
        <v>8</v>
      </c>
      <c r="L97" s="1846">
        <f t="shared" ref="L97" si="34">IF(J97&lt;0,0,J97)</f>
        <v>0</v>
      </c>
      <c r="M97" s="1846"/>
      <c r="N97" s="1994" t="s">
        <v>10</v>
      </c>
      <c r="O97" s="1995">
        <f>XM.HN!C67</f>
        <v>0</v>
      </c>
      <c r="P97" s="1833">
        <v>11.9</v>
      </c>
      <c r="Q97" s="1844">
        <f>($G$97-P97)*3360/100</f>
        <v>3.3599999999999879</v>
      </c>
      <c r="R97" s="1845" t="s">
        <v>8</v>
      </c>
      <c r="S97" s="1846">
        <f t="shared" ref="S97" si="35">IF(Q97&lt;0,0,Q97)</f>
        <v>3.3599999999999879</v>
      </c>
      <c r="T97" s="1846"/>
      <c r="U97" s="1847" t="s">
        <v>10</v>
      </c>
      <c r="V97" s="1296">
        <f>XM.HN!D67</f>
        <v>0</v>
      </c>
      <c r="W97" s="1833">
        <v>12.3</v>
      </c>
      <c r="X97" s="1844">
        <f>($G$97-W97)*3360/100</f>
        <v>-10.080000000000023</v>
      </c>
      <c r="Y97" s="1845" t="s">
        <v>8</v>
      </c>
      <c r="Z97" s="1846">
        <f t="shared" ref="Z97" si="36">IF(X97&lt;0,0,X97)</f>
        <v>0</v>
      </c>
      <c r="AA97" s="1846"/>
      <c r="AB97" s="1847" t="s">
        <v>10</v>
      </c>
      <c r="AC97" s="89">
        <f>XM.HN!E67</f>
        <v>0</v>
      </c>
      <c r="AD97" s="1833">
        <v>12.2</v>
      </c>
      <c r="AE97" s="1844">
        <f>($G$97-AD97)*3360/100</f>
        <v>-6.7199999999999758</v>
      </c>
      <c r="AF97" s="1845" t="s">
        <v>8</v>
      </c>
      <c r="AG97" s="1846">
        <f t="shared" ref="AG97" si="37">IF(AE97&lt;0,0,AE97)</f>
        <v>0</v>
      </c>
      <c r="AH97" s="1846"/>
      <c r="AI97" s="1847" t="s">
        <v>10</v>
      </c>
      <c r="AJ97" s="89">
        <f>XM.HN!F67</f>
        <v>0</v>
      </c>
      <c r="AK97" s="1833">
        <v>12.1</v>
      </c>
      <c r="AL97" s="1844">
        <f>($G$97-AK97)*3360/100</f>
        <v>-3.3599999999999879</v>
      </c>
      <c r="AM97" s="1845" t="s">
        <v>8</v>
      </c>
      <c r="AN97" s="1846">
        <f t="shared" ref="AN97" si="38">IF(AL97&lt;0,0,AL97)</f>
        <v>0</v>
      </c>
      <c r="AO97" s="1846"/>
      <c r="AP97" s="1847" t="s">
        <v>10</v>
      </c>
      <c r="AQ97" s="89">
        <f>XM.HN!G67</f>
        <v>0</v>
      </c>
      <c r="AR97" s="1833">
        <v>12</v>
      </c>
      <c r="AS97" s="1844">
        <f>($G$97-AR97)*3360/100</f>
        <v>0</v>
      </c>
      <c r="AT97" s="1845" t="s">
        <v>8</v>
      </c>
      <c r="AU97" s="1846">
        <f t="shared" ref="AU97" si="39">IF(AS97&lt;0,0,AS97)</f>
        <v>0</v>
      </c>
      <c r="AV97" s="1846"/>
      <c r="AW97" s="1847" t="s">
        <v>10</v>
      </c>
      <c r="AY97" s="1833">
        <v>11.9</v>
      </c>
      <c r="AZ97" s="274">
        <v>3.3599999999999879</v>
      </c>
      <c r="BA97" s="274" t="s">
        <v>8</v>
      </c>
      <c r="BB97" s="274">
        <v>3.3599999999999879</v>
      </c>
      <c r="BD97" s="274" t="s">
        <v>10</v>
      </c>
    </row>
    <row r="98" spans="1:56" ht="38.25" customHeight="1" thickBot="1">
      <c r="A98" s="1419"/>
      <c r="B98" s="1420"/>
      <c r="C98" s="2288" t="s">
        <v>121</v>
      </c>
      <c r="D98" s="1419" t="s">
        <v>5</v>
      </c>
      <c r="E98" s="2289" t="str">
        <f>'XM.GUI MAIL'!E98</f>
        <v>1.8~2.4</v>
      </c>
      <c r="F98" s="2290" t="str">
        <f>'XM.GUI MAIL'!F98</f>
        <v>(2.0 ±0.2 )</v>
      </c>
      <c r="G98" s="440">
        <f>'XM.GUI MAIL'!G98</f>
        <v>0</v>
      </c>
      <c r="H98" s="2291"/>
      <c r="I98" s="2292">
        <v>2.12</v>
      </c>
      <c r="J98" s="2293"/>
      <c r="K98" s="2294"/>
      <c r="L98" s="2294"/>
      <c r="M98" s="2294"/>
      <c r="N98" s="2293"/>
      <c r="O98" s="2295"/>
      <c r="P98" s="2292">
        <v>2.1</v>
      </c>
      <c r="Q98" s="2296"/>
      <c r="R98" s="2296"/>
      <c r="S98" s="2296"/>
      <c r="T98" s="2296"/>
      <c r="U98" s="2297"/>
      <c r="V98" s="2298"/>
      <c r="W98" s="2292">
        <v>2.0499999999999998</v>
      </c>
      <c r="X98" s="2296"/>
      <c r="Y98" s="2296"/>
      <c r="Z98" s="2296"/>
      <c r="AA98" s="2296"/>
      <c r="AB98" s="2297"/>
      <c r="AC98" s="2299"/>
      <c r="AD98" s="2292">
        <v>2.04</v>
      </c>
      <c r="AE98" s="2296"/>
      <c r="AF98" s="2296"/>
      <c r="AG98" s="2296"/>
      <c r="AH98" s="2296"/>
      <c r="AI98" s="2297"/>
      <c r="AJ98" s="2299"/>
      <c r="AK98" s="2292">
        <v>2.02</v>
      </c>
      <c r="AL98" s="2296"/>
      <c r="AM98" s="2296"/>
      <c r="AN98" s="2296"/>
      <c r="AO98" s="2296"/>
      <c r="AP98" s="2297"/>
      <c r="AQ98" s="2299"/>
      <c r="AR98" s="2292">
        <v>2.02</v>
      </c>
      <c r="AS98" s="2293"/>
      <c r="AT98" s="2294"/>
      <c r="AU98" s="2294"/>
      <c r="AV98" s="2294"/>
      <c r="AW98" s="2300"/>
      <c r="AY98" s="1838">
        <v>2.06</v>
      </c>
    </row>
    <row r="99" spans="1:56" ht="33" customHeight="1">
      <c r="A99" s="1369" t="s">
        <v>309</v>
      </c>
      <c r="B99" s="1370" t="s">
        <v>128</v>
      </c>
      <c r="C99" s="2304" t="s">
        <v>194</v>
      </c>
      <c r="D99" s="2305" t="s">
        <v>4</v>
      </c>
      <c r="E99" s="2306" t="str">
        <f>'XM.GUI MAIL'!E99</f>
        <v>5~6</v>
      </c>
      <c r="F99" s="2307" t="str">
        <f>'XM.GUI MAIL'!F99</f>
        <v>(5.5± 0.5)</v>
      </c>
      <c r="G99" s="2308">
        <f>'XM.GUI MAIL'!G99</f>
        <v>5.5</v>
      </c>
      <c r="H99" s="2309">
        <f>XM.HN!B71</f>
        <v>4.3</v>
      </c>
      <c r="I99" s="2286">
        <f>H99*1.3</f>
        <v>5.59</v>
      </c>
      <c r="J99" s="2310">
        <f>($G$99-I99)*8000/1000</f>
        <v>-0.71999999999999886</v>
      </c>
      <c r="K99" s="2311" t="s">
        <v>8</v>
      </c>
      <c r="L99" s="2312">
        <f t="shared" ref="L99:L100" si="40">IF(J99&lt;0,0,J99)</f>
        <v>0</v>
      </c>
      <c r="M99" s="2313"/>
      <c r="N99" s="2314" t="s">
        <v>9</v>
      </c>
      <c r="O99" s="2315">
        <f>XM.HN!C71</f>
        <v>4.1500000000000004</v>
      </c>
      <c r="P99" s="2286">
        <f>O99*1.3</f>
        <v>5.3950000000000005</v>
      </c>
      <c r="Q99" s="2310">
        <f>($G$99-P99)*8000/1000</f>
        <v>0.83999999999999642</v>
      </c>
      <c r="R99" s="2311" t="s">
        <v>8</v>
      </c>
      <c r="S99" s="2312">
        <f t="shared" ref="S99:S100" si="41">IF(Q99&lt;0,0,Q99)</f>
        <v>0.83999999999999642</v>
      </c>
      <c r="T99" s="2313"/>
      <c r="U99" s="2314" t="s">
        <v>9</v>
      </c>
      <c r="V99" s="2316">
        <f>XM.HN!D71</f>
        <v>4.2</v>
      </c>
      <c r="W99" s="2286">
        <f>V99*1.3</f>
        <v>5.4600000000000009</v>
      </c>
      <c r="X99" s="2310">
        <f>($G$99-W99)*8000/1000</f>
        <v>0.31999999999999318</v>
      </c>
      <c r="Y99" s="2311" t="s">
        <v>8</v>
      </c>
      <c r="Z99" s="2312">
        <f t="shared" ref="Z99:Z100" si="42">IF(X99&lt;0,0,X99)</f>
        <v>0.31999999999999318</v>
      </c>
      <c r="AA99" s="2313"/>
      <c r="AB99" s="2314" t="s">
        <v>9</v>
      </c>
      <c r="AC99" s="2317">
        <f>XM.HN!E71</f>
        <v>4.5</v>
      </c>
      <c r="AD99" s="2286">
        <f>AC99*1.3</f>
        <v>5.8500000000000005</v>
      </c>
      <c r="AE99" s="2310">
        <f>($G$99-AD99)*8000/1000</f>
        <v>-2.8000000000000043</v>
      </c>
      <c r="AF99" s="2311" t="s">
        <v>8</v>
      </c>
      <c r="AG99" s="2312">
        <f t="shared" ref="AG99:AG100" si="43">IF(AE99&lt;0,0,AE99)</f>
        <v>0</v>
      </c>
      <c r="AH99" s="2313"/>
      <c r="AI99" s="2314"/>
      <c r="AJ99" s="2318">
        <f>XM.HN!F71</f>
        <v>0</v>
      </c>
      <c r="AK99" s="2286">
        <v>5.7</v>
      </c>
      <c r="AL99" s="2310">
        <f>($G$99-AK99)*8000/1000</f>
        <v>-1.6000000000000014</v>
      </c>
      <c r="AM99" s="2311" t="s">
        <v>8</v>
      </c>
      <c r="AN99" s="2312">
        <f t="shared" ref="AN99:AN100" si="44">IF(AL99&lt;0,0,AL99)</f>
        <v>0</v>
      </c>
      <c r="AO99" s="2313"/>
      <c r="AP99" s="2314" t="s">
        <v>9</v>
      </c>
      <c r="AQ99" s="2319">
        <f>XM.HN!G71</f>
        <v>4.5</v>
      </c>
      <c r="AR99" s="2286">
        <v>5.6</v>
      </c>
      <c r="AS99" s="2310">
        <f>($G$99-AR99)*8000/1000</f>
        <v>-0.79999999999999716</v>
      </c>
      <c r="AT99" s="2311" t="s">
        <v>8</v>
      </c>
      <c r="AU99" s="2312">
        <f t="shared" ref="AU99:AU100" si="45">IF(AS99&lt;0,0,AS99)</f>
        <v>0</v>
      </c>
      <c r="AV99" s="2313"/>
      <c r="AW99" s="2320" t="s">
        <v>9</v>
      </c>
      <c r="AY99" s="1833">
        <v>5.3</v>
      </c>
      <c r="AZ99" s="274">
        <v>1.6000000000000014</v>
      </c>
      <c r="BA99" s="274" t="s">
        <v>8</v>
      </c>
      <c r="BB99" s="274">
        <v>1.6000000000000014</v>
      </c>
      <c r="BD99" s="274" t="s">
        <v>9</v>
      </c>
    </row>
    <row r="100" spans="1:56" ht="33" customHeight="1">
      <c r="A100" s="1369" t="s">
        <v>310</v>
      </c>
      <c r="B100" s="1370" t="s">
        <v>128</v>
      </c>
      <c r="C100" s="2321" t="s">
        <v>193</v>
      </c>
      <c r="D100" s="213" t="s">
        <v>4</v>
      </c>
      <c r="E100" s="13" t="str">
        <f>'XM.GUI MAIL'!E100</f>
        <v>130~140</v>
      </c>
      <c r="F100" s="2029" t="str">
        <f>'XM.GUI MAIL'!F100</f>
        <v>(135 ± 5)</v>
      </c>
      <c r="G100" s="1109">
        <f>'XM.GUI MAIL'!G100</f>
        <v>135</v>
      </c>
      <c r="H100" s="91">
        <f>XM.HN!B72</f>
        <v>16.75</v>
      </c>
      <c r="I100" s="1886">
        <f>H100*8</f>
        <v>134</v>
      </c>
      <c r="J100" s="1858">
        <f>($G$100-I100)*8000/1000</f>
        <v>8</v>
      </c>
      <c r="K100" s="1845" t="s">
        <v>8</v>
      </c>
      <c r="L100" s="1846">
        <f t="shared" si="40"/>
        <v>8</v>
      </c>
      <c r="M100" s="1878"/>
      <c r="N100" s="1847" t="s">
        <v>9</v>
      </c>
      <c r="O100" s="251">
        <f>XM.HN!C72</f>
        <v>17</v>
      </c>
      <c r="P100" s="1886">
        <f>O100*8</f>
        <v>136</v>
      </c>
      <c r="Q100" s="1858">
        <f>($G$100-P100)*8000/1000</f>
        <v>-8</v>
      </c>
      <c r="R100" s="1845" t="s">
        <v>8</v>
      </c>
      <c r="S100" s="1846">
        <f t="shared" si="41"/>
        <v>0</v>
      </c>
      <c r="T100" s="1878"/>
      <c r="U100" s="1847" t="s">
        <v>9</v>
      </c>
      <c r="V100" s="1711">
        <f>XM.HN!D72</f>
        <v>16.95</v>
      </c>
      <c r="W100" s="1886">
        <f>V100*8</f>
        <v>135.6</v>
      </c>
      <c r="X100" s="1858">
        <f>($G$100-W100)*8000/1000</f>
        <v>-4.7999999999999545</v>
      </c>
      <c r="Y100" s="1845" t="s">
        <v>8</v>
      </c>
      <c r="Z100" s="1846">
        <f t="shared" si="42"/>
        <v>0</v>
      </c>
      <c r="AA100" s="1878"/>
      <c r="AB100" s="1847" t="s">
        <v>9</v>
      </c>
      <c r="AC100" s="215">
        <f>XM.HN!E72</f>
        <v>16.7</v>
      </c>
      <c r="AD100" s="1886">
        <f>AC100*8</f>
        <v>133.6</v>
      </c>
      <c r="AE100" s="1858">
        <f>($G$100-AD100)*8000/1000</f>
        <v>11.200000000000045</v>
      </c>
      <c r="AF100" s="1845" t="s">
        <v>8</v>
      </c>
      <c r="AG100" s="1846">
        <f t="shared" si="43"/>
        <v>11.200000000000045</v>
      </c>
      <c r="AH100" s="1878"/>
      <c r="AI100" s="1847"/>
      <c r="AJ100" s="92">
        <f>XM.HN!F72</f>
        <v>0</v>
      </c>
      <c r="AK100" s="1886">
        <v>134</v>
      </c>
      <c r="AL100" s="1858">
        <f>($G$100-AK100)*8000/1000</f>
        <v>8</v>
      </c>
      <c r="AM100" s="1845" t="s">
        <v>8</v>
      </c>
      <c r="AN100" s="1846">
        <f t="shared" si="44"/>
        <v>8</v>
      </c>
      <c r="AO100" s="1878"/>
      <c r="AP100" s="1847" t="s">
        <v>9</v>
      </c>
      <c r="AQ100" s="1708">
        <f>XM.HN!G72</f>
        <v>16.600000000000001</v>
      </c>
      <c r="AR100" s="1886">
        <v>135</v>
      </c>
      <c r="AS100" s="1858">
        <f>($G$100-AR100)*8000/1000</f>
        <v>0</v>
      </c>
      <c r="AT100" s="1845" t="s">
        <v>8</v>
      </c>
      <c r="AU100" s="1846">
        <f t="shared" si="45"/>
        <v>0</v>
      </c>
      <c r="AV100" s="1878"/>
      <c r="AW100" s="2322" t="s">
        <v>9</v>
      </c>
      <c r="AY100" s="1996">
        <v>133</v>
      </c>
      <c r="AZ100" s="274">
        <v>16</v>
      </c>
      <c r="BA100" s="274" t="s">
        <v>8</v>
      </c>
      <c r="BB100" s="274">
        <v>16</v>
      </c>
      <c r="BD100" s="274" t="s">
        <v>9</v>
      </c>
    </row>
    <row r="101" spans="1:56" ht="36" customHeight="1" thickBot="1">
      <c r="A101" s="1369" t="s">
        <v>311</v>
      </c>
      <c r="B101" s="1370" t="s">
        <v>128</v>
      </c>
      <c r="C101" s="2323" t="s">
        <v>195</v>
      </c>
      <c r="D101" s="2324" t="s">
        <v>121</v>
      </c>
      <c r="E101" s="2325" t="str">
        <f>'XM.GUI MAIL'!E101</f>
        <v>3.0-4.5</v>
      </c>
      <c r="F101" s="2326" t="str">
        <f>'XM.GUI MAIL'!F101</f>
        <v>(4.3±0.2)</v>
      </c>
      <c r="G101" s="2327">
        <f>'XM.GUI MAIL'!G101</f>
        <v>0</v>
      </c>
      <c r="H101" s="2328"/>
      <c r="I101" s="2287">
        <f>XM.HN!B73</f>
        <v>4.0999999999999996</v>
      </c>
      <c r="J101" s="2329"/>
      <c r="K101" s="2330"/>
      <c r="L101" s="2331"/>
      <c r="M101" s="2332"/>
      <c r="N101" s="2333"/>
      <c r="O101" s="2334"/>
      <c r="P101" s="2287">
        <f>XM.HN!C73</f>
        <v>4.0999999999999996</v>
      </c>
      <c r="Q101" s="2329"/>
      <c r="R101" s="2330"/>
      <c r="S101" s="2331"/>
      <c r="T101" s="2332"/>
      <c r="U101" s="2333"/>
      <c r="V101" s="2335"/>
      <c r="W101" s="2287">
        <f>XM.HN!D73</f>
        <v>4.0999999999999996</v>
      </c>
      <c r="X101" s="2329"/>
      <c r="Y101" s="2330"/>
      <c r="Z101" s="2331"/>
      <c r="AA101" s="2332"/>
      <c r="AB101" s="2336"/>
      <c r="AC101" s="2337"/>
      <c r="AD101" s="2287">
        <f>XM.HN!E73</f>
        <v>4.1500000000000004</v>
      </c>
      <c r="AE101" s="2329"/>
      <c r="AF101" s="2330"/>
      <c r="AG101" s="2331"/>
      <c r="AH101" s="2332"/>
      <c r="AI101" s="2333"/>
      <c r="AJ101" s="2338"/>
      <c r="AK101" s="2287">
        <v>4.2</v>
      </c>
      <c r="AL101" s="2329"/>
      <c r="AM101" s="2330"/>
      <c r="AN101" s="2331"/>
      <c r="AO101" s="2332"/>
      <c r="AP101" s="2333"/>
      <c r="AQ101" s="2339"/>
      <c r="AR101" s="2287">
        <f>XM.HN!G73</f>
        <v>4.1100000000000003</v>
      </c>
      <c r="AS101" s="2340"/>
      <c r="AT101" s="2341"/>
      <c r="AU101" s="2342"/>
      <c r="AV101" s="2343"/>
      <c r="AW101" s="2344"/>
      <c r="AY101" s="1838">
        <v>4.0999999999999996</v>
      </c>
    </row>
    <row r="102" spans="1:56" s="211" customFormat="1" ht="54" customHeight="1">
      <c r="A102" s="295" t="s">
        <v>74</v>
      </c>
      <c r="B102" s="296"/>
      <c r="C102" s="1475"/>
      <c r="D102" s="1475"/>
      <c r="E102" s="2301"/>
      <c r="F102" s="2302"/>
      <c r="G102" s="2301"/>
      <c r="H102" s="1475"/>
      <c r="I102" s="1475"/>
      <c r="J102" s="1475"/>
      <c r="K102" s="1475"/>
      <c r="L102" s="1475"/>
      <c r="M102" s="1475"/>
      <c r="N102" s="1475"/>
      <c r="O102" s="1475"/>
      <c r="P102" s="297"/>
      <c r="Q102" s="1475"/>
      <c r="R102" s="1475"/>
      <c r="S102" s="1475"/>
      <c r="T102" s="1705"/>
      <c r="U102" s="297"/>
      <c r="V102" s="1475"/>
      <c r="W102" s="297"/>
      <c r="X102" s="1475"/>
      <c r="Y102" s="1475"/>
      <c r="Z102" s="1475"/>
      <c r="AA102" s="1475"/>
      <c r="AB102" s="1475"/>
      <c r="AC102" s="1475"/>
      <c r="AD102" s="1475"/>
      <c r="AE102" s="1475"/>
      <c r="AF102" s="1475"/>
      <c r="AG102" s="1475"/>
      <c r="AH102" s="1475"/>
      <c r="AI102" s="1475"/>
      <c r="AJ102" s="297"/>
      <c r="AK102" s="297"/>
      <c r="AL102" s="297"/>
      <c r="AM102" s="297"/>
      <c r="AN102" s="297"/>
      <c r="AO102" s="297"/>
      <c r="AP102" s="297"/>
      <c r="AQ102" s="297"/>
      <c r="AR102" s="297"/>
      <c r="AS102" s="297"/>
      <c r="AT102" s="297"/>
      <c r="AU102" s="297"/>
      <c r="AV102" s="297"/>
      <c r="AW102" s="2303"/>
      <c r="AX102" s="2246"/>
      <c r="AY102" s="274"/>
      <c r="AZ102" s="93"/>
      <c r="BA102" s="93"/>
    </row>
    <row r="103" spans="1:56" ht="48" customHeight="1">
      <c r="A103" s="1034" t="s">
        <v>239</v>
      </c>
      <c r="B103" s="1027" t="s">
        <v>318</v>
      </c>
      <c r="C103" s="288" t="s">
        <v>62</v>
      </c>
      <c r="D103" s="288" t="s">
        <v>64</v>
      </c>
      <c r="E103" s="1456" t="s">
        <v>1318</v>
      </c>
      <c r="F103" s="2020" t="s">
        <v>1317</v>
      </c>
      <c r="G103" s="1168"/>
      <c r="H103" s="94"/>
      <c r="I103" s="1827" t="s">
        <v>46</v>
      </c>
      <c r="J103" s="1828"/>
      <c r="K103" s="1828"/>
      <c r="L103" s="1828" t="s">
        <v>63</v>
      </c>
      <c r="M103" s="1828"/>
      <c r="N103" s="1883"/>
      <c r="O103" s="1905"/>
      <c r="P103" s="1827" t="s">
        <v>46</v>
      </c>
      <c r="Q103" s="1828"/>
      <c r="R103" s="1828"/>
      <c r="S103" s="1828" t="s">
        <v>63</v>
      </c>
      <c r="T103" s="1828"/>
      <c r="U103" s="2201"/>
      <c r="V103" s="1827"/>
      <c r="W103" s="1828" t="s">
        <v>46</v>
      </c>
      <c r="X103" s="1828"/>
      <c r="Y103" s="1828"/>
      <c r="Z103" s="1828" t="s">
        <v>63</v>
      </c>
      <c r="AA103" s="1883"/>
      <c r="AB103" s="2203"/>
      <c r="AC103" s="2202"/>
      <c r="AD103" s="1828" t="s">
        <v>46</v>
      </c>
      <c r="AE103" s="1828"/>
      <c r="AF103" s="1828"/>
      <c r="AG103" s="1883" t="s">
        <v>63</v>
      </c>
      <c r="AH103" s="1827"/>
      <c r="AI103" s="2201"/>
      <c r="AJ103" s="2202"/>
      <c r="AK103" s="1828" t="s">
        <v>46</v>
      </c>
      <c r="AL103" s="1828"/>
      <c r="AM103" s="1883"/>
      <c r="AN103" s="2202" t="s">
        <v>63</v>
      </c>
      <c r="AO103" s="1828"/>
      <c r="AP103" s="2201"/>
      <c r="AQ103" s="2202"/>
      <c r="AR103" s="1828" t="s">
        <v>46</v>
      </c>
      <c r="AS103" s="1883"/>
      <c r="AT103" s="1827"/>
      <c r="AU103" s="1828" t="s">
        <v>63</v>
      </c>
      <c r="AV103" s="1828"/>
      <c r="AW103" s="2201"/>
    </row>
    <row r="104" spans="1:56" ht="36.75" customHeight="1">
      <c r="A104" s="1028" t="s">
        <v>300</v>
      </c>
      <c r="B104" s="1028" t="s">
        <v>128</v>
      </c>
      <c r="C104" s="1421" t="s">
        <v>66</v>
      </c>
      <c r="D104" s="99" t="s">
        <v>106</v>
      </c>
      <c r="E104" s="102" t="str">
        <f>'XM.GUI MAIL'!E104</f>
        <v>50~70</v>
      </c>
      <c r="F104" s="2021" t="str">
        <f>'XM.GUI MAIL'!F104</f>
        <v>(60±5)</v>
      </c>
      <c r="G104" s="435"/>
      <c r="H104" s="100"/>
      <c r="I104" s="2828">
        <v>60</v>
      </c>
      <c r="J104" s="2819"/>
      <c r="K104" s="2819"/>
      <c r="L104" s="2819">
        <v>60</v>
      </c>
      <c r="M104" s="2819"/>
      <c r="N104" s="2830"/>
      <c r="O104" s="1474"/>
      <c r="P104" s="2828">
        <v>60</v>
      </c>
      <c r="Q104" s="2819"/>
      <c r="R104" s="2819"/>
      <c r="S104" s="2819">
        <v>60</v>
      </c>
      <c r="T104" s="2819"/>
      <c r="U104" s="2830"/>
      <c r="V104" s="291"/>
      <c r="W104" s="2828">
        <v>60</v>
      </c>
      <c r="X104" s="2819"/>
      <c r="Y104" s="2819"/>
      <c r="Z104" s="2819">
        <v>60</v>
      </c>
      <c r="AA104" s="2819"/>
      <c r="AB104" s="2830"/>
      <c r="AC104" s="291"/>
      <c r="AD104" s="2828">
        <v>61</v>
      </c>
      <c r="AE104" s="2819"/>
      <c r="AF104" s="2819"/>
      <c r="AG104" s="2819">
        <v>60</v>
      </c>
      <c r="AH104" s="2819"/>
      <c r="AI104" s="2820"/>
      <c r="AJ104" s="290"/>
      <c r="AK104" s="2828"/>
      <c r="AL104" s="2819"/>
      <c r="AM104" s="2819"/>
      <c r="AN104" s="2819"/>
      <c r="AO104" s="2819"/>
      <c r="AP104" s="2820"/>
      <c r="AQ104" s="290"/>
      <c r="AR104" s="2828">
        <v>61</v>
      </c>
      <c r="AS104" s="2819"/>
      <c r="AT104" s="2819"/>
      <c r="AU104" s="2819">
        <v>60</v>
      </c>
      <c r="AV104" s="2819"/>
      <c r="AW104" s="2820"/>
    </row>
    <row r="105" spans="1:56" ht="36.75" customHeight="1">
      <c r="A105" s="1028" t="s">
        <v>301</v>
      </c>
      <c r="B105" s="1028" t="s">
        <v>128</v>
      </c>
      <c r="C105" s="1421" t="s">
        <v>67</v>
      </c>
      <c r="D105" s="99" t="s">
        <v>106</v>
      </c>
      <c r="E105" s="102" t="str">
        <f>'XM.GUI MAIL'!E105</f>
        <v>50~70</v>
      </c>
      <c r="F105" s="2021" t="str">
        <f>'XM.GUI MAIL'!F105</f>
        <v>(60±5)</v>
      </c>
      <c r="G105" s="435"/>
      <c r="H105" s="100"/>
      <c r="I105" s="2828">
        <v>61</v>
      </c>
      <c r="J105" s="2819"/>
      <c r="K105" s="2819"/>
      <c r="L105" s="2819">
        <v>61</v>
      </c>
      <c r="M105" s="2819"/>
      <c r="N105" s="2830"/>
      <c r="O105" s="1474"/>
      <c r="P105" s="2828">
        <v>60</v>
      </c>
      <c r="Q105" s="2819"/>
      <c r="R105" s="2819"/>
      <c r="S105" s="2819">
        <v>60</v>
      </c>
      <c r="T105" s="2819"/>
      <c r="U105" s="2830"/>
      <c r="V105" s="291"/>
      <c r="W105" s="2828">
        <v>61</v>
      </c>
      <c r="X105" s="2819"/>
      <c r="Y105" s="2819"/>
      <c r="Z105" s="2819">
        <v>60</v>
      </c>
      <c r="AA105" s="2819"/>
      <c r="AB105" s="2830"/>
      <c r="AC105" s="291"/>
      <c r="AD105" s="2828">
        <v>61</v>
      </c>
      <c r="AE105" s="2819"/>
      <c r="AF105" s="2819"/>
      <c r="AG105" s="2819">
        <v>60</v>
      </c>
      <c r="AH105" s="2819"/>
      <c r="AI105" s="2820"/>
      <c r="AJ105" s="290"/>
      <c r="AK105" s="2828"/>
      <c r="AL105" s="2819"/>
      <c r="AM105" s="2819"/>
      <c r="AN105" s="2819"/>
      <c r="AO105" s="2819"/>
      <c r="AP105" s="2820"/>
      <c r="AQ105" s="290"/>
      <c r="AR105" s="2828">
        <v>61</v>
      </c>
      <c r="AS105" s="2819"/>
      <c r="AT105" s="2819"/>
      <c r="AU105" s="2819">
        <v>60</v>
      </c>
      <c r="AV105" s="2819"/>
      <c r="AW105" s="2820"/>
    </row>
    <row r="106" spans="1:56" ht="36.75" customHeight="1">
      <c r="A106" s="1028" t="s">
        <v>302</v>
      </c>
      <c r="B106" s="1028" t="s">
        <v>128</v>
      </c>
      <c r="C106" s="1421" t="s">
        <v>69</v>
      </c>
      <c r="D106" s="99" t="s">
        <v>106</v>
      </c>
      <c r="E106" s="102" t="str">
        <f>'XM.GUI MAIL'!E106</f>
        <v>50~70</v>
      </c>
      <c r="F106" s="2021" t="str">
        <f>'XM.GUI MAIL'!F106</f>
        <v>(60±5)</v>
      </c>
      <c r="G106" s="435"/>
      <c r="H106" s="100"/>
      <c r="I106" s="2828">
        <v>61</v>
      </c>
      <c r="J106" s="2819"/>
      <c r="K106" s="2819"/>
      <c r="L106" s="2819">
        <v>60</v>
      </c>
      <c r="M106" s="2819"/>
      <c r="N106" s="2830"/>
      <c r="O106" s="1474"/>
      <c r="P106" s="2828">
        <v>60</v>
      </c>
      <c r="Q106" s="2819"/>
      <c r="R106" s="2819"/>
      <c r="S106" s="2819">
        <v>60</v>
      </c>
      <c r="T106" s="2819"/>
      <c r="U106" s="2830"/>
      <c r="V106" s="291"/>
      <c r="W106" s="2828">
        <v>59</v>
      </c>
      <c r="X106" s="2819"/>
      <c r="Y106" s="2819"/>
      <c r="Z106" s="2819">
        <v>58</v>
      </c>
      <c r="AA106" s="2819"/>
      <c r="AB106" s="2830"/>
      <c r="AC106" s="291"/>
      <c r="AD106" s="2828">
        <v>60</v>
      </c>
      <c r="AE106" s="2819"/>
      <c r="AF106" s="2819"/>
      <c r="AG106" s="2819">
        <v>59</v>
      </c>
      <c r="AH106" s="2819"/>
      <c r="AI106" s="2820"/>
      <c r="AJ106" s="290"/>
      <c r="AK106" s="2828"/>
      <c r="AL106" s="2819"/>
      <c r="AM106" s="2819"/>
      <c r="AN106" s="2819"/>
      <c r="AO106" s="2819"/>
      <c r="AP106" s="2820"/>
      <c r="AQ106" s="290"/>
      <c r="AR106" s="2828">
        <v>61</v>
      </c>
      <c r="AS106" s="2819"/>
      <c r="AT106" s="2819"/>
      <c r="AU106" s="2819">
        <v>60</v>
      </c>
      <c r="AV106" s="2819"/>
      <c r="AW106" s="2820"/>
    </row>
    <row r="107" spans="1:56" ht="36.75" customHeight="1">
      <c r="A107" s="1028" t="s">
        <v>303</v>
      </c>
      <c r="B107" s="1028" t="s">
        <v>128</v>
      </c>
      <c r="C107" s="1421" t="s">
        <v>68</v>
      </c>
      <c r="D107" s="99" t="s">
        <v>106</v>
      </c>
      <c r="E107" s="102" t="str">
        <f>'XM.GUI MAIL'!E107</f>
        <v>50~70</v>
      </c>
      <c r="F107" s="2021" t="str">
        <f>'XM.GUI MAIL'!F107</f>
        <v>(60±5)</v>
      </c>
      <c r="G107" s="1411"/>
      <c r="H107" s="97"/>
      <c r="I107" s="2828">
        <v>62</v>
      </c>
      <c r="J107" s="2819"/>
      <c r="K107" s="2819"/>
      <c r="L107" s="2819">
        <v>63</v>
      </c>
      <c r="M107" s="2819"/>
      <c r="N107" s="2830"/>
      <c r="O107" s="1474"/>
      <c r="P107" s="2828">
        <v>63</v>
      </c>
      <c r="Q107" s="2819"/>
      <c r="R107" s="2819"/>
      <c r="S107" s="2819">
        <v>64</v>
      </c>
      <c r="T107" s="2819"/>
      <c r="U107" s="2830"/>
      <c r="V107" s="291"/>
      <c r="W107" s="2828">
        <v>63</v>
      </c>
      <c r="X107" s="2819"/>
      <c r="Y107" s="2819"/>
      <c r="Z107" s="2819">
        <v>63</v>
      </c>
      <c r="AA107" s="2819"/>
      <c r="AB107" s="2830"/>
      <c r="AC107" s="291"/>
      <c r="AD107" s="2828">
        <v>62</v>
      </c>
      <c r="AE107" s="2819"/>
      <c r="AF107" s="2819"/>
      <c r="AG107" s="2819">
        <v>61</v>
      </c>
      <c r="AH107" s="2819"/>
      <c r="AI107" s="2820"/>
      <c r="AJ107" s="290"/>
      <c r="AK107" s="2828"/>
      <c r="AL107" s="2819"/>
      <c r="AM107" s="2819"/>
      <c r="AN107" s="2819"/>
      <c r="AO107" s="2819"/>
      <c r="AP107" s="2820"/>
      <c r="AQ107" s="290"/>
      <c r="AR107" s="2828">
        <v>61</v>
      </c>
      <c r="AS107" s="2819"/>
      <c r="AT107" s="2819"/>
      <c r="AU107" s="2819">
        <v>60</v>
      </c>
      <c r="AV107" s="2819"/>
      <c r="AW107" s="2820"/>
    </row>
    <row r="108" spans="1:56" ht="36.75" customHeight="1">
      <c r="A108" s="1028" t="s">
        <v>314</v>
      </c>
      <c r="B108" s="1028" t="s">
        <v>128</v>
      </c>
      <c r="C108" s="1421" t="s">
        <v>70</v>
      </c>
      <c r="D108" s="99" t="s">
        <v>106</v>
      </c>
      <c r="E108" s="102" t="str">
        <f>'XM.GUI MAIL'!E108</f>
        <v>22~28</v>
      </c>
      <c r="F108" s="2030" t="str">
        <f>'XM.GUI MAIL'!F108</f>
        <v>(25±3)</v>
      </c>
      <c r="G108" s="435"/>
      <c r="H108" s="100"/>
      <c r="I108" s="2840">
        <v>25</v>
      </c>
      <c r="J108" s="2841"/>
      <c r="K108" s="2841"/>
      <c r="L108" s="2841">
        <v>25</v>
      </c>
      <c r="M108" s="2841"/>
      <c r="N108" s="2841"/>
      <c r="O108" s="2842"/>
      <c r="P108" s="2840">
        <v>26</v>
      </c>
      <c r="Q108" s="2841"/>
      <c r="R108" s="2841"/>
      <c r="S108" s="2841">
        <v>25</v>
      </c>
      <c r="T108" s="2841"/>
      <c r="U108" s="2841"/>
      <c r="V108" s="2842"/>
      <c r="W108" s="2840">
        <v>25</v>
      </c>
      <c r="X108" s="2841"/>
      <c r="Y108" s="2841"/>
      <c r="Z108" s="2841">
        <v>24</v>
      </c>
      <c r="AA108" s="2841"/>
      <c r="AB108" s="2841"/>
      <c r="AC108" s="2842"/>
      <c r="AD108" s="2840">
        <v>26</v>
      </c>
      <c r="AE108" s="2841"/>
      <c r="AF108" s="2841"/>
      <c r="AG108" s="2841">
        <v>25</v>
      </c>
      <c r="AH108" s="2841"/>
      <c r="AI108" s="2841"/>
      <c r="AJ108" s="2842"/>
      <c r="AK108" s="2840"/>
      <c r="AL108" s="2841"/>
      <c r="AM108" s="2841"/>
      <c r="AN108" s="2841"/>
      <c r="AO108" s="2841"/>
      <c r="AP108" s="2841"/>
      <c r="AQ108" s="2842"/>
      <c r="AR108" s="2840">
        <v>26</v>
      </c>
      <c r="AS108" s="2841"/>
      <c r="AT108" s="2841"/>
      <c r="AU108" s="2841">
        <v>25</v>
      </c>
      <c r="AV108" s="2841"/>
      <c r="AW108" s="2842"/>
    </row>
    <row r="109" spans="1:56" ht="36.75" customHeight="1">
      <c r="A109" s="285" t="s">
        <v>304</v>
      </c>
      <c r="B109" s="1028" t="s">
        <v>128</v>
      </c>
      <c r="C109" s="1421" t="s">
        <v>1288</v>
      </c>
      <c r="D109" s="99" t="s">
        <v>106</v>
      </c>
      <c r="E109" s="102" t="str">
        <f>'XM.GUI MAIL'!E109</f>
        <v>30~40</v>
      </c>
      <c r="F109" s="2030" t="str">
        <f>'XM.GUI MAIL'!F109</f>
        <v>(34±3)</v>
      </c>
      <c r="G109" s="435"/>
      <c r="H109" s="100"/>
      <c r="I109" s="2828">
        <v>34</v>
      </c>
      <c r="J109" s="2819"/>
      <c r="K109" s="2830"/>
      <c r="L109" s="2819">
        <v>33</v>
      </c>
      <c r="M109" s="2819"/>
      <c r="N109" s="2820"/>
      <c r="O109" s="288"/>
      <c r="P109" s="2828">
        <v>34</v>
      </c>
      <c r="Q109" s="2819"/>
      <c r="R109" s="2830"/>
      <c r="S109" s="2819">
        <v>33</v>
      </c>
      <c r="T109" s="2819"/>
      <c r="U109" s="2820"/>
      <c r="V109" s="1884"/>
      <c r="W109" s="2828">
        <v>34</v>
      </c>
      <c r="X109" s="2819"/>
      <c r="Y109" s="2830"/>
      <c r="Z109" s="2819">
        <v>33</v>
      </c>
      <c r="AA109" s="2819"/>
      <c r="AB109" s="2820"/>
      <c r="AC109" s="1890"/>
      <c r="AD109" s="2828">
        <v>34</v>
      </c>
      <c r="AE109" s="2819"/>
      <c r="AF109" s="2830"/>
      <c r="AG109" s="2819">
        <v>33</v>
      </c>
      <c r="AH109" s="2819"/>
      <c r="AI109" s="2820"/>
      <c r="AJ109" s="1884"/>
      <c r="AK109" s="2828"/>
      <c r="AL109" s="2819"/>
      <c r="AM109" s="2830"/>
      <c r="AN109" s="2819"/>
      <c r="AO109" s="2819"/>
      <c r="AP109" s="2820"/>
      <c r="AQ109" s="1884"/>
      <c r="AR109" s="2828">
        <v>34</v>
      </c>
      <c r="AS109" s="2819"/>
      <c r="AT109" s="2830"/>
      <c r="AU109" s="2819">
        <v>33</v>
      </c>
      <c r="AV109" s="2819"/>
      <c r="AW109" s="2820"/>
    </row>
    <row r="110" spans="1:56" ht="36.75" customHeight="1">
      <c r="A110" s="285" t="s">
        <v>305</v>
      </c>
      <c r="B110" s="1028" t="s">
        <v>128</v>
      </c>
      <c r="C110" s="1421" t="s">
        <v>71</v>
      </c>
      <c r="D110" s="99" t="s">
        <v>106</v>
      </c>
      <c r="E110" s="102" t="str">
        <f>'XM.GUI MAIL'!E110</f>
        <v>55~65</v>
      </c>
      <c r="F110" s="2030" t="str">
        <f>'XM.GUI MAIL'!F110</f>
        <v>(60±5)</v>
      </c>
      <c r="G110" s="435"/>
      <c r="H110" s="100"/>
      <c r="I110" s="2828">
        <v>56</v>
      </c>
      <c r="J110" s="2819"/>
      <c r="K110" s="2819"/>
      <c r="L110" s="2829">
        <v>54</v>
      </c>
      <c r="M110" s="2819"/>
      <c r="N110" s="2819"/>
      <c r="O110" s="2379"/>
      <c r="P110" s="2828">
        <v>62</v>
      </c>
      <c r="Q110" s="2819"/>
      <c r="R110" s="2819"/>
      <c r="S110" s="2829">
        <v>61</v>
      </c>
      <c r="T110" s="2819"/>
      <c r="U110" s="2819"/>
      <c r="V110" s="2379"/>
      <c r="W110" s="2828">
        <v>58</v>
      </c>
      <c r="X110" s="2819"/>
      <c r="Y110" s="2819"/>
      <c r="Z110" s="2829">
        <v>57</v>
      </c>
      <c r="AA110" s="2819"/>
      <c r="AB110" s="2819"/>
      <c r="AC110" s="2379"/>
      <c r="AD110" s="2828">
        <v>61</v>
      </c>
      <c r="AE110" s="2819"/>
      <c r="AF110" s="2819"/>
      <c r="AG110" s="2829">
        <v>60</v>
      </c>
      <c r="AH110" s="2819"/>
      <c r="AI110" s="2819"/>
      <c r="AJ110" s="2379"/>
      <c r="AK110" s="2828"/>
      <c r="AL110" s="2819"/>
      <c r="AM110" s="2819"/>
      <c r="AN110" s="2829"/>
      <c r="AO110" s="2819"/>
      <c r="AP110" s="2819"/>
      <c r="AQ110" s="2379"/>
      <c r="AR110" s="2828">
        <v>59</v>
      </c>
      <c r="AS110" s="2819"/>
      <c r="AT110" s="2819"/>
      <c r="AU110" s="2819">
        <v>58</v>
      </c>
      <c r="AV110" s="2819"/>
      <c r="AW110" s="2820"/>
    </row>
    <row r="111" spans="1:56" ht="36.75" customHeight="1">
      <c r="A111" s="47" t="s">
        <v>306</v>
      </c>
      <c r="B111" s="1028" t="s">
        <v>128</v>
      </c>
      <c r="C111" s="1421" t="s">
        <v>72</v>
      </c>
      <c r="D111" s="99" t="s">
        <v>106</v>
      </c>
      <c r="E111" s="102" t="str">
        <f>'XM.GUI MAIL'!E111</f>
        <v>80~100</v>
      </c>
      <c r="F111" s="2030" t="str">
        <f>'XM.GUI MAIL'!F111</f>
        <v>(90±5)</v>
      </c>
      <c r="G111" s="435"/>
      <c r="H111" s="100"/>
      <c r="I111" s="2845" t="s">
        <v>48</v>
      </c>
      <c r="J111" s="2846"/>
      <c r="K111" s="2847"/>
      <c r="L111" s="2819">
        <v>94</v>
      </c>
      <c r="M111" s="2819"/>
      <c r="N111" s="2820"/>
      <c r="O111" s="2380"/>
      <c r="P111" s="2825" t="s">
        <v>48</v>
      </c>
      <c r="Q111" s="2826"/>
      <c r="R111" s="2827"/>
      <c r="S111" s="2819">
        <v>92</v>
      </c>
      <c r="T111" s="2819"/>
      <c r="U111" s="2820"/>
      <c r="V111" s="2380"/>
      <c r="W111" s="2825" t="s">
        <v>48</v>
      </c>
      <c r="X111" s="2826"/>
      <c r="Y111" s="2827"/>
      <c r="Z111" s="2819">
        <v>94</v>
      </c>
      <c r="AA111" s="2819"/>
      <c r="AB111" s="2820"/>
      <c r="AC111" s="2380"/>
      <c r="AD111" s="2825" t="s">
        <v>48</v>
      </c>
      <c r="AE111" s="2826"/>
      <c r="AF111" s="2827"/>
      <c r="AG111" s="2819">
        <v>92</v>
      </c>
      <c r="AH111" s="2819"/>
      <c r="AI111" s="2820"/>
      <c r="AJ111" s="2380"/>
      <c r="AK111" s="2825" t="s">
        <v>48</v>
      </c>
      <c r="AL111" s="2826"/>
      <c r="AM111" s="2827"/>
      <c r="AN111" s="2819"/>
      <c r="AO111" s="2819"/>
      <c r="AP111" s="2820"/>
      <c r="AQ111" s="2380"/>
      <c r="AR111" s="2825" t="s">
        <v>48</v>
      </c>
      <c r="AS111" s="2826"/>
      <c r="AT111" s="2827"/>
      <c r="AU111" s="2819">
        <v>92</v>
      </c>
      <c r="AV111" s="2819"/>
      <c r="AW111" s="2820"/>
    </row>
    <row r="112" spans="1:56" ht="36.75" customHeight="1">
      <c r="A112" s="285"/>
      <c r="B112" s="1441"/>
      <c r="C112" s="1448" t="s">
        <v>1301</v>
      </c>
      <c r="D112" s="99" t="s">
        <v>106</v>
      </c>
      <c r="E112" s="102" t="str">
        <f>'XM.GUI MAIL'!E112</f>
        <v>40~60</v>
      </c>
      <c r="F112" s="2030" t="str">
        <f>'XM.GUI MAIL'!F112</f>
        <v>(50±10)</v>
      </c>
      <c r="G112" s="435"/>
      <c r="H112" s="100"/>
      <c r="I112" s="2823">
        <v>52</v>
      </c>
      <c r="J112" s="2821"/>
      <c r="K112" s="2824"/>
      <c r="L112" s="2821">
        <v>51</v>
      </c>
      <c r="M112" s="2821"/>
      <c r="N112" s="2822"/>
      <c r="O112" s="1474"/>
      <c r="P112" s="2823">
        <v>52</v>
      </c>
      <c r="Q112" s="2821"/>
      <c r="R112" s="2824"/>
      <c r="S112" s="2821">
        <v>51</v>
      </c>
      <c r="T112" s="2821"/>
      <c r="U112" s="2822"/>
      <c r="V112" s="2377"/>
      <c r="W112" s="2823">
        <v>52</v>
      </c>
      <c r="X112" s="2821"/>
      <c r="Y112" s="2824"/>
      <c r="Z112" s="2821">
        <v>52</v>
      </c>
      <c r="AA112" s="2821"/>
      <c r="AB112" s="2822"/>
      <c r="AC112" s="2378"/>
      <c r="AD112" s="2823">
        <v>54</v>
      </c>
      <c r="AE112" s="2821"/>
      <c r="AF112" s="2824"/>
      <c r="AG112" s="2821">
        <v>53</v>
      </c>
      <c r="AH112" s="2821"/>
      <c r="AI112" s="2822"/>
      <c r="AJ112" s="2377"/>
      <c r="AK112" s="2823"/>
      <c r="AL112" s="2821"/>
      <c r="AM112" s="2824"/>
      <c r="AN112" s="2821"/>
      <c r="AO112" s="2821"/>
      <c r="AP112" s="2822"/>
      <c r="AQ112" s="2377"/>
      <c r="AR112" s="2823">
        <v>51</v>
      </c>
      <c r="AS112" s="2821"/>
      <c r="AT112" s="2824"/>
      <c r="AU112" s="2821">
        <v>50</v>
      </c>
      <c r="AV112" s="2821"/>
      <c r="AW112" s="2822"/>
    </row>
    <row r="113" spans="1:53" ht="36.75" customHeight="1">
      <c r="A113" s="285"/>
      <c r="B113" s="2362"/>
      <c r="C113" s="2364" t="s">
        <v>1528</v>
      </c>
      <c r="D113" s="99" t="s">
        <v>106</v>
      </c>
      <c r="E113" s="102" t="str">
        <f>'XM.GUI MAIL'!E113</f>
        <v>50~70</v>
      </c>
      <c r="F113" s="2030" t="str">
        <f>'XM.GUI MAIL'!F113</f>
        <v>(60±10)</v>
      </c>
      <c r="G113" s="435"/>
      <c r="H113" s="100"/>
      <c r="I113" s="2823">
        <v>54</v>
      </c>
      <c r="J113" s="2821"/>
      <c r="K113" s="2824"/>
      <c r="L113" s="2821">
        <v>53</v>
      </c>
      <c r="M113" s="2821"/>
      <c r="N113" s="2822"/>
      <c r="O113" s="1474"/>
      <c r="P113" s="2823">
        <v>57</v>
      </c>
      <c r="Q113" s="2821"/>
      <c r="R113" s="2824"/>
      <c r="S113" s="2821">
        <v>58</v>
      </c>
      <c r="T113" s="2821"/>
      <c r="U113" s="2822"/>
      <c r="V113" s="2377"/>
      <c r="W113" s="2823">
        <v>60</v>
      </c>
      <c r="X113" s="2821"/>
      <c r="Y113" s="2824"/>
      <c r="Z113" s="2821">
        <v>61</v>
      </c>
      <c r="AA113" s="2821"/>
      <c r="AB113" s="2822"/>
      <c r="AC113" s="2378"/>
      <c r="AD113" s="2823">
        <v>61</v>
      </c>
      <c r="AE113" s="2821"/>
      <c r="AF113" s="2824"/>
      <c r="AG113" s="2821">
        <v>60</v>
      </c>
      <c r="AH113" s="2821"/>
      <c r="AI113" s="2822"/>
      <c r="AJ113" s="2377"/>
      <c r="AK113" s="2823"/>
      <c r="AL113" s="2821"/>
      <c r="AM113" s="2824"/>
      <c r="AN113" s="2821"/>
      <c r="AO113" s="2821"/>
      <c r="AP113" s="2822"/>
      <c r="AQ113" s="2377"/>
      <c r="AR113" s="2823">
        <v>59</v>
      </c>
      <c r="AS113" s="2821"/>
      <c r="AT113" s="2824"/>
      <c r="AU113" s="2821">
        <v>58</v>
      </c>
      <c r="AV113" s="2821"/>
      <c r="AW113" s="2822"/>
    </row>
    <row r="114" spans="1:53" ht="36.75" hidden="1" customHeight="1">
      <c r="A114" s="285"/>
      <c r="B114" s="1028"/>
      <c r="C114" s="1421" t="s">
        <v>994</v>
      </c>
      <c r="D114" s="21" t="s">
        <v>106</v>
      </c>
      <c r="E114" s="102" t="str">
        <f>'XM.GUI MAIL'!E114</f>
        <v>20~30</v>
      </c>
      <c r="F114" s="2021" t="str">
        <f>'XM.GUI MAIL'!F114</f>
        <v>20~30</v>
      </c>
      <c r="G114" s="435"/>
      <c r="H114" s="100"/>
      <c r="I114" s="2823"/>
      <c r="J114" s="2821"/>
      <c r="K114" s="2824"/>
      <c r="L114" s="2821"/>
      <c r="M114" s="2821"/>
      <c r="N114" s="2821"/>
      <c r="O114" s="1850"/>
      <c r="P114" s="2823"/>
      <c r="Q114" s="2821"/>
      <c r="R114" s="2824"/>
      <c r="S114" s="2821"/>
      <c r="T114" s="2821"/>
      <c r="U114" s="2821"/>
      <c r="W114" s="2823"/>
      <c r="X114" s="2821"/>
      <c r="Y114" s="2824"/>
      <c r="Z114" s="2821"/>
      <c r="AA114" s="2821"/>
      <c r="AB114" s="2821"/>
      <c r="AC114" s="2346"/>
      <c r="AD114" s="2823"/>
      <c r="AE114" s="2821"/>
      <c r="AF114" s="2824"/>
      <c r="AG114" s="2821"/>
      <c r="AH114" s="2821"/>
      <c r="AI114" s="2821"/>
      <c r="AJ114" s="1850"/>
      <c r="AK114" s="2823"/>
      <c r="AL114" s="2821"/>
      <c r="AM114" s="2824"/>
      <c r="AN114" s="2821"/>
      <c r="AO114" s="2821"/>
      <c r="AP114" s="2821"/>
      <c r="AR114" s="2823"/>
      <c r="AS114" s="2821"/>
      <c r="AT114" s="2824"/>
      <c r="AU114" s="2821"/>
      <c r="AV114" s="2821"/>
      <c r="AW114" s="2822"/>
    </row>
    <row r="115" spans="1:53" ht="36.75" hidden="1" customHeight="1">
      <c r="A115" s="285"/>
      <c r="B115" s="1422"/>
      <c r="C115" s="1424" t="s">
        <v>1289</v>
      </c>
      <c r="D115" s="1446" t="s">
        <v>1300</v>
      </c>
      <c r="E115" s="1454" t="str">
        <f>'XM.GUI MAIL'!E115</f>
        <v>35~45</v>
      </c>
      <c r="F115" s="2021" t="str">
        <f>'XM.GUI MAIL'!F115</f>
        <v>(40±3)</v>
      </c>
      <c r="G115" s="435"/>
      <c r="H115" s="100"/>
      <c r="I115" s="2836"/>
      <c r="J115" s="2834"/>
      <c r="K115" s="2834"/>
      <c r="L115" s="2834"/>
      <c r="M115" s="2834"/>
      <c r="N115" s="2834"/>
      <c r="O115" s="2835"/>
      <c r="P115" s="2836"/>
      <c r="Q115" s="2834"/>
      <c r="R115" s="2834"/>
      <c r="S115" s="2834"/>
      <c r="T115" s="2834"/>
      <c r="U115" s="2834"/>
      <c r="V115" s="2835"/>
      <c r="W115" s="2836"/>
      <c r="X115" s="2834"/>
      <c r="Y115" s="2834"/>
      <c r="Z115" s="2834"/>
      <c r="AA115" s="2834"/>
      <c r="AB115" s="2834"/>
      <c r="AC115" s="2835"/>
      <c r="AD115" s="2836"/>
      <c r="AE115" s="2834"/>
      <c r="AF115" s="2834"/>
      <c r="AG115" s="2834"/>
      <c r="AH115" s="2834"/>
      <c r="AI115" s="2834"/>
      <c r="AJ115" s="2835"/>
      <c r="AK115" s="2836"/>
      <c r="AL115" s="2834"/>
      <c r="AM115" s="2834"/>
      <c r="AN115" s="2834"/>
      <c r="AO115" s="2834"/>
      <c r="AP115" s="2834"/>
      <c r="AQ115" s="2835"/>
      <c r="AR115" s="2836"/>
      <c r="AS115" s="2834"/>
      <c r="AT115" s="2834"/>
      <c r="AU115" s="2834"/>
      <c r="AV115" s="2834"/>
      <c r="AW115" s="2835"/>
    </row>
    <row r="116" spans="1:53" ht="42" customHeight="1">
      <c r="A116" s="1369" t="s">
        <v>312</v>
      </c>
      <c r="B116" s="1370" t="s">
        <v>128</v>
      </c>
      <c r="C116" s="1049" t="s">
        <v>118</v>
      </c>
      <c r="D116" s="1050" t="s">
        <v>106</v>
      </c>
      <c r="E116" s="1636" t="str">
        <f>'XM.GUI MAIL'!E116</f>
        <v>24~28</v>
      </c>
      <c r="F116" s="2021" t="str">
        <f>'XM.GUI MAIL'!F116</f>
        <v>(26±2)</v>
      </c>
      <c r="G116" s="435"/>
      <c r="H116" s="100"/>
      <c r="I116" s="2837">
        <v>26</v>
      </c>
      <c r="J116" s="2838"/>
      <c r="K116" s="2838"/>
      <c r="L116" s="2838">
        <v>25</v>
      </c>
      <c r="M116" s="2838"/>
      <c r="N116" s="2838"/>
      <c r="O116" s="1926"/>
      <c r="P116" s="2837">
        <v>25</v>
      </c>
      <c r="Q116" s="2838"/>
      <c r="R116" s="2838"/>
      <c r="S116" s="2838">
        <v>25</v>
      </c>
      <c r="T116" s="2838"/>
      <c r="U116" s="2838"/>
      <c r="V116" s="96"/>
      <c r="W116" s="2837">
        <v>26</v>
      </c>
      <c r="X116" s="2838"/>
      <c r="Y116" s="2838"/>
      <c r="Z116" s="2838">
        <v>26</v>
      </c>
      <c r="AA116" s="2838"/>
      <c r="AB116" s="2838"/>
      <c r="AC116" s="1884"/>
      <c r="AD116" s="2837">
        <v>26</v>
      </c>
      <c r="AE116" s="2838"/>
      <c r="AF116" s="2838"/>
      <c r="AG116" s="2838">
        <v>25</v>
      </c>
      <c r="AH116" s="2838"/>
      <c r="AI116" s="2838"/>
      <c r="AJ116" s="1926"/>
      <c r="AK116" s="2837"/>
      <c r="AL116" s="2838"/>
      <c r="AM116" s="2838"/>
      <c r="AN116" s="2838"/>
      <c r="AO116" s="2838"/>
      <c r="AP116" s="2838"/>
      <c r="AQ116" s="96"/>
      <c r="AR116" s="2837">
        <v>26</v>
      </c>
      <c r="AS116" s="2838"/>
      <c r="AT116" s="2838"/>
      <c r="AU116" s="2838">
        <v>25</v>
      </c>
      <c r="AV116" s="2838"/>
      <c r="AW116" s="2839"/>
    </row>
    <row r="117" spans="1:53" ht="42" customHeight="1">
      <c r="A117" s="1369" t="s">
        <v>313</v>
      </c>
      <c r="B117" s="1370" t="s">
        <v>128</v>
      </c>
      <c r="C117" s="1049" t="s">
        <v>122</v>
      </c>
      <c r="D117" s="1050" t="s">
        <v>106</v>
      </c>
      <c r="E117" s="1636" t="str">
        <f>'XM.GUI MAIL'!E117</f>
        <v>20~30</v>
      </c>
      <c r="F117" s="2030" t="str">
        <f>'XM.GUI MAIL'!F117</f>
        <v>(25±5)</v>
      </c>
      <c r="G117" s="435"/>
      <c r="H117" s="100"/>
      <c r="I117" s="2837">
        <v>28</v>
      </c>
      <c r="J117" s="2838"/>
      <c r="K117" s="2838"/>
      <c r="L117" s="2838">
        <v>28</v>
      </c>
      <c r="M117" s="2838"/>
      <c r="N117" s="2838"/>
      <c r="O117" s="1926"/>
      <c r="P117" s="2837">
        <v>29</v>
      </c>
      <c r="Q117" s="2838"/>
      <c r="R117" s="2838"/>
      <c r="S117" s="2838">
        <v>28</v>
      </c>
      <c r="T117" s="2838"/>
      <c r="U117" s="2838"/>
      <c r="V117" s="96"/>
      <c r="W117" s="2837">
        <v>29</v>
      </c>
      <c r="X117" s="2838"/>
      <c r="Y117" s="2838"/>
      <c r="Z117" s="2838">
        <v>28</v>
      </c>
      <c r="AA117" s="2838"/>
      <c r="AB117" s="2838"/>
      <c r="AC117" s="1884"/>
      <c r="AD117" s="2837">
        <v>29</v>
      </c>
      <c r="AE117" s="2838"/>
      <c r="AF117" s="2838"/>
      <c r="AG117" s="2838">
        <v>28</v>
      </c>
      <c r="AH117" s="2838"/>
      <c r="AI117" s="2838"/>
      <c r="AJ117" s="1926"/>
      <c r="AK117" s="2837"/>
      <c r="AL117" s="2838"/>
      <c r="AM117" s="2838"/>
      <c r="AN117" s="2838"/>
      <c r="AO117" s="2838"/>
      <c r="AP117" s="2838"/>
      <c r="AQ117" s="96"/>
      <c r="AR117" s="2837">
        <v>28</v>
      </c>
      <c r="AS117" s="2838"/>
      <c r="AT117" s="2838"/>
      <c r="AU117" s="2838">
        <v>27</v>
      </c>
      <c r="AV117" s="2838"/>
      <c r="AW117" s="2839"/>
    </row>
    <row r="118" spans="1:53" s="211" customFormat="1" ht="50.25" customHeight="1">
      <c r="A118" s="295" t="s">
        <v>76</v>
      </c>
      <c r="B118" s="296"/>
      <c r="C118" s="296"/>
      <c r="D118" s="296"/>
      <c r="E118" s="306"/>
      <c r="F118" s="293"/>
      <c r="G118" s="306"/>
      <c r="H118" s="296"/>
      <c r="I118" s="296"/>
      <c r="J118" s="296"/>
      <c r="K118" s="296"/>
      <c r="L118" s="296"/>
      <c r="M118" s="296"/>
      <c r="N118" s="296"/>
      <c r="O118" s="296"/>
      <c r="P118" s="297"/>
      <c r="Q118" s="1475"/>
      <c r="R118" s="1475"/>
      <c r="S118" s="1475"/>
      <c r="T118" s="1705"/>
      <c r="U118" s="297"/>
      <c r="V118" s="296"/>
      <c r="W118" s="297"/>
      <c r="X118" s="296"/>
      <c r="Y118" s="296"/>
      <c r="Z118" s="296"/>
      <c r="AA118" s="296"/>
      <c r="AB118" s="296"/>
      <c r="AC118" s="296"/>
      <c r="AD118" s="296"/>
      <c r="AE118" s="296"/>
      <c r="AF118" s="296"/>
      <c r="AG118" s="296"/>
      <c r="AH118" s="296"/>
      <c r="AI118" s="296"/>
      <c r="AJ118" s="297"/>
      <c r="AK118" s="297"/>
      <c r="AL118" s="297"/>
      <c r="AM118" s="297"/>
      <c r="AN118" s="297"/>
      <c r="AO118" s="297"/>
      <c r="AP118" s="297"/>
      <c r="AQ118" s="297"/>
      <c r="AR118" s="297"/>
      <c r="AS118" s="297"/>
      <c r="AT118" s="297"/>
      <c r="AU118" s="297"/>
      <c r="AV118" s="297"/>
      <c r="AW118" s="1036"/>
      <c r="AX118" s="2246"/>
      <c r="AY118" s="93"/>
      <c r="AZ118" s="93"/>
      <c r="BA118" s="93"/>
    </row>
    <row r="119" spans="1:53" ht="47.25" customHeight="1">
      <c r="A119" s="285" t="s">
        <v>307</v>
      </c>
      <c r="B119" s="1028" t="s">
        <v>128</v>
      </c>
      <c r="C119" s="107" t="s">
        <v>1124</v>
      </c>
      <c r="D119" s="1034" t="s">
        <v>49</v>
      </c>
      <c r="E119" s="13" t="str">
        <f>'XM.GUI MAIL'!E119</f>
        <v>30~50 
(40)</v>
      </c>
      <c r="F119" s="2021" t="str">
        <f>'XM.GUI MAIL'!F119</f>
        <v>30~50 
(40)</v>
      </c>
      <c r="G119" s="1415"/>
      <c r="H119" s="103"/>
      <c r="I119" s="2831">
        <v>50</v>
      </c>
      <c r="J119" s="2832"/>
      <c r="K119" s="2832"/>
      <c r="L119" s="2832"/>
      <c r="M119" s="2832"/>
      <c r="N119" s="2833"/>
      <c r="O119" s="288"/>
      <c r="P119" s="2831">
        <v>48</v>
      </c>
      <c r="Q119" s="2832"/>
      <c r="R119" s="2832"/>
      <c r="S119" s="2832"/>
      <c r="T119" s="2832"/>
      <c r="U119" s="2833"/>
      <c r="W119" s="2831">
        <v>50</v>
      </c>
      <c r="X119" s="2832"/>
      <c r="Y119" s="2832"/>
      <c r="Z119" s="2832"/>
      <c r="AA119" s="2832"/>
      <c r="AB119" s="2833"/>
      <c r="AD119" s="2831">
        <v>48</v>
      </c>
      <c r="AE119" s="2832"/>
      <c r="AF119" s="2832"/>
      <c r="AG119" s="2832"/>
      <c r="AH119" s="2832"/>
      <c r="AI119" s="2833"/>
      <c r="AK119" s="2831"/>
      <c r="AL119" s="2832"/>
      <c r="AM119" s="2832"/>
      <c r="AN119" s="2832"/>
      <c r="AO119" s="2832"/>
      <c r="AP119" s="2833"/>
      <c r="AR119" s="2831">
        <v>50</v>
      </c>
      <c r="AS119" s="2832"/>
      <c r="AT119" s="2832"/>
      <c r="AU119" s="2832"/>
      <c r="AV119" s="2832"/>
      <c r="AW119" s="2833"/>
    </row>
    <row r="120" spans="1:53" ht="47.25" customHeight="1">
      <c r="A120" s="47" t="s">
        <v>308</v>
      </c>
      <c r="B120" s="1028" t="s">
        <v>128</v>
      </c>
      <c r="C120" s="107" t="s">
        <v>1125</v>
      </c>
      <c r="D120" s="1034" t="s">
        <v>49</v>
      </c>
      <c r="E120" s="13" t="str">
        <f>'XM.GUI MAIL'!E120</f>
        <v>160~220
(180)</v>
      </c>
      <c r="F120" s="2030" t="str">
        <f>'XM.GUI MAIL'!F120</f>
        <v>160~220
(180)</v>
      </c>
      <c r="G120" s="1415"/>
      <c r="H120" s="103"/>
      <c r="I120" s="2831">
        <v>175</v>
      </c>
      <c r="J120" s="2832"/>
      <c r="K120" s="2832"/>
      <c r="L120" s="2832"/>
      <c r="M120" s="2832"/>
      <c r="N120" s="2833"/>
      <c r="O120" s="1336"/>
      <c r="P120" s="2831">
        <v>178</v>
      </c>
      <c r="Q120" s="2832"/>
      <c r="R120" s="2832"/>
      <c r="S120" s="2832"/>
      <c r="T120" s="2832"/>
      <c r="U120" s="2833"/>
      <c r="V120" s="1073"/>
      <c r="W120" s="2831">
        <v>180</v>
      </c>
      <c r="X120" s="2832"/>
      <c r="Y120" s="2832"/>
      <c r="Z120" s="2832"/>
      <c r="AA120" s="2832"/>
      <c r="AB120" s="2833"/>
      <c r="AC120" s="1336"/>
      <c r="AD120" s="2831">
        <v>175</v>
      </c>
      <c r="AE120" s="2832"/>
      <c r="AF120" s="2832"/>
      <c r="AG120" s="2832"/>
      <c r="AH120" s="2832"/>
      <c r="AI120" s="2833"/>
      <c r="AJ120" s="1335"/>
      <c r="AK120" s="2831"/>
      <c r="AL120" s="2832"/>
      <c r="AM120" s="2832"/>
      <c r="AN120" s="2832"/>
      <c r="AO120" s="2832"/>
      <c r="AP120" s="2833"/>
      <c r="AQ120" s="1335"/>
      <c r="AR120" s="2831">
        <v>175</v>
      </c>
      <c r="AS120" s="2832"/>
      <c r="AT120" s="2832"/>
      <c r="AU120" s="2832"/>
      <c r="AV120" s="2832"/>
      <c r="AW120" s="2833"/>
    </row>
    <row r="121" spans="1:53" ht="22.5" customHeight="1"/>
    <row r="122" spans="1:53" ht="32.25" customHeight="1">
      <c r="C122" s="2031" t="str">
        <f>MENU!$AC$9</f>
        <v>Thứ 3,</v>
      </c>
      <c r="D122" s="1945" t="str">
        <f>MENU!$AD$9</f>
        <v>2024/01/09</v>
      </c>
      <c r="E122" s="1945"/>
    </row>
    <row r="123" spans="1:53" ht="35.25" customHeight="1">
      <c r="C123" s="2850" t="s">
        <v>317</v>
      </c>
      <c r="D123" s="2851" t="s">
        <v>125</v>
      </c>
      <c r="E123" s="2852" t="s">
        <v>1325</v>
      </c>
      <c r="F123" s="2848" t="s">
        <v>1317</v>
      </c>
      <c r="I123" s="279" t="s">
        <v>1489</v>
      </c>
      <c r="J123" s="279"/>
      <c r="K123" s="279"/>
      <c r="L123" s="279"/>
      <c r="M123" s="279"/>
      <c r="N123" s="279"/>
      <c r="O123" s="88"/>
      <c r="P123" s="292" t="s">
        <v>1479</v>
      </c>
      <c r="Q123" s="279"/>
      <c r="R123" s="279"/>
      <c r="S123" s="279"/>
      <c r="T123" s="279"/>
      <c r="U123" s="280"/>
      <c r="V123" s="279"/>
      <c r="W123" s="279" t="s">
        <v>1480</v>
      </c>
      <c r="X123" s="279"/>
      <c r="Y123" s="279"/>
      <c r="Z123" s="279"/>
      <c r="AA123" s="279"/>
      <c r="AB123" s="279"/>
      <c r="AC123" s="88"/>
      <c r="AD123" s="292" t="s">
        <v>1481</v>
      </c>
      <c r="AE123" s="279"/>
      <c r="AF123" s="279"/>
      <c r="AG123" s="279"/>
      <c r="AH123" s="279"/>
      <c r="AI123" s="280"/>
      <c r="AJ123" s="279"/>
      <c r="AK123" s="279" t="s">
        <v>1482</v>
      </c>
      <c r="AL123" s="279"/>
      <c r="AM123" s="279"/>
      <c r="AN123" s="279"/>
      <c r="AO123" s="279"/>
      <c r="AP123" s="279"/>
      <c r="AQ123" s="279"/>
      <c r="AR123" s="292" t="s">
        <v>1483</v>
      </c>
      <c r="AS123" s="279"/>
      <c r="AT123" s="279"/>
      <c r="AU123" s="280"/>
      <c r="AV123" s="280"/>
      <c r="AW123" s="1035"/>
    </row>
    <row r="124" spans="1:53" ht="24" customHeight="1">
      <c r="C124" s="2850"/>
      <c r="D124" s="2851"/>
      <c r="E124" s="2853"/>
      <c r="F124" s="2849"/>
      <c r="I124" s="2044" t="s">
        <v>130</v>
      </c>
      <c r="J124" s="2045" t="s">
        <v>1</v>
      </c>
      <c r="K124" s="2046" t="s">
        <v>1</v>
      </c>
      <c r="L124" s="2046"/>
      <c r="M124" s="2046"/>
      <c r="N124" s="2047"/>
      <c r="O124" s="1098"/>
      <c r="P124" s="2044" t="s">
        <v>130</v>
      </c>
      <c r="Q124" s="2045" t="s">
        <v>1</v>
      </c>
      <c r="R124" s="2046" t="s">
        <v>1</v>
      </c>
      <c r="S124" s="2046"/>
      <c r="T124" s="2046"/>
      <c r="U124" s="2047"/>
      <c r="V124" s="1021"/>
      <c r="W124" s="2044" t="s">
        <v>130</v>
      </c>
      <c r="X124" s="2045" t="s">
        <v>1</v>
      </c>
      <c r="Y124" s="2046" t="s">
        <v>1</v>
      </c>
      <c r="Z124" s="2046"/>
      <c r="AA124" s="2046"/>
      <c r="AB124" s="2047"/>
      <c r="AC124" s="1098"/>
      <c r="AD124" s="2044" t="s">
        <v>130</v>
      </c>
      <c r="AE124" s="2045" t="s">
        <v>1</v>
      </c>
      <c r="AF124" s="2046" t="s">
        <v>1</v>
      </c>
      <c r="AG124" s="2046"/>
      <c r="AH124" s="2046"/>
      <c r="AI124" s="2047"/>
      <c r="AJ124" s="2044" t="s">
        <v>130</v>
      </c>
      <c r="AK124" s="2044" t="s">
        <v>130</v>
      </c>
      <c r="AL124" s="2045" t="s">
        <v>1</v>
      </c>
      <c r="AM124" s="2046" t="s">
        <v>1</v>
      </c>
      <c r="AN124" s="2046"/>
      <c r="AO124" s="2046"/>
      <c r="AP124" s="2047"/>
      <c r="AQ124" s="1098"/>
      <c r="AR124" s="2044" t="s">
        <v>130</v>
      </c>
      <c r="AS124" s="2045" t="s">
        <v>1</v>
      </c>
      <c r="AT124" s="2046" t="s">
        <v>1</v>
      </c>
      <c r="AU124" s="2046"/>
      <c r="AV124" s="2046"/>
      <c r="AW124" s="2047"/>
    </row>
    <row r="125" spans="1:53" ht="37.5" customHeight="1">
      <c r="C125" s="216" t="s">
        <v>194</v>
      </c>
      <c r="D125" s="213" t="s">
        <v>4</v>
      </c>
      <c r="E125" s="1411" t="str">
        <f>E99</f>
        <v>5~6</v>
      </c>
      <c r="F125" s="2021" t="str">
        <f>F99</f>
        <v>(5.5± 0.5)</v>
      </c>
      <c r="I125" s="1833">
        <f>H99*1.3</f>
        <v>5.59</v>
      </c>
      <c r="J125" s="1858">
        <f>($G$99-I125)*8000/1000</f>
        <v>-0.71999999999999886</v>
      </c>
      <c r="K125" s="1845" t="s">
        <v>8</v>
      </c>
      <c r="L125" s="1846">
        <f>L99</f>
        <v>0</v>
      </c>
      <c r="M125" s="1878"/>
      <c r="N125" s="1847" t="s">
        <v>9</v>
      </c>
      <c r="O125" s="251"/>
      <c r="P125" s="1833">
        <f>O99*1.3</f>
        <v>5.3950000000000005</v>
      </c>
      <c r="Q125" s="1858">
        <f>($G$99-P125)*8000/1000</f>
        <v>0.83999999999999642</v>
      </c>
      <c r="R125" s="1845" t="s">
        <v>8</v>
      </c>
      <c r="S125" s="1846">
        <f>S99</f>
        <v>0.83999999999999642</v>
      </c>
      <c r="T125" s="1878"/>
      <c r="U125" s="1847" t="s">
        <v>9</v>
      </c>
      <c r="V125" s="1711" t="e">
        <f>XM.HN!#REF!</f>
        <v>#REF!</v>
      </c>
      <c r="W125" s="1833">
        <f>V99*1.3</f>
        <v>5.4600000000000009</v>
      </c>
      <c r="X125" s="1858">
        <f>($G$99-W125)*8000/1000</f>
        <v>0.31999999999999318</v>
      </c>
      <c r="Y125" s="1845" t="s">
        <v>8</v>
      </c>
      <c r="Z125" s="1846">
        <f>Z99</f>
        <v>0.31999999999999318</v>
      </c>
      <c r="AA125" s="1878"/>
      <c r="AB125" s="1847" t="s">
        <v>9</v>
      </c>
      <c r="AC125" s="215"/>
      <c r="AD125" s="1833">
        <f>AC99*1.3</f>
        <v>5.8500000000000005</v>
      </c>
      <c r="AE125" s="1858">
        <f>($G$99-AD125)*8000/1000</f>
        <v>-2.8000000000000043</v>
      </c>
      <c r="AF125" s="1845" t="s">
        <v>8</v>
      </c>
      <c r="AG125" s="1846">
        <f>AG99</f>
        <v>0</v>
      </c>
      <c r="AH125" s="1878"/>
      <c r="AI125" s="1847" t="s">
        <v>9</v>
      </c>
      <c r="AJ125" s="92" t="e">
        <f>AP99*1.3</f>
        <v>#VALUE!</v>
      </c>
      <c r="AK125" s="1833">
        <v>5.6</v>
      </c>
      <c r="AL125" s="1858">
        <f>($G$99-AK125)*8000/1000</f>
        <v>-0.79999999999999716</v>
      </c>
      <c r="AM125" s="1845" t="s">
        <v>8</v>
      </c>
      <c r="AN125" s="1846">
        <f>AN99</f>
        <v>0</v>
      </c>
      <c r="AO125" s="1878"/>
      <c r="AP125" s="1847" t="s">
        <v>9</v>
      </c>
      <c r="AQ125" s="1708"/>
      <c r="AR125" s="1833">
        <f>AQ99*1.3</f>
        <v>5.8500000000000005</v>
      </c>
      <c r="AS125" s="1858">
        <f>($G$99-AR125)*8000/1000</f>
        <v>-2.8000000000000043</v>
      </c>
      <c r="AT125" s="1845" t="s">
        <v>8</v>
      </c>
      <c r="AU125" s="1846">
        <f>AU99</f>
        <v>0</v>
      </c>
      <c r="AV125" s="1878"/>
      <c r="AW125" s="1847" t="s">
        <v>9</v>
      </c>
    </row>
    <row r="126" spans="1:53" ht="37.5" customHeight="1">
      <c r="C126" s="213" t="s">
        <v>1520</v>
      </c>
      <c r="D126" s="213" t="s">
        <v>4</v>
      </c>
      <c r="E126" s="50" t="str">
        <f>E100</f>
        <v>130~140</v>
      </c>
      <c r="F126" s="2021" t="str">
        <f>F100</f>
        <v>(135 ± 5)</v>
      </c>
      <c r="I126" s="1886">
        <f>H100*8</f>
        <v>134</v>
      </c>
      <c r="J126" s="1858" t="e">
        <f>(#REF!-I126)*8000/1000</f>
        <v>#REF!</v>
      </c>
      <c r="K126" s="1845" t="s">
        <v>8</v>
      </c>
      <c r="L126" s="1846">
        <f>L100</f>
        <v>8</v>
      </c>
      <c r="M126" s="1878"/>
      <c r="N126" s="1847" t="s">
        <v>9</v>
      </c>
      <c r="O126" s="251"/>
      <c r="P126" s="1886">
        <f>O100*8</f>
        <v>136</v>
      </c>
      <c r="Q126" s="1858"/>
      <c r="R126" s="1845" t="s">
        <v>8</v>
      </c>
      <c r="S126" s="1846">
        <f>S100</f>
        <v>0</v>
      </c>
      <c r="T126" s="1878"/>
      <c r="U126" s="1847" t="s">
        <v>9</v>
      </c>
      <c r="V126" s="1711"/>
      <c r="W126" s="1886">
        <f>V100*8</f>
        <v>135.6</v>
      </c>
      <c r="X126" s="1858"/>
      <c r="Y126" s="1845" t="s">
        <v>8</v>
      </c>
      <c r="Z126" s="1846">
        <f>Z100</f>
        <v>0</v>
      </c>
      <c r="AA126" s="1878"/>
      <c r="AB126" s="1847" t="s">
        <v>9</v>
      </c>
      <c r="AC126" s="215"/>
      <c r="AD126" s="1886">
        <f>AC100*8</f>
        <v>133.6</v>
      </c>
      <c r="AE126" s="1858" t="e">
        <f>(#REF!-AD126)*8000/1000</f>
        <v>#REF!</v>
      </c>
      <c r="AF126" s="1845" t="s">
        <v>8</v>
      </c>
      <c r="AG126" s="1846">
        <f>AG100</f>
        <v>11.200000000000045</v>
      </c>
      <c r="AH126" s="1878"/>
      <c r="AI126" s="1847" t="s">
        <v>9</v>
      </c>
      <c r="AJ126" s="92" t="e">
        <f>AP100*8</f>
        <v>#VALUE!</v>
      </c>
      <c r="AK126" s="1886">
        <v>134.19999999999999</v>
      </c>
      <c r="AL126" s="1858" t="e">
        <f>(#REF!-AK126)*8000/1000</f>
        <v>#REF!</v>
      </c>
      <c r="AM126" s="1845" t="s">
        <v>8</v>
      </c>
      <c r="AN126" s="1846">
        <f>AN100</f>
        <v>8</v>
      </c>
      <c r="AO126" s="1878"/>
      <c r="AP126" s="1847" t="s">
        <v>9</v>
      </c>
      <c r="AQ126" s="1708"/>
      <c r="AR126" s="1886">
        <f>AQ100*8</f>
        <v>132.80000000000001</v>
      </c>
      <c r="AS126" s="1858" t="e">
        <f>(#REF!-AR126)*8000/1000</f>
        <v>#REF!</v>
      </c>
      <c r="AT126" s="1845" t="s">
        <v>8</v>
      </c>
      <c r="AU126" s="1846">
        <f>AU100</f>
        <v>0</v>
      </c>
      <c r="AV126" s="1878"/>
      <c r="AW126" s="1847" t="s">
        <v>9</v>
      </c>
    </row>
    <row r="127" spans="1:53" ht="37.5" customHeight="1">
      <c r="C127" s="213" t="s">
        <v>195</v>
      </c>
      <c r="D127" s="213" t="s">
        <v>121</v>
      </c>
      <c r="E127" s="1109" t="str">
        <f>E101</f>
        <v>3.0-4.5</v>
      </c>
      <c r="F127" s="2021" t="str">
        <f t="shared" ref="F127" si="46">F101</f>
        <v>(4.3±0.2)</v>
      </c>
      <c r="I127" s="1838">
        <f t="shared" ref="I127" si="47">I101</f>
        <v>4.0999999999999996</v>
      </c>
      <c r="J127" s="2218">
        <f>($G$100-I127)*8000/1000</f>
        <v>1047.2</v>
      </c>
      <c r="K127" s="2219"/>
      <c r="L127" s="2220"/>
      <c r="M127" s="2221"/>
      <c r="N127" s="2222"/>
      <c r="O127" s="2223"/>
      <c r="P127" s="1838">
        <f t="shared" ref="P127" si="48">P101</f>
        <v>4.0999999999999996</v>
      </c>
      <c r="Q127" s="2218"/>
      <c r="R127" s="2219"/>
      <c r="S127" s="2220"/>
      <c r="T127" s="2221"/>
      <c r="U127" s="2222"/>
      <c r="V127" s="2224"/>
      <c r="W127" s="1838">
        <f>W101</f>
        <v>4.0999999999999996</v>
      </c>
      <c r="X127" s="2218"/>
      <c r="Y127" s="2219"/>
      <c r="Z127" s="2220"/>
      <c r="AA127" s="2221"/>
      <c r="AB127" s="2225"/>
      <c r="AC127" s="2226"/>
      <c r="AD127" s="1838">
        <f t="shared" ref="AD127" si="49">AD101</f>
        <v>4.1500000000000004</v>
      </c>
      <c r="AE127" s="2218">
        <f>($G$100-AD127)*8000/1000</f>
        <v>1046.8</v>
      </c>
      <c r="AF127" s="2219"/>
      <c r="AG127" s="2220"/>
      <c r="AH127" s="2221"/>
      <c r="AI127" s="2222"/>
      <c r="AJ127" s="2227">
        <f>XM.HN!R73</f>
        <v>0</v>
      </c>
      <c r="AK127" s="1838">
        <f t="shared" ref="AK127" si="50">AK101</f>
        <v>4.2</v>
      </c>
      <c r="AL127" s="2218">
        <f>($G$100-AK127)*8000/1000</f>
        <v>1046.4000000000001</v>
      </c>
      <c r="AM127" s="2219"/>
      <c r="AN127" s="2220"/>
      <c r="AO127" s="2221"/>
      <c r="AP127" s="2222"/>
      <c r="AQ127" s="2228"/>
      <c r="AR127" s="1838">
        <f t="shared" ref="AR127" si="51">AR101</f>
        <v>4.1100000000000003</v>
      </c>
      <c r="AS127" s="1859">
        <f>($G$100-AR127)*8000/1000</f>
        <v>1047.1199999999999</v>
      </c>
      <c r="AT127" s="1870"/>
      <c r="AU127" s="1836"/>
      <c r="AV127" s="1887"/>
      <c r="AW127" s="1880"/>
    </row>
    <row r="128" spans="1:53" ht="12.75" customHeight="1">
      <c r="F128" s="1940"/>
      <c r="I128" s="1857"/>
      <c r="J128" s="1849"/>
      <c r="K128" s="1849"/>
      <c r="L128" s="1849"/>
      <c r="M128" s="1849"/>
      <c r="N128" s="1850"/>
      <c r="P128" s="1857"/>
      <c r="Q128" s="1849"/>
      <c r="R128" s="1849"/>
      <c r="S128" s="1849"/>
      <c r="T128" s="1849"/>
      <c r="U128" s="1850"/>
      <c r="W128" s="1857"/>
      <c r="X128" s="1849"/>
      <c r="Y128" s="1849"/>
      <c r="Z128" s="1849"/>
      <c r="AA128" s="1849"/>
      <c r="AB128" s="1850"/>
      <c r="AD128" s="1857"/>
      <c r="AE128" s="1849"/>
      <c r="AF128" s="1849"/>
      <c r="AG128" s="1849"/>
      <c r="AH128" s="1849"/>
      <c r="AI128" s="1850"/>
      <c r="AJ128" s="1857"/>
      <c r="AK128" s="1849"/>
      <c r="AL128" s="1849"/>
      <c r="AM128" s="1849"/>
      <c r="AN128" s="1849"/>
      <c r="AO128" s="1850"/>
    </row>
    <row r="129" spans="3:49" ht="57" customHeight="1">
      <c r="C129" s="1427" t="s">
        <v>62</v>
      </c>
      <c r="D129" s="1427" t="s">
        <v>64</v>
      </c>
      <c r="E129" s="1451" t="s">
        <v>1318</v>
      </c>
      <c r="F129" s="2021" t="s">
        <v>1317</v>
      </c>
      <c r="I129" s="1827" t="s">
        <v>46</v>
      </c>
      <c r="J129" s="1828"/>
      <c r="K129" s="1828"/>
      <c r="L129" s="1828" t="s">
        <v>63</v>
      </c>
      <c r="M129" s="1828"/>
      <c r="N129" s="1883"/>
      <c r="O129" s="1905"/>
      <c r="P129" s="1827" t="s">
        <v>46</v>
      </c>
      <c r="Q129" s="1828"/>
      <c r="R129" s="1828"/>
      <c r="S129" s="1828" t="s">
        <v>63</v>
      </c>
      <c r="T129" s="1828"/>
      <c r="U129" s="2201"/>
      <c r="V129" s="1827"/>
      <c r="W129" s="1828" t="s">
        <v>46</v>
      </c>
      <c r="X129" s="1828"/>
      <c r="Y129" s="1828"/>
      <c r="Z129" s="1828" t="s">
        <v>63</v>
      </c>
      <c r="AA129" s="1883"/>
      <c r="AB129" s="2203"/>
      <c r="AC129" s="2202"/>
      <c r="AD129" s="1828" t="s">
        <v>46</v>
      </c>
      <c r="AE129" s="1828"/>
      <c r="AF129" s="1828"/>
      <c r="AG129" s="1883" t="s">
        <v>63</v>
      </c>
      <c r="AH129" s="1827"/>
      <c r="AI129" s="2201"/>
      <c r="AJ129" s="2202"/>
      <c r="AK129" s="1828" t="s">
        <v>46</v>
      </c>
      <c r="AL129" s="1828"/>
      <c r="AM129" s="1883"/>
      <c r="AN129" s="2202" t="s">
        <v>63</v>
      </c>
      <c r="AO129" s="1828"/>
      <c r="AP129" s="2201"/>
      <c r="AQ129" s="2202"/>
      <c r="AR129" s="1828" t="s">
        <v>46</v>
      </c>
      <c r="AS129" s="1883"/>
      <c r="AT129" s="1827"/>
      <c r="AU129" s="1828" t="s">
        <v>63</v>
      </c>
      <c r="AV129" s="1828"/>
      <c r="AW129" s="2201"/>
    </row>
    <row r="130" spans="3:49" ht="39.75" customHeight="1">
      <c r="C130" s="1049" t="s">
        <v>118</v>
      </c>
      <c r="D130" s="1050" t="s">
        <v>106</v>
      </c>
      <c r="E130" s="102" t="str">
        <f>E116</f>
        <v>24~28</v>
      </c>
      <c r="F130" s="2021" t="str">
        <f>F116</f>
        <v>(26±2)</v>
      </c>
      <c r="I130" s="2840">
        <f>I116</f>
        <v>26</v>
      </c>
      <c r="J130" s="2841"/>
      <c r="K130" s="2841"/>
      <c r="L130" s="2841">
        <f>L116</f>
        <v>25</v>
      </c>
      <c r="M130" s="2841"/>
      <c r="N130" s="2841"/>
      <c r="O130" s="1928"/>
      <c r="P130" s="2840">
        <f>P116</f>
        <v>25</v>
      </c>
      <c r="Q130" s="2841"/>
      <c r="R130" s="2841"/>
      <c r="S130" s="2841">
        <f>S116</f>
        <v>25</v>
      </c>
      <c r="T130" s="2841"/>
      <c r="U130" s="2841"/>
      <c r="V130" s="2204"/>
      <c r="W130" s="2840">
        <f>W116</f>
        <v>26</v>
      </c>
      <c r="X130" s="2841"/>
      <c r="Y130" s="2841"/>
      <c r="Z130" s="2841">
        <f>Z116</f>
        <v>26</v>
      </c>
      <c r="AA130" s="2841"/>
      <c r="AB130" s="2841"/>
      <c r="AC130" s="1927"/>
      <c r="AD130" s="2840">
        <f>AD116</f>
        <v>26</v>
      </c>
      <c r="AE130" s="2841"/>
      <c r="AF130" s="2841"/>
      <c r="AG130" s="2841">
        <f>AG116</f>
        <v>25</v>
      </c>
      <c r="AH130" s="2841"/>
      <c r="AI130" s="2841"/>
      <c r="AJ130" s="1928"/>
      <c r="AK130" s="2840">
        <f>AK116</f>
        <v>0</v>
      </c>
      <c r="AL130" s="2841"/>
      <c r="AM130" s="2841"/>
      <c r="AN130" s="2841">
        <f>AN116</f>
        <v>0</v>
      </c>
      <c r="AO130" s="2841"/>
      <c r="AP130" s="2841"/>
      <c r="AQ130" s="2204"/>
      <c r="AR130" s="2840">
        <f>AR116</f>
        <v>26</v>
      </c>
      <c r="AS130" s="2841"/>
      <c r="AT130" s="2841"/>
      <c r="AU130" s="2841">
        <f>AU116</f>
        <v>25</v>
      </c>
      <c r="AV130" s="2841"/>
      <c r="AW130" s="2842"/>
    </row>
    <row r="131" spans="3:49" ht="39.75" customHeight="1">
      <c r="C131" s="1049" t="s">
        <v>1515</v>
      </c>
      <c r="D131" s="1050" t="s">
        <v>106</v>
      </c>
      <c r="E131" s="102" t="str">
        <f>E117</f>
        <v>20~30</v>
      </c>
      <c r="F131" s="2021" t="str">
        <f t="shared" ref="F131" si="52">F117</f>
        <v>(25±5)</v>
      </c>
      <c r="I131" s="2840">
        <f t="shared" ref="I131" si="53">I117</f>
        <v>28</v>
      </c>
      <c r="J131" s="2841"/>
      <c r="K131" s="2841"/>
      <c r="L131" s="2841">
        <f t="shared" ref="L131" si="54">L117</f>
        <v>28</v>
      </c>
      <c r="M131" s="2841"/>
      <c r="N131" s="2841"/>
      <c r="O131" s="1928"/>
      <c r="P131" s="2840">
        <f t="shared" ref="P131" si="55">P117</f>
        <v>29</v>
      </c>
      <c r="Q131" s="2841"/>
      <c r="R131" s="2841"/>
      <c r="S131" s="2841">
        <f t="shared" ref="S131" si="56">S117</f>
        <v>28</v>
      </c>
      <c r="T131" s="2841"/>
      <c r="U131" s="2841"/>
      <c r="V131" s="2204"/>
      <c r="W131" s="2840">
        <f t="shared" ref="W131" si="57">W117</f>
        <v>29</v>
      </c>
      <c r="X131" s="2841"/>
      <c r="Y131" s="2841"/>
      <c r="Z131" s="2841">
        <f t="shared" ref="Z131" si="58">Z117</f>
        <v>28</v>
      </c>
      <c r="AA131" s="2841"/>
      <c r="AB131" s="2841"/>
      <c r="AC131" s="1927"/>
      <c r="AD131" s="2840">
        <f t="shared" ref="AD131" si="59">AD117</f>
        <v>29</v>
      </c>
      <c r="AE131" s="2841"/>
      <c r="AF131" s="2841"/>
      <c r="AG131" s="2841">
        <f t="shared" ref="AG131" si="60">AG117</f>
        <v>28</v>
      </c>
      <c r="AH131" s="2841"/>
      <c r="AI131" s="2841"/>
      <c r="AJ131" s="1928"/>
      <c r="AK131" s="2840">
        <f t="shared" ref="AK131" si="61">AK117</f>
        <v>0</v>
      </c>
      <c r="AL131" s="2841"/>
      <c r="AM131" s="2841"/>
      <c r="AN131" s="2841">
        <f t="shared" ref="AN131" si="62">AN117</f>
        <v>0</v>
      </c>
      <c r="AO131" s="2841"/>
      <c r="AP131" s="2841"/>
      <c r="AQ131" s="2204"/>
      <c r="AR131" s="2840">
        <f t="shared" ref="AR131" si="63">AR117</f>
        <v>28</v>
      </c>
      <c r="AS131" s="2841"/>
      <c r="AT131" s="2841"/>
      <c r="AU131" s="2841">
        <f t="shared" ref="AU131" si="64">AU117</f>
        <v>27</v>
      </c>
      <c r="AV131" s="2841"/>
      <c r="AW131" s="2842"/>
    </row>
    <row r="132" spans="3:49">
      <c r="F132" s="12"/>
    </row>
  </sheetData>
  <sheetProtection formatCells="0" formatColumns="0" formatRows="0" insertColumns="0" insertRows="0" insertHyperlinks="0" deleteColumns="0" deleteRows="0" selectLockedCells="1" sort="0" autoFilter="0" pivotTables="0"/>
  <mergeCells count="427">
    <mergeCell ref="AU112:AW112"/>
    <mergeCell ref="L108:O108"/>
    <mergeCell ref="S108:V108"/>
    <mergeCell ref="Z108:AC108"/>
    <mergeCell ref="AG108:AJ108"/>
    <mergeCell ref="AN108:AQ108"/>
    <mergeCell ref="L111:N111"/>
    <mergeCell ref="S111:U111"/>
    <mergeCell ref="Z111:AB111"/>
    <mergeCell ref="AG111:AI111"/>
    <mergeCell ref="AN111:AP111"/>
    <mergeCell ref="S109:U109"/>
    <mergeCell ref="AR108:AT108"/>
    <mergeCell ref="AR111:AT111"/>
    <mergeCell ref="AU111:AW111"/>
    <mergeCell ref="Z110:AB110"/>
    <mergeCell ref="AD110:AF110"/>
    <mergeCell ref="AG110:AI110"/>
    <mergeCell ref="AK110:AM110"/>
    <mergeCell ref="W110:Y110"/>
    <mergeCell ref="AU108:AW108"/>
    <mergeCell ref="AU109:AW109"/>
    <mergeCell ref="AU110:AW110"/>
    <mergeCell ref="W111:Y111"/>
    <mergeCell ref="AG66:AI66"/>
    <mergeCell ref="AN66:AP66"/>
    <mergeCell ref="L69:N69"/>
    <mergeCell ref="S69:U69"/>
    <mergeCell ref="Z69:AB69"/>
    <mergeCell ref="AG69:AI69"/>
    <mergeCell ref="AN69:AP69"/>
    <mergeCell ref="AD66:AF66"/>
    <mergeCell ref="AD67:AF67"/>
    <mergeCell ref="AK66:AM66"/>
    <mergeCell ref="Z67:AC67"/>
    <mergeCell ref="Z68:AC68"/>
    <mergeCell ref="W66:Y66"/>
    <mergeCell ref="S66:U66"/>
    <mergeCell ref="Z66:AB66"/>
    <mergeCell ref="L66:N66"/>
    <mergeCell ref="P68:R68"/>
    <mergeCell ref="L67:O67"/>
    <mergeCell ref="S67:V67"/>
    <mergeCell ref="L68:O68"/>
    <mergeCell ref="P67:R67"/>
    <mergeCell ref="W67:Y67"/>
    <mergeCell ref="S68:V68"/>
    <mergeCell ref="W69:Y69"/>
    <mergeCell ref="Z106:AB106"/>
    <mergeCell ref="L107:N107"/>
    <mergeCell ref="S107:U107"/>
    <mergeCell ref="Z107:AB107"/>
    <mergeCell ref="I112:K112"/>
    <mergeCell ref="L112:N112"/>
    <mergeCell ref="P112:R112"/>
    <mergeCell ref="S112:U112"/>
    <mergeCell ref="W112:Y112"/>
    <mergeCell ref="Z112:AB112"/>
    <mergeCell ref="L106:N106"/>
    <mergeCell ref="S106:U106"/>
    <mergeCell ref="S114:U114"/>
    <mergeCell ref="Z116:AB116"/>
    <mergeCell ref="I114:K114"/>
    <mergeCell ref="L114:N114"/>
    <mergeCell ref="W114:Y114"/>
    <mergeCell ref="Z114:AB114"/>
    <mergeCell ref="P114:R114"/>
    <mergeCell ref="I115:K115"/>
    <mergeCell ref="L115:O115"/>
    <mergeCell ref="P116:R116"/>
    <mergeCell ref="S116:U116"/>
    <mergeCell ref="P115:R115"/>
    <mergeCell ref="S115:V115"/>
    <mergeCell ref="C123:C124"/>
    <mergeCell ref="D123:D124"/>
    <mergeCell ref="E123:E124"/>
    <mergeCell ref="W130:Y130"/>
    <mergeCell ref="Z130:AB130"/>
    <mergeCell ref="W120:AB120"/>
    <mergeCell ref="AD117:AF117"/>
    <mergeCell ref="Z117:AB117"/>
    <mergeCell ref="AD120:AI120"/>
    <mergeCell ref="I119:N119"/>
    <mergeCell ref="P119:U119"/>
    <mergeCell ref="W119:AB119"/>
    <mergeCell ref="AD119:AI119"/>
    <mergeCell ref="I120:N120"/>
    <mergeCell ref="P120:U120"/>
    <mergeCell ref="I117:K117"/>
    <mergeCell ref="L117:N117"/>
    <mergeCell ref="P117:R117"/>
    <mergeCell ref="S117:U117"/>
    <mergeCell ref="W117:Y117"/>
    <mergeCell ref="W131:Y131"/>
    <mergeCell ref="Z131:AB131"/>
    <mergeCell ref="F123:F124"/>
    <mergeCell ref="AG115:AJ115"/>
    <mergeCell ref="AK115:AM115"/>
    <mergeCell ref="AD130:AF130"/>
    <mergeCell ref="AG130:AI130"/>
    <mergeCell ref="AD131:AF131"/>
    <mergeCell ref="AG131:AI131"/>
    <mergeCell ref="I130:K130"/>
    <mergeCell ref="L130:N130"/>
    <mergeCell ref="I131:K131"/>
    <mergeCell ref="L131:N131"/>
    <mergeCell ref="P130:R130"/>
    <mergeCell ref="S130:U130"/>
    <mergeCell ref="W115:Y115"/>
    <mergeCell ref="Z115:AC115"/>
    <mergeCell ref="AK131:AM131"/>
    <mergeCell ref="AG117:AI117"/>
    <mergeCell ref="I116:K116"/>
    <mergeCell ref="L116:N116"/>
    <mergeCell ref="W116:Y116"/>
    <mergeCell ref="AD116:AF116"/>
    <mergeCell ref="AG116:AI116"/>
    <mergeCell ref="L65:N65"/>
    <mergeCell ref="P131:R131"/>
    <mergeCell ref="S131:U131"/>
    <mergeCell ref="I63:K63"/>
    <mergeCell ref="I104:K104"/>
    <mergeCell ref="L104:N104"/>
    <mergeCell ref="I105:K105"/>
    <mergeCell ref="L105:N105"/>
    <mergeCell ref="P105:R105"/>
    <mergeCell ref="I72:N72"/>
    <mergeCell ref="P69:R69"/>
    <mergeCell ref="I69:K69"/>
    <mergeCell ref="I67:K67"/>
    <mergeCell ref="I68:K68"/>
    <mergeCell ref="I111:K111"/>
    <mergeCell ref="I110:K110"/>
    <mergeCell ref="P108:R108"/>
    <mergeCell ref="L109:N109"/>
    <mergeCell ref="S110:U110"/>
    <mergeCell ref="I109:K109"/>
    <mergeCell ref="P107:R107"/>
    <mergeCell ref="P110:R110"/>
    <mergeCell ref="S65:U65"/>
    <mergeCell ref="I107:K107"/>
    <mergeCell ref="I34:K34"/>
    <mergeCell ref="W104:Y104"/>
    <mergeCell ref="W68:Y68"/>
    <mergeCell ref="AK67:AM67"/>
    <mergeCell ref="AG68:AJ68"/>
    <mergeCell ref="AD105:AF105"/>
    <mergeCell ref="I106:K106"/>
    <mergeCell ref="P106:R106"/>
    <mergeCell ref="W106:Y106"/>
    <mergeCell ref="AD72:AI72"/>
    <mergeCell ref="AK72:AP72"/>
    <mergeCell ref="AN68:AQ68"/>
    <mergeCell ref="AK68:AM68"/>
    <mergeCell ref="AG67:AJ67"/>
    <mergeCell ref="Z70:AB70"/>
    <mergeCell ref="I35:K35"/>
    <mergeCell ref="P35:R35"/>
    <mergeCell ref="P65:R65"/>
    <mergeCell ref="L35:N35"/>
    <mergeCell ref="I64:K64"/>
    <mergeCell ref="P64:R64"/>
    <mergeCell ref="I66:K66"/>
    <mergeCell ref="P66:R66"/>
    <mergeCell ref="I65:K65"/>
    <mergeCell ref="Z29:AB29"/>
    <mergeCell ref="AU67:AW67"/>
    <mergeCell ref="I108:K108"/>
    <mergeCell ref="AD109:AF109"/>
    <mergeCell ref="W107:Y107"/>
    <mergeCell ref="L110:N110"/>
    <mergeCell ref="G4:G5"/>
    <mergeCell ref="AR73:AW73"/>
    <mergeCell ref="G41:G42"/>
    <mergeCell ref="I37:N37"/>
    <mergeCell ref="P37:U37"/>
    <mergeCell ref="W37:AB37"/>
    <mergeCell ref="AD37:AI37"/>
    <mergeCell ref="I73:N73"/>
    <mergeCell ref="P73:U73"/>
    <mergeCell ref="AD73:AI73"/>
    <mergeCell ref="AK73:AP73"/>
    <mergeCell ref="P72:U72"/>
    <mergeCell ref="W72:AB72"/>
    <mergeCell ref="I38:N38"/>
    <mergeCell ref="P38:U38"/>
    <mergeCell ref="W38:AB38"/>
    <mergeCell ref="AD38:AI38"/>
    <mergeCell ref="AR28:AT28"/>
    <mergeCell ref="AK38:AP38"/>
    <mergeCell ref="L34:N34"/>
    <mergeCell ref="P34:R34"/>
    <mergeCell ref="AK37:AP37"/>
    <mergeCell ref="AU28:AW28"/>
    <mergeCell ref="I29:K29"/>
    <mergeCell ref="AR29:AT29"/>
    <mergeCell ref="AU29:AW29"/>
    <mergeCell ref="Z28:AB28"/>
    <mergeCell ref="AD28:AF28"/>
    <mergeCell ref="AG28:AI28"/>
    <mergeCell ref="AK28:AM28"/>
    <mergeCell ref="AN28:AP28"/>
    <mergeCell ref="I28:K28"/>
    <mergeCell ref="L28:N28"/>
    <mergeCell ref="P28:R28"/>
    <mergeCell ref="S28:U28"/>
    <mergeCell ref="W28:Y28"/>
    <mergeCell ref="L29:N29"/>
    <mergeCell ref="P29:R29"/>
    <mergeCell ref="S29:U29"/>
    <mergeCell ref="I31:K31"/>
    <mergeCell ref="P31:R31"/>
    <mergeCell ref="W29:Y29"/>
    <mergeCell ref="AU64:AW64"/>
    <mergeCell ref="AR65:AT65"/>
    <mergeCell ref="AU65:AW65"/>
    <mergeCell ref="AK63:AM63"/>
    <mergeCell ref="AN63:AP63"/>
    <mergeCell ref="AN64:AP64"/>
    <mergeCell ref="AK65:AM65"/>
    <mergeCell ref="AK64:AM64"/>
    <mergeCell ref="AD29:AF29"/>
    <mergeCell ref="AG29:AI29"/>
    <mergeCell ref="AK29:AM29"/>
    <mergeCell ref="AN29:AP29"/>
    <mergeCell ref="AR30:AT30"/>
    <mergeCell ref="AR32:AT32"/>
    <mergeCell ref="AR38:AW38"/>
    <mergeCell ref="AR63:AT63"/>
    <mergeCell ref="AU63:AW63"/>
    <mergeCell ref="AD33:AF33"/>
    <mergeCell ref="AG33:AI33"/>
    <mergeCell ref="AK33:AM33"/>
    <mergeCell ref="AK35:AM35"/>
    <mergeCell ref="AU34:AW34"/>
    <mergeCell ref="AD35:AF35"/>
    <mergeCell ref="AR34:AT34"/>
    <mergeCell ref="AU66:AW66"/>
    <mergeCell ref="AU30:AW30"/>
    <mergeCell ref="W31:Y31"/>
    <mergeCell ref="AD31:AF31"/>
    <mergeCell ref="AK31:AM31"/>
    <mergeCell ref="AR31:AT31"/>
    <mergeCell ref="AU31:AW31"/>
    <mergeCell ref="Z30:AB30"/>
    <mergeCell ref="AD30:AF30"/>
    <mergeCell ref="AG30:AI30"/>
    <mergeCell ref="AK30:AM30"/>
    <mergeCell ref="AN30:AP30"/>
    <mergeCell ref="AN31:AP31"/>
    <mergeCell ref="AU32:AW32"/>
    <mergeCell ref="AN33:AP33"/>
    <mergeCell ref="AR33:AT33"/>
    <mergeCell ref="AU33:AW33"/>
    <mergeCell ref="Z32:AB32"/>
    <mergeCell ref="AD32:AF32"/>
    <mergeCell ref="AG32:AI32"/>
    <mergeCell ref="AK32:AM32"/>
    <mergeCell ref="AN32:AP32"/>
    <mergeCell ref="Z33:AB33"/>
    <mergeCell ref="AR64:AT64"/>
    <mergeCell ref="I30:K30"/>
    <mergeCell ref="L30:N30"/>
    <mergeCell ref="P30:R30"/>
    <mergeCell ref="S30:U30"/>
    <mergeCell ref="W30:Y30"/>
    <mergeCell ref="L31:N31"/>
    <mergeCell ref="S31:U31"/>
    <mergeCell ref="Z31:AB31"/>
    <mergeCell ref="AG31:AI31"/>
    <mergeCell ref="I32:K32"/>
    <mergeCell ref="L32:N32"/>
    <mergeCell ref="P32:R32"/>
    <mergeCell ref="S32:U32"/>
    <mergeCell ref="W32:Y32"/>
    <mergeCell ref="I33:K33"/>
    <mergeCell ref="L33:N33"/>
    <mergeCell ref="P33:R33"/>
    <mergeCell ref="S33:U33"/>
    <mergeCell ref="W33:Y33"/>
    <mergeCell ref="S34:U34"/>
    <mergeCell ref="S35:U35"/>
    <mergeCell ref="Z35:AB35"/>
    <mergeCell ref="W34:Y34"/>
    <mergeCell ref="W35:Y35"/>
    <mergeCell ref="AR35:AT35"/>
    <mergeCell ref="AU35:AW35"/>
    <mergeCell ref="Z34:AB34"/>
    <mergeCell ref="AD34:AF34"/>
    <mergeCell ref="AG34:AI34"/>
    <mergeCell ref="AK34:AM34"/>
    <mergeCell ref="AN34:AP34"/>
    <mergeCell ref="AG35:AI35"/>
    <mergeCell ref="AN35:AP35"/>
    <mergeCell ref="W65:Y65"/>
    <mergeCell ref="AD65:AF65"/>
    <mergeCell ref="AR37:AW37"/>
    <mergeCell ref="AU107:AW107"/>
    <mergeCell ref="AU106:AW106"/>
    <mergeCell ref="AR106:AT106"/>
    <mergeCell ref="AG104:AI104"/>
    <mergeCell ref="AD69:AF69"/>
    <mergeCell ref="AD68:AF68"/>
    <mergeCell ref="AU105:AW105"/>
    <mergeCell ref="AU70:AW70"/>
    <mergeCell ref="AU104:AW104"/>
    <mergeCell ref="AR68:AT68"/>
    <mergeCell ref="AU69:AW69"/>
    <mergeCell ref="AK104:AM104"/>
    <mergeCell ref="AR72:AW72"/>
    <mergeCell ref="AU68:AW68"/>
    <mergeCell ref="AR69:AT69"/>
    <mergeCell ref="AG70:AI70"/>
    <mergeCell ref="AN70:AP70"/>
    <mergeCell ref="AD104:AF104"/>
    <mergeCell ref="AG106:AI106"/>
    <mergeCell ref="AG107:AI107"/>
    <mergeCell ref="AR66:AT66"/>
    <mergeCell ref="AN67:AQ67"/>
    <mergeCell ref="AR70:AT70"/>
    <mergeCell ref="AR107:AT107"/>
    <mergeCell ref="AK107:AM107"/>
    <mergeCell ref="AD70:AF70"/>
    <mergeCell ref="AK70:AM70"/>
    <mergeCell ref="AG105:AI105"/>
    <mergeCell ref="AK105:AM105"/>
    <mergeCell ref="AN105:AP105"/>
    <mergeCell ref="AR105:AT105"/>
    <mergeCell ref="AD106:AF106"/>
    <mergeCell ref="AR104:AT104"/>
    <mergeCell ref="AK106:AM106"/>
    <mergeCell ref="AN106:AP106"/>
    <mergeCell ref="AD107:AF107"/>
    <mergeCell ref="AD115:AF115"/>
    <mergeCell ref="AN112:AP112"/>
    <mergeCell ref="AR114:AT114"/>
    <mergeCell ref="AR113:AT113"/>
    <mergeCell ref="AR112:AT112"/>
    <mergeCell ref="AD112:AF112"/>
    <mergeCell ref="AG112:AI112"/>
    <mergeCell ref="AK112:AM112"/>
    <mergeCell ref="AN107:AP107"/>
    <mergeCell ref="G76:G77"/>
    <mergeCell ref="I70:K70"/>
    <mergeCell ref="P70:R70"/>
    <mergeCell ref="W70:Y70"/>
    <mergeCell ref="S104:U104"/>
    <mergeCell ref="P104:R104"/>
    <mergeCell ref="W109:Y109"/>
    <mergeCell ref="Z109:AB109"/>
    <mergeCell ref="AK114:AM114"/>
    <mergeCell ref="P109:R109"/>
    <mergeCell ref="P111:R111"/>
    <mergeCell ref="W73:AB73"/>
    <mergeCell ref="L70:N70"/>
    <mergeCell ref="S70:U70"/>
    <mergeCell ref="AD108:AF108"/>
    <mergeCell ref="Z104:AB104"/>
    <mergeCell ref="S105:U105"/>
    <mergeCell ref="W105:Y105"/>
    <mergeCell ref="Z105:AB105"/>
    <mergeCell ref="AD114:AF114"/>
    <mergeCell ref="W108:Y108"/>
    <mergeCell ref="AG114:AI114"/>
    <mergeCell ref="AK108:AM108"/>
    <mergeCell ref="AD111:AF111"/>
    <mergeCell ref="AD64:AF64"/>
    <mergeCell ref="W64:Y64"/>
    <mergeCell ref="P63:R63"/>
    <mergeCell ref="W63:Y63"/>
    <mergeCell ref="AD63:AF63"/>
    <mergeCell ref="L63:N63"/>
    <mergeCell ref="S63:U63"/>
    <mergeCell ref="Z63:AB63"/>
    <mergeCell ref="AG63:AI63"/>
    <mergeCell ref="L64:N64"/>
    <mergeCell ref="S64:U64"/>
    <mergeCell ref="Z64:AB64"/>
    <mergeCell ref="AG64:AI64"/>
    <mergeCell ref="AR131:AT131"/>
    <mergeCell ref="AU131:AW131"/>
    <mergeCell ref="AN131:AP131"/>
    <mergeCell ref="AK130:AM130"/>
    <mergeCell ref="AN130:AP130"/>
    <mergeCell ref="AR130:AT130"/>
    <mergeCell ref="AK117:AM117"/>
    <mergeCell ref="AN117:AP117"/>
    <mergeCell ref="AU130:AW130"/>
    <mergeCell ref="AU114:AW114"/>
    <mergeCell ref="AR120:AW120"/>
    <mergeCell ref="AR119:AW119"/>
    <mergeCell ref="AK120:AP120"/>
    <mergeCell ref="AK119:AP119"/>
    <mergeCell ref="AN115:AQ115"/>
    <mergeCell ref="AR115:AT115"/>
    <mergeCell ref="AU115:AW115"/>
    <mergeCell ref="AR117:AT117"/>
    <mergeCell ref="AU117:AW117"/>
    <mergeCell ref="AK116:AM116"/>
    <mergeCell ref="AN116:AP116"/>
    <mergeCell ref="AU116:AW116"/>
    <mergeCell ref="AN114:AP114"/>
    <mergeCell ref="AR116:AT116"/>
    <mergeCell ref="Z65:AB65"/>
    <mergeCell ref="AG65:AI65"/>
    <mergeCell ref="AN65:AP65"/>
    <mergeCell ref="AU113:AW113"/>
    <mergeCell ref="I113:K113"/>
    <mergeCell ref="L113:N113"/>
    <mergeCell ref="P113:R113"/>
    <mergeCell ref="S113:U113"/>
    <mergeCell ref="W113:Y113"/>
    <mergeCell ref="Z113:AB113"/>
    <mergeCell ref="AD113:AF113"/>
    <mergeCell ref="AG113:AI113"/>
    <mergeCell ref="AK113:AM113"/>
    <mergeCell ref="AN113:AP113"/>
    <mergeCell ref="AK111:AM111"/>
    <mergeCell ref="AR110:AT110"/>
    <mergeCell ref="AN110:AP110"/>
    <mergeCell ref="AN109:AP109"/>
    <mergeCell ref="AR109:AT109"/>
    <mergeCell ref="AG109:AI109"/>
    <mergeCell ref="AK109:AM109"/>
    <mergeCell ref="AR67:AT67"/>
    <mergeCell ref="AN104:AP104"/>
    <mergeCell ref="AK69:AM69"/>
  </mergeCells>
  <phoneticPr fontId="7" type="noConversion"/>
  <conditionalFormatting sqref="AU117:AW117 AR117 Z117:AB117 W117 AG117:AI117 AD117 L117:N117 I117 AN117:AP117 AK117 S117:U117 P117">
    <cfRule type="expression" dxfId="7041" priority="8868">
      <formula>I117&lt;20</formula>
    </cfRule>
    <cfRule type="expression" dxfId="7040" priority="8869">
      <formula>I117&gt;30</formula>
    </cfRule>
  </conditionalFormatting>
  <conditionalFormatting sqref="AR37 AK37 AD37 W37 I37 P37">
    <cfRule type="expression" dxfId="7039" priority="8716">
      <formula>I37&lt;300</formula>
    </cfRule>
    <cfRule type="expression" dxfId="7038" priority="8717">
      <formula>I37&gt;360</formula>
    </cfRule>
  </conditionalFormatting>
  <conditionalFormatting sqref="I119 AD119 W119 P119 AK119 AR119 AR38 AK38 AD38 W38 I38 P38">
    <cfRule type="expression" dxfId="7037" priority="8714">
      <formula>I38&lt;30</formula>
    </cfRule>
    <cfRule type="expression" dxfId="7036" priority="8715">
      <formula>I38&gt;50</formula>
    </cfRule>
  </conditionalFormatting>
  <conditionalFormatting sqref="I72 P72 V72:W72 AR72 AD72 AK72">
    <cfRule type="expression" dxfId="7035" priority="7808">
      <formula>I72&lt;100</formula>
    </cfRule>
    <cfRule type="expression" dxfId="7034" priority="7809">
      <formula>I72&gt;200</formula>
    </cfRule>
  </conditionalFormatting>
  <conditionalFormatting sqref="I73 P73 AD73 AK73 AR73 V73:W73">
    <cfRule type="expression" dxfId="7033" priority="12876">
      <formula>I73&lt;20</formula>
    </cfRule>
    <cfRule type="expression" dxfId="7032" priority="12876">
      <formula>I73&gt;50</formula>
    </cfRule>
  </conditionalFormatting>
  <conditionalFormatting sqref="AR116 AU116:AV116 I116 L116:M116 W116 Z116:AA116 AD116 AG116:AH116 AK116 AN116:AO116 P116 S116:T116 AR130 AU130:AV130 I130 L130:M130 W130 Z130:AA130 AD130 AG130:AH130 AK130 AN130:AO130 P130 S130:T130">
    <cfRule type="expression" dxfId="7031" priority="7320">
      <formula>I116&lt;24</formula>
    </cfRule>
    <cfRule type="expression" dxfId="7030" priority="7321">
      <formula>I116&gt;28</formula>
    </cfRule>
  </conditionalFormatting>
  <conditionalFormatting sqref="I120 AD120 W120 P120 AK120 AR120">
    <cfRule type="expression" dxfId="7029" priority="6814">
      <formula>I120&lt;160</formula>
    </cfRule>
    <cfRule type="expression" dxfId="7028" priority="6815">
      <formula>I120&gt;220</formula>
    </cfRule>
  </conditionalFormatting>
  <conditionalFormatting sqref="I115 L115:M115 P115 S115:T115 W115 Z115:AA115 AD115 AG115:AH115 AR115 AU115:AV115 AK115 AN115:AO115">
    <cfRule type="expression" dxfId="7027" priority="4824">
      <formula>I115&lt;35</formula>
    </cfRule>
    <cfRule type="expression" dxfId="7026" priority="4825">
      <formula>I115&gt;45</formula>
    </cfRule>
  </conditionalFormatting>
  <conditionalFormatting sqref="I115:AW115">
    <cfRule type="cellIs" dxfId="7025" priority="4822" operator="between">
      <formula>43.1</formula>
      <formula>45</formula>
    </cfRule>
    <cfRule type="cellIs" dxfId="7024" priority="4823" operator="between">
      <formula>35</formula>
      <formula>36.9</formula>
    </cfRule>
  </conditionalFormatting>
  <conditionalFormatting sqref="AY22">
    <cfRule type="cellIs" dxfId="7023" priority="4637" operator="between">
      <formula>5%</formula>
      <formula>6.99%</formula>
    </cfRule>
    <cfRule type="cellIs" dxfId="7022" priority="4638" operator="between">
      <formula>12.99%</formula>
      <formula>15%</formula>
    </cfRule>
    <cfRule type="expression" dxfId="7021" priority="4639">
      <formula>AY22&lt;5%</formula>
    </cfRule>
    <cfRule type="expression" dxfId="7020" priority="4640">
      <formula>AY22&gt;15%</formula>
    </cfRule>
  </conditionalFormatting>
  <conditionalFormatting sqref="P98 W98 AD98 AR98 I98 AY98 AK98">
    <cfRule type="cellIs" dxfId="7019" priority="3476" operator="between">
      <formula>2.21</formula>
      <formula>2.4</formula>
    </cfRule>
    <cfRule type="expression" dxfId="7018" priority="3477">
      <formula>I98&lt;1.8</formula>
    </cfRule>
    <cfRule type="expression" dxfId="7017" priority="3478">
      <formula>I98&gt;2.4</formula>
    </cfRule>
  </conditionalFormatting>
  <conditionalFormatting sqref="P97 W97 AD97 AK97 AR97 I97 AY97">
    <cfRule type="cellIs" dxfId="7016" priority="3472" operator="between">
      <formula>8</formula>
      <formula>9.99</formula>
    </cfRule>
    <cfRule type="cellIs" dxfId="7015" priority="3473" operator="between">
      <formula>14.1</formula>
      <formula>16</formula>
    </cfRule>
    <cfRule type="expression" dxfId="7014" priority="3474">
      <formula>I97&lt;8</formula>
    </cfRule>
    <cfRule type="expression" dxfId="7013" priority="3475">
      <formula>I97&gt;16</formula>
    </cfRule>
  </conditionalFormatting>
  <conditionalFormatting sqref="I100 W100 AR100 AD100 AK100 P100 I126 W126 AR126 AD126 AK126 P126">
    <cfRule type="expression" dxfId="7012" priority="2302" stopIfTrue="1">
      <formula>I100&gt;140</formula>
    </cfRule>
    <cfRule type="expression" dxfId="7011" priority="2303" stopIfTrue="1">
      <formula>I100&lt;130</formula>
    </cfRule>
  </conditionalFormatting>
  <conditionalFormatting sqref="I101 W101 AR101 AD101 AK101 P101 I127 W127 AR127 AD127 AK127 P127">
    <cfRule type="cellIs" dxfId="7010" priority="2299" operator="between">
      <formula>3</formula>
      <formula>4.099</formula>
    </cfRule>
    <cfRule type="expression" dxfId="7009" priority="2300">
      <formula>I101&lt;3</formula>
    </cfRule>
    <cfRule type="expression" dxfId="7008" priority="2301">
      <formula>I101&gt;4.5</formula>
    </cfRule>
  </conditionalFormatting>
  <conditionalFormatting sqref="I99 W99 AD99 AR99 AK99 P99 I125 W125 AD125 AR125 AK125 P125">
    <cfRule type="expression" dxfId="7007" priority="2297">
      <formula>I99&lt;5</formula>
    </cfRule>
    <cfRule type="expression" dxfId="7006" priority="2298">
      <formula>I99&gt;6</formula>
    </cfRule>
  </conditionalFormatting>
  <conditionalFormatting sqref="AU131:AW131 AR131 Z131:AB131 W131 AG131:AI131 AD131 L131:N131 I131">
    <cfRule type="expression" dxfId="7005" priority="2295">
      <formula>I131&lt;20</formula>
    </cfRule>
    <cfRule type="expression" dxfId="7004" priority="2296">
      <formula>I131&gt;30</formula>
    </cfRule>
  </conditionalFormatting>
  <conditionalFormatting sqref="AN131:AP131 AK131">
    <cfRule type="expression" dxfId="7003" priority="2289">
      <formula>AK131&lt;20</formula>
    </cfRule>
    <cfRule type="expression" dxfId="7002" priority="2290">
      <formula>AK131&gt;30</formula>
    </cfRule>
  </conditionalFormatting>
  <conditionalFormatting sqref="S131:U131 P131">
    <cfRule type="expression" dxfId="7001" priority="2283">
      <formula>P131&lt;20</formula>
    </cfRule>
    <cfRule type="expression" dxfId="7000" priority="2284">
      <formula>P131&gt;30</formula>
    </cfRule>
  </conditionalFormatting>
  <conditionalFormatting sqref="I16">
    <cfRule type="cellIs" dxfId="6999" priority="1938" operator="between">
      <formula>130</formula>
      <formula>132.99</formula>
    </cfRule>
    <cfRule type="cellIs" dxfId="6998" priority="1939" operator="between">
      <formula>147.1</formula>
      <formula>150</formula>
    </cfRule>
    <cfRule type="expression" dxfId="6997" priority="1940">
      <formula>I16&lt;130</formula>
    </cfRule>
    <cfRule type="expression" dxfId="6996" priority="1941">
      <formula>I16&gt;150</formula>
    </cfRule>
  </conditionalFormatting>
  <conditionalFormatting sqref="I17">
    <cfRule type="expression" dxfId="6995" priority="1936">
      <formula>I17&lt;8</formula>
    </cfRule>
    <cfRule type="expression" dxfId="6994" priority="1937">
      <formula>I17&gt;12</formula>
    </cfRule>
  </conditionalFormatting>
  <conditionalFormatting sqref="I19">
    <cfRule type="cellIs" dxfId="6993" priority="1933" operator="between">
      <formula>1.6</formula>
      <formula>1.799</formula>
    </cfRule>
    <cfRule type="expression" dxfId="6992" priority="1934">
      <formula>I19&lt;1.6</formula>
    </cfRule>
    <cfRule type="expression" dxfId="6991" priority="1935">
      <formula>I19&gt;2.2</formula>
    </cfRule>
  </conditionalFormatting>
  <conditionalFormatting sqref="I21">
    <cfRule type="cellIs" dxfId="6990" priority="1929" operator="between">
      <formula>15%</formula>
      <formula>16.99%</formula>
    </cfRule>
    <cfRule type="cellIs" dxfId="6989" priority="1930" operator="between">
      <formula>27.01%</formula>
      <formula>30%</formula>
    </cfRule>
    <cfRule type="expression" dxfId="6988" priority="1931">
      <formula>I21&lt;15%</formula>
    </cfRule>
    <cfRule type="expression" dxfId="6987" priority="1932">
      <formula>I21&gt;30%</formula>
    </cfRule>
  </conditionalFormatting>
  <conditionalFormatting sqref="I22">
    <cfRule type="cellIs" dxfId="6986" priority="1925" operator="between">
      <formula>5%</formula>
      <formula>6.99%</formula>
    </cfRule>
    <cfRule type="cellIs" dxfId="6985" priority="1926" operator="between">
      <formula>12.99%</formula>
      <formula>15%</formula>
    </cfRule>
    <cfRule type="expression" dxfId="6984" priority="1927">
      <formula>I22&lt;5%</formula>
    </cfRule>
    <cfRule type="expression" dxfId="6983" priority="1928">
      <formula>I22&gt;15%</formula>
    </cfRule>
  </conditionalFormatting>
  <conditionalFormatting sqref="I6 I9">
    <cfRule type="cellIs" dxfId="6982" priority="1921" operator="between">
      <formula>20</formula>
      <formula>24.99</formula>
    </cfRule>
    <cfRule type="cellIs" dxfId="6981" priority="1922" operator="between">
      <formula>35.1</formula>
      <formula>40</formula>
    </cfRule>
    <cfRule type="expression" dxfId="6980" priority="1923">
      <formula>I6&lt;20</formula>
    </cfRule>
    <cfRule type="expression" dxfId="6979" priority="1924">
      <formula>I6&gt;40</formula>
    </cfRule>
  </conditionalFormatting>
  <conditionalFormatting sqref="I12 I14">
    <cfRule type="expression" dxfId="6978" priority="1919" stopIfTrue="1">
      <formula>I12&gt;80</formula>
    </cfRule>
    <cfRule type="expression" dxfId="6977" priority="1920" stopIfTrue="1">
      <formula>I12&lt;60</formula>
    </cfRule>
  </conditionalFormatting>
  <conditionalFormatting sqref="I20">
    <cfRule type="cellIs" dxfId="6976" priority="1915" operator="between">
      <formula>30%</formula>
      <formula>39.99%</formula>
    </cfRule>
    <cfRule type="cellIs" dxfId="6975" priority="1916" operator="between">
      <formula>50.01%</formula>
      <formula>60%</formula>
    </cfRule>
    <cfRule type="expression" dxfId="6974" priority="1917">
      <formula>I20&lt;30%</formula>
    </cfRule>
    <cfRule type="expression" dxfId="6973" priority="1918">
      <formula>I20&gt;60%</formula>
    </cfRule>
  </conditionalFormatting>
  <conditionalFormatting sqref="I18">
    <cfRule type="cellIs" dxfId="6972" priority="1912" operator="between">
      <formula>16.1</formula>
      <formula>18</formula>
    </cfRule>
    <cfRule type="expression" dxfId="6971" priority="1913">
      <formula>I18&lt;12</formula>
    </cfRule>
    <cfRule type="expression" dxfId="6970" priority="1914">
      <formula>I18&gt;18</formula>
    </cfRule>
  </conditionalFormatting>
  <conditionalFormatting sqref="I23">
    <cfRule type="cellIs" dxfId="6969" priority="1908" operator="between">
      <formula>0.5%</formula>
      <formula>0.599%</formula>
    </cfRule>
    <cfRule type="cellIs" dxfId="6968" priority="1909" operator="between">
      <formula>1.41%</formula>
      <formula>1.5%</formula>
    </cfRule>
    <cfRule type="expression" dxfId="6967" priority="1910">
      <formula>I23&lt;0.5%</formula>
    </cfRule>
    <cfRule type="expression" dxfId="6966" priority="1911">
      <formula>I23&gt;1.5%</formula>
    </cfRule>
  </conditionalFormatting>
  <conditionalFormatting sqref="P16">
    <cfRule type="cellIs" dxfId="6965" priority="1904" operator="between">
      <formula>130</formula>
      <formula>132.99</formula>
    </cfRule>
    <cfRule type="cellIs" dxfId="6964" priority="1905" operator="between">
      <formula>147.1</formula>
      <formula>150</formula>
    </cfRule>
    <cfRule type="expression" dxfId="6963" priority="1906">
      <formula>P16&lt;130</formula>
    </cfRule>
    <cfRule type="expression" dxfId="6962" priority="1907">
      <formula>P16&gt;150</formula>
    </cfRule>
  </conditionalFormatting>
  <conditionalFormatting sqref="P17">
    <cfRule type="expression" dxfId="6961" priority="1902">
      <formula>P17&lt;8</formula>
    </cfRule>
    <cfRule type="expression" dxfId="6960" priority="1903">
      <formula>P17&gt;12</formula>
    </cfRule>
  </conditionalFormatting>
  <conditionalFormatting sqref="P19">
    <cfRule type="cellIs" dxfId="6959" priority="1899" operator="between">
      <formula>1.6</formula>
      <formula>1.799</formula>
    </cfRule>
    <cfRule type="expression" dxfId="6958" priority="1900">
      <formula>P19&lt;1.6</formula>
    </cfRule>
    <cfRule type="expression" dxfId="6957" priority="1901">
      <formula>P19&gt;2.2</formula>
    </cfRule>
  </conditionalFormatting>
  <conditionalFormatting sqref="P21">
    <cfRule type="cellIs" dxfId="6956" priority="1895" operator="between">
      <formula>15%</formula>
      <formula>16.99%</formula>
    </cfRule>
    <cfRule type="cellIs" dxfId="6955" priority="1896" operator="between">
      <formula>27.01%</formula>
      <formula>30%</formula>
    </cfRule>
    <cfRule type="expression" dxfId="6954" priority="1897">
      <formula>P21&lt;15%</formula>
    </cfRule>
    <cfRule type="expression" dxfId="6953" priority="1898">
      <formula>P21&gt;30%</formula>
    </cfRule>
  </conditionalFormatting>
  <conditionalFormatting sqref="P22">
    <cfRule type="cellIs" dxfId="6952" priority="1891" operator="between">
      <formula>5%</formula>
      <formula>6.99%</formula>
    </cfRule>
    <cfRule type="cellIs" dxfId="6951" priority="1892" operator="between">
      <formula>12.99%</formula>
      <formula>15%</formula>
    </cfRule>
    <cfRule type="expression" dxfId="6950" priority="1893">
      <formula>P22&lt;5%</formula>
    </cfRule>
    <cfRule type="expression" dxfId="6949" priority="1894">
      <formula>P22&gt;15%</formula>
    </cfRule>
  </conditionalFormatting>
  <conditionalFormatting sqref="P6 P9">
    <cfRule type="cellIs" dxfId="6948" priority="1887" operator="between">
      <formula>20</formula>
      <formula>24.99</formula>
    </cfRule>
    <cfRule type="cellIs" dxfId="6947" priority="1888" operator="between">
      <formula>35.1</formula>
      <formula>40</formula>
    </cfRule>
    <cfRule type="expression" dxfId="6946" priority="1889">
      <formula>P6&lt;20</formula>
    </cfRule>
    <cfRule type="expression" dxfId="6945" priority="1890">
      <formula>P6&gt;40</formula>
    </cfRule>
  </conditionalFormatting>
  <conditionalFormatting sqref="P12 P14">
    <cfRule type="expression" dxfId="6944" priority="1885" stopIfTrue="1">
      <formula>P12&gt;80</formula>
    </cfRule>
    <cfRule type="expression" dxfId="6943" priority="1886" stopIfTrue="1">
      <formula>P12&lt;60</formula>
    </cfRule>
  </conditionalFormatting>
  <conditionalFormatting sqref="P20">
    <cfRule type="cellIs" dxfId="6942" priority="1881" operator="between">
      <formula>30%</formula>
      <formula>39.99%</formula>
    </cfRule>
    <cfRule type="cellIs" dxfId="6941" priority="1882" operator="between">
      <formula>50.01%</formula>
      <formula>60%</formula>
    </cfRule>
    <cfRule type="expression" dxfId="6940" priority="1883">
      <formula>P20&lt;30%</formula>
    </cfRule>
    <cfRule type="expression" dxfId="6939" priority="1884">
      <formula>P20&gt;60%</formula>
    </cfRule>
  </conditionalFormatting>
  <conditionalFormatting sqref="P18">
    <cfRule type="cellIs" dxfId="6938" priority="1878" operator="between">
      <formula>16.1</formula>
      <formula>18</formula>
    </cfRule>
    <cfRule type="expression" dxfId="6937" priority="1879">
      <formula>P18&lt;12</formula>
    </cfRule>
    <cfRule type="expression" dxfId="6936" priority="1880">
      <formula>P18&gt;18</formula>
    </cfRule>
  </conditionalFormatting>
  <conditionalFormatting sqref="P23">
    <cfRule type="cellIs" dxfId="6935" priority="1874" operator="between">
      <formula>0.5%</formula>
      <formula>0.599%</formula>
    </cfRule>
    <cfRule type="cellIs" dxfId="6934" priority="1875" operator="between">
      <formula>1.41%</formula>
      <formula>1.5%</formula>
    </cfRule>
    <cfRule type="expression" dxfId="6933" priority="1876">
      <formula>P23&lt;0.5%</formula>
    </cfRule>
    <cfRule type="expression" dxfId="6932" priority="1877">
      <formula>P23&gt;1.5%</formula>
    </cfRule>
  </conditionalFormatting>
  <conditionalFormatting sqref="W16">
    <cfRule type="cellIs" dxfId="6931" priority="1870" operator="between">
      <formula>130</formula>
      <formula>132.99</formula>
    </cfRule>
    <cfRule type="cellIs" dxfId="6930" priority="1871" operator="between">
      <formula>147.1</formula>
      <formula>150</formula>
    </cfRule>
    <cfRule type="expression" dxfId="6929" priority="1872">
      <formula>W16&lt;130</formula>
    </cfRule>
    <cfRule type="expression" dxfId="6928" priority="1873">
      <formula>W16&gt;150</formula>
    </cfRule>
  </conditionalFormatting>
  <conditionalFormatting sqref="W17">
    <cfRule type="expression" dxfId="6927" priority="1868">
      <formula>W17&lt;8</formula>
    </cfRule>
    <cfRule type="expression" dxfId="6926" priority="1869">
      <formula>W17&gt;12</formula>
    </cfRule>
  </conditionalFormatting>
  <conditionalFormatting sqref="W19">
    <cfRule type="cellIs" dxfId="6925" priority="1865" operator="between">
      <formula>1.6</formula>
      <formula>1.799</formula>
    </cfRule>
    <cfRule type="expression" dxfId="6924" priority="1866">
      <formula>W19&lt;1.6</formula>
    </cfRule>
    <cfRule type="expression" dxfId="6923" priority="1867">
      <formula>W19&gt;2.2</formula>
    </cfRule>
  </conditionalFormatting>
  <conditionalFormatting sqref="W21">
    <cfRule type="cellIs" dxfId="6922" priority="1861" operator="between">
      <formula>15%</formula>
      <formula>16.99%</formula>
    </cfRule>
    <cfRule type="cellIs" dxfId="6921" priority="1862" operator="between">
      <formula>27.01%</formula>
      <formula>30%</formula>
    </cfRule>
    <cfRule type="expression" dxfId="6920" priority="1863">
      <formula>W21&lt;15%</formula>
    </cfRule>
    <cfRule type="expression" dxfId="6919" priority="1864">
      <formula>W21&gt;30%</formula>
    </cfRule>
  </conditionalFormatting>
  <conditionalFormatting sqref="W22">
    <cfRule type="cellIs" dxfId="6918" priority="1857" operator="between">
      <formula>5%</formula>
      <formula>6.99%</formula>
    </cfRule>
    <cfRule type="cellIs" dxfId="6917" priority="1858" operator="between">
      <formula>12.99%</formula>
      <formula>15%</formula>
    </cfRule>
    <cfRule type="expression" dxfId="6916" priority="1859">
      <formula>W22&lt;5%</formula>
    </cfRule>
    <cfRule type="expression" dxfId="6915" priority="1860">
      <formula>W22&gt;15%</formula>
    </cfRule>
  </conditionalFormatting>
  <conditionalFormatting sqref="W6 W9">
    <cfRule type="cellIs" dxfId="6914" priority="1853" operator="between">
      <formula>20</formula>
      <formula>24.99</formula>
    </cfRule>
    <cfRule type="cellIs" dxfId="6913" priority="1854" operator="between">
      <formula>35.1</formula>
      <formula>40</formula>
    </cfRule>
    <cfRule type="expression" dxfId="6912" priority="1855">
      <formula>W6&lt;20</formula>
    </cfRule>
    <cfRule type="expression" dxfId="6911" priority="1856">
      <formula>W6&gt;40</formula>
    </cfRule>
  </conditionalFormatting>
  <conditionalFormatting sqref="W12 W14">
    <cfRule type="expression" dxfId="6910" priority="1851" stopIfTrue="1">
      <formula>W12&gt;80</formula>
    </cfRule>
    <cfRule type="expression" dxfId="6909" priority="1852" stopIfTrue="1">
      <formula>W12&lt;60</formula>
    </cfRule>
  </conditionalFormatting>
  <conditionalFormatting sqref="W20">
    <cfRule type="cellIs" dxfId="6908" priority="1847" operator="between">
      <formula>30%</formula>
      <formula>39.99%</formula>
    </cfRule>
    <cfRule type="cellIs" dxfId="6907" priority="1848" operator="between">
      <formula>50.01%</formula>
      <formula>60%</formula>
    </cfRule>
    <cfRule type="expression" dxfId="6906" priority="1849">
      <formula>W20&lt;30%</formula>
    </cfRule>
    <cfRule type="expression" dxfId="6905" priority="1850">
      <formula>W20&gt;60%</formula>
    </cfRule>
  </conditionalFormatting>
  <conditionalFormatting sqref="W18">
    <cfRule type="cellIs" dxfId="6904" priority="1844" operator="between">
      <formula>16.1</formula>
      <formula>18</formula>
    </cfRule>
    <cfRule type="expression" dxfId="6903" priority="1845">
      <formula>W18&lt;12</formula>
    </cfRule>
    <cfRule type="expression" dxfId="6902" priority="1846">
      <formula>W18&gt;18</formula>
    </cfRule>
  </conditionalFormatting>
  <conditionalFormatting sqref="W23">
    <cfRule type="cellIs" dxfId="6901" priority="1840" operator="between">
      <formula>0.5%</formula>
      <formula>0.599%</formula>
    </cfRule>
    <cfRule type="cellIs" dxfId="6900" priority="1841" operator="between">
      <formula>1.41%</formula>
      <formula>1.5%</formula>
    </cfRule>
    <cfRule type="expression" dxfId="6899" priority="1842">
      <formula>W23&lt;0.5%</formula>
    </cfRule>
    <cfRule type="expression" dxfId="6898" priority="1843">
      <formula>W23&gt;1.5%</formula>
    </cfRule>
  </conditionalFormatting>
  <conditionalFormatting sqref="AD16">
    <cfRule type="cellIs" dxfId="6897" priority="1836" operator="between">
      <formula>130</formula>
      <formula>132.99</formula>
    </cfRule>
    <cfRule type="cellIs" dxfId="6896" priority="1837" operator="between">
      <formula>147.1</formula>
      <formula>150</formula>
    </cfRule>
    <cfRule type="expression" dxfId="6895" priority="1838">
      <formula>AD16&lt;130</formula>
    </cfRule>
    <cfRule type="expression" dxfId="6894" priority="1839">
      <formula>AD16&gt;150</formula>
    </cfRule>
  </conditionalFormatting>
  <conditionalFormatting sqref="AD17">
    <cfRule type="expression" dxfId="6893" priority="1834">
      <formula>AD17&lt;8</formula>
    </cfRule>
    <cfRule type="expression" dxfId="6892" priority="1835">
      <formula>AD17&gt;12</formula>
    </cfRule>
  </conditionalFormatting>
  <conditionalFormatting sqref="AD19">
    <cfRule type="cellIs" dxfId="6891" priority="1831" operator="between">
      <formula>1.6</formula>
      <formula>1.799</formula>
    </cfRule>
    <cfRule type="expression" dxfId="6890" priority="1832">
      <formula>AD19&lt;1.6</formula>
    </cfRule>
    <cfRule type="expression" dxfId="6889" priority="1833">
      <formula>AD19&gt;2.2</formula>
    </cfRule>
  </conditionalFormatting>
  <conditionalFormatting sqref="AD21">
    <cfRule type="cellIs" dxfId="6888" priority="1827" operator="between">
      <formula>15%</formula>
      <formula>16.99%</formula>
    </cfRule>
    <cfRule type="cellIs" dxfId="6887" priority="1828" operator="between">
      <formula>27.01%</formula>
      <formula>30%</formula>
    </cfRule>
    <cfRule type="expression" dxfId="6886" priority="1829">
      <formula>AD21&lt;15%</formula>
    </cfRule>
    <cfRule type="expression" dxfId="6885" priority="1830">
      <formula>AD21&gt;30%</formula>
    </cfRule>
  </conditionalFormatting>
  <conditionalFormatting sqref="AD22">
    <cfRule type="cellIs" dxfId="6884" priority="1823" operator="between">
      <formula>5%</formula>
      <formula>6.99%</formula>
    </cfRule>
    <cfRule type="cellIs" dxfId="6883" priority="1824" operator="between">
      <formula>12.99%</formula>
      <formula>15%</formula>
    </cfRule>
    <cfRule type="expression" dxfId="6882" priority="1825">
      <formula>AD22&lt;5%</formula>
    </cfRule>
    <cfRule type="expression" dxfId="6881" priority="1826">
      <formula>AD22&gt;15%</formula>
    </cfRule>
  </conditionalFormatting>
  <conditionalFormatting sqref="AD6 AD9">
    <cfRule type="cellIs" dxfId="6880" priority="1819" operator="between">
      <formula>20</formula>
      <formula>24.99</formula>
    </cfRule>
    <cfRule type="cellIs" dxfId="6879" priority="1820" operator="between">
      <formula>35.1</formula>
      <formula>40</formula>
    </cfRule>
    <cfRule type="expression" dxfId="6878" priority="1821">
      <formula>AD6&lt;20</formula>
    </cfRule>
    <cfRule type="expression" dxfId="6877" priority="1822">
      <formula>AD6&gt;40</formula>
    </cfRule>
  </conditionalFormatting>
  <conditionalFormatting sqref="AD12 AD14">
    <cfRule type="expression" dxfId="6876" priority="1817" stopIfTrue="1">
      <formula>AD12&gt;80</formula>
    </cfRule>
    <cfRule type="expression" dxfId="6875" priority="1818" stopIfTrue="1">
      <formula>AD12&lt;60</formula>
    </cfRule>
  </conditionalFormatting>
  <conditionalFormatting sqref="AD20">
    <cfRule type="cellIs" dxfId="6874" priority="1813" operator="between">
      <formula>30%</formula>
      <formula>39.99%</formula>
    </cfRule>
    <cfRule type="cellIs" dxfId="6873" priority="1814" operator="between">
      <formula>50.01%</formula>
      <formula>60%</formula>
    </cfRule>
    <cfRule type="expression" dxfId="6872" priority="1815">
      <formula>AD20&lt;30%</formula>
    </cfRule>
    <cfRule type="expression" dxfId="6871" priority="1816">
      <formula>AD20&gt;60%</formula>
    </cfRule>
  </conditionalFormatting>
  <conditionalFormatting sqref="AD18">
    <cfRule type="cellIs" dxfId="6870" priority="1810" operator="between">
      <formula>16.1</formula>
      <formula>18</formula>
    </cfRule>
    <cfRule type="expression" dxfId="6869" priority="1811">
      <formula>AD18&lt;12</formula>
    </cfRule>
    <cfRule type="expression" dxfId="6868" priority="1812">
      <formula>AD18&gt;18</formula>
    </cfRule>
  </conditionalFormatting>
  <conditionalFormatting sqref="AD23">
    <cfRule type="cellIs" dxfId="6867" priority="1806" operator="between">
      <formula>0.5%</formula>
      <formula>0.599%</formula>
    </cfRule>
    <cfRule type="cellIs" dxfId="6866" priority="1807" operator="between">
      <formula>1.41%</formula>
      <formula>1.5%</formula>
    </cfRule>
    <cfRule type="expression" dxfId="6865" priority="1808">
      <formula>AD23&lt;0.5%</formula>
    </cfRule>
    <cfRule type="expression" dxfId="6864" priority="1809">
      <formula>AD23&gt;1.5%</formula>
    </cfRule>
  </conditionalFormatting>
  <conditionalFormatting sqref="AK16">
    <cfRule type="cellIs" dxfId="6863" priority="1802" operator="between">
      <formula>130</formula>
      <formula>132.99</formula>
    </cfRule>
    <cfRule type="cellIs" dxfId="6862" priority="1803" operator="between">
      <formula>147.1</formula>
      <formula>150</formula>
    </cfRule>
    <cfRule type="expression" dxfId="6861" priority="1804">
      <formula>AK16&lt;130</formula>
    </cfRule>
    <cfRule type="expression" dxfId="6860" priority="1805">
      <formula>AK16&gt;150</formula>
    </cfRule>
  </conditionalFormatting>
  <conditionalFormatting sqref="AK17">
    <cfRule type="expression" dxfId="6859" priority="1800">
      <formula>AK17&lt;8</formula>
    </cfRule>
    <cfRule type="expression" dxfId="6858" priority="1801">
      <formula>AK17&gt;12</formula>
    </cfRule>
  </conditionalFormatting>
  <conditionalFormatting sqref="AK19">
    <cfRule type="cellIs" dxfId="6857" priority="1797" operator="between">
      <formula>1.6</formula>
      <formula>1.799</formula>
    </cfRule>
    <cfRule type="expression" dxfId="6856" priority="1798">
      <formula>AK19&lt;1.6</formula>
    </cfRule>
    <cfRule type="expression" dxfId="6855" priority="1799">
      <formula>AK19&gt;2.2</formula>
    </cfRule>
  </conditionalFormatting>
  <conditionalFormatting sqref="AK21">
    <cfRule type="cellIs" dxfId="6854" priority="1793" operator="between">
      <formula>15%</formula>
      <formula>16.99%</formula>
    </cfRule>
    <cfRule type="cellIs" dxfId="6853" priority="1794" operator="between">
      <formula>27.01%</formula>
      <formula>30%</formula>
    </cfRule>
    <cfRule type="expression" dxfId="6852" priority="1795">
      <formula>AK21&lt;15%</formula>
    </cfRule>
    <cfRule type="expression" dxfId="6851" priority="1796">
      <formula>AK21&gt;30%</formula>
    </cfRule>
  </conditionalFormatting>
  <conditionalFormatting sqref="AK22">
    <cfRule type="cellIs" dxfId="6850" priority="1789" operator="between">
      <formula>5%</formula>
      <formula>6.99%</formula>
    </cfRule>
    <cfRule type="cellIs" dxfId="6849" priority="1790" operator="between">
      <formula>12.99%</formula>
      <formula>15%</formula>
    </cfRule>
    <cfRule type="expression" dxfId="6848" priority="1791">
      <formula>AK22&lt;5%</formula>
    </cfRule>
    <cfRule type="expression" dxfId="6847" priority="1792">
      <formula>AK22&gt;15%</formula>
    </cfRule>
  </conditionalFormatting>
  <conditionalFormatting sqref="AK6 AK9">
    <cfRule type="cellIs" dxfId="6846" priority="1785" operator="between">
      <formula>20</formula>
      <formula>24.99</formula>
    </cfRule>
    <cfRule type="cellIs" dxfId="6845" priority="1786" operator="between">
      <formula>35.1</formula>
      <formula>40</formula>
    </cfRule>
    <cfRule type="expression" dxfId="6844" priority="1787">
      <formula>AK6&lt;20</formula>
    </cfRule>
    <cfRule type="expression" dxfId="6843" priority="1788">
      <formula>AK6&gt;40</formula>
    </cfRule>
  </conditionalFormatting>
  <conditionalFormatting sqref="AK12 AK14">
    <cfRule type="expression" dxfId="6842" priority="1783" stopIfTrue="1">
      <formula>AK12&gt;80</formula>
    </cfRule>
    <cfRule type="expression" dxfId="6841" priority="1784" stopIfTrue="1">
      <formula>AK12&lt;60</formula>
    </cfRule>
  </conditionalFormatting>
  <conditionalFormatting sqref="AK20">
    <cfRule type="cellIs" dxfId="6840" priority="1779" operator="between">
      <formula>30%</formula>
      <formula>39.99%</formula>
    </cfRule>
    <cfRule type="cellIs" dxfId="6839" priority="1780" operator="between">
      <formula>50.01%</formula>
      <formula>60%</formula>
    </cfRule>
    <cfRule type="expression" dxfId="6838" priority="1781">
      <formula>AK20&lt;30%</formula>
    </cfRule>
    <cfRule type="expression" dxfId="6837" priority="1782">
      <formula>AK20&gt;60%</formula>
    </cfRule>
  </conditionalFormatting>
  <conditionalFormatting sqref="AK18">
    <cfRule type="cellIs" dxfId="6836" priority="1776" operator="between">
      <formula>16.1</formula>
      <formula>18</formula>
    </cfRule>
    <cfRule type="expression" dxfId="6835" priority="1777">
      <formula>AK18&lt;12</formula>
    </cfRule>
    <cfRule type="expression" dxfId="6834" priority="1778">
      <formula>AK18&gt;18</formula>
    </cfRule>
  </conditionalFormatting>
  <conditionalFormatting sqref="AK23">
    <cfRule type="cellIs" dxfId="6833" priority="1772" operator="between">
      <formula>0.5%</formula>
      <formula>0.599%</formula>
    </cfRule>
    <cfRule type="cellIs" dxfId="6832" priority="1773" operator="between">
      <formula>1.41%</formula>
      <formula>1.5%</formula>
    </cfRule>
    <cfRule type="expression" dxfId="6831" priority="1774">
      <formula>AK23&lt;0.5%</formula>
    </cfRule>
    <cfRule type="expression" dxfId="6830" priority="1775">
      <formula>AK23&gt;1.5%</formula>
    </cfRule>
  </conditionalFormatting>
  <conditionalFormatting sqref="AR16">
    <cfRule type="cellIs" dxfId="6829" priority="1768" operator="between">
      <formula>130</formula>
      <formula>132.99</formula>
    </cfRule>
    <cfRule type="cellIs" dxfId="6828" priority="1769" operator="between">
      <formula>147.1</formula>
      <formula>150</formula>
    </cfRule>
    <cfRule type="expression" dxfId="6827" priority="1770">
      <formula>AR16&lt;130</formula>
    </cfRule>
    <cfRule type="expression" dxfId="6826" priority="1771">
      <formula>AR16&gt;150</formula>
    </cfRule>
  </conditionalFormatting>
  <conditionalFormatting sqref="AR17">
    <cfRule type="expression" dxfId="6825" priority="1766">
      <formula>AR17&lt;8</formula>
    </cfRule>
    <cfRule type="expression" dxfId="6824" priority="1767">
      <formula>AR17&gt;12</formula>
    </cfRule>
  </conditionalFormatting>
  <conditionalFormatting sqref="AR19">
    <cfRule type="cellIs" dxfId="6823" priority="1763" operator="between">
      <formula>1.6</formula>
      <formula>1.799</formula>
    </cfRule>
    <cfRule type="expression" dxfId="6822" priority="1764">
      <formula>AR19&lt;1.6</formula>
    </cfRule>
    <cfRule type="expression" dxfId="6821" priority="1765">
      <formula>AR19&gt;2.2</formula>
    </cfRule>
  </conditionalFormatting>
  <conditionalFormatting sqref="AR21">
    <cfRule type="cellIs" dxfId="6820" priority="1759" operator="between">
      <formula>15%</formula>
      <formula>16.99%</formula>
    </cfRule>
    <cfRule type="cellIs" dxfId="6819" priority="1760" operator="between">
      <formula>27.01%</formula>
      <formula>30%</formula>
    </cfRule>
    <cfRule type="expression" dxfId="6818" priority="1761">
      <formula>AR21&lt;15%</formula>
    </cfRule>
    <cfRule type="expression" dxfId="6817" priority="1762">
      <formula>AR21&gt;30%</formula>
    </cfRule>
  </conditionalFormatting>
  <conditionalFormatting sqref="AR22">
    <cfRule type="cellIs" dxfId="6816" priority="1755" operator="between">
      <formula>5%</formula>
      <formula>6.99%</formula>
    </cfRule>
    <cfRule type="cellIs" dxfId="6815" priority="1756" operator="between">
      <formula>12.99%</formula>
      <formula>15%</formula>
    </cfRule>
    <cfRule type="expression" dxfId="6814" priority="1757">
      <formula>AR22&lt;5%</formula>
    </cfRule>
    <cfRule type="expression" dxfId="6813" priority="1758">
      <formula>AR22&gt;15%</formula>
    </cfRule>
  </conditionalFormatting>
  <conditionalFormatting sqref="AR6 AR9">
    <cfRule type="cellIs" dxfId="6812" priority="1751" operator="between">
      <formula>20</formula>
      <formula>24.99</formula>
    </cfRule>
    <cfRule type="cellIs" dxfId="6811" priority="1752" operator="between">
      <formula>35.1</formula>
      <formula>40</formula>
    </cfRule>
    <cfRule type="expression" dxfId="6810" priority="1753">
      <formula>AR6&lt;20</formula>
    </cfRule>
    <cfRule type="expression" dxfId="6809" priority="1754">
      <formula>AR6&gt;40</formula>
    </cfRule>
  </conditionalFormatting>
  <conditionalFormatting sqref="AR12 AR14">
    <cfRule type="expression" dxfId="6808" priority="1749" stopIfTrue="1">
      <formula>AR12&gt;80</formula>
    </cfRule>
    <cfRule type="expression" dxfId="6807" priority="1750" stopIfTrue="1">
      <formula>AR12&lt;60</formula>
    </cfRule>
  </conditionalFormatting>
  <conditionalFormatting sqref="AR20">
    <cfRule type="cellIs" dxfId="6806" priority="1745" operator="between">
      <formula>30%</formula>
      <formula>39.99%</formula>
    </cfRule>
    <cfRule type="cellIs" dxfId="6805" priority="1746" operator="between">
      <formula>50.01%</formula>
      <formula>60%</formula>
    </cfRule>
    <cfRule type="expression" dxfId="6804" priority="1747">
      <formula>AR20&lt;30%</formula>
    </cfRule>
    <cfRule type="expression" dxfId="6803" priority="1748">
      <formula>AR20&gt;60%</formula>
    </cfRule>
  </conditionalFormatting>
  <conditionalFormatting sqref="AR18">
    <cfRule type="cellIs" dxfId="6802" priority="1742" operator="between">
      <formula>16.1</formula>
      <formula>18</formula>
    </cfRule>
    <cfRule type="expression" dxfId="6801" priority="1743">
      <formula>AR18&lt;12</formula>
    </cfRule>
    <cfRule type="expression" dxfId="6800" priority="1744">
      <formula>AR18&gt;18</formula>
    </cfRule>
  </conditionalFormatting>
  <conditionalFormatting sqref="AR23">
    <cfRule type="cellIs" dxfId="6799" priority="1738" operator="between">
      <formula>0.5%</formula>
      <formula>0.599%</formula>
    </cfRule>
    <cfRule type="cellIs" dxfId="6798" priority="1739" operator="between">
      <formula>1.41%</formula>
      <formula>1.5%</formula>
    </cfRule>
    <cfRule type="expression" dxfId="6797" priority="1740">
      <formula>AR23&lt;0.5%</formula>
    </cfRule>
    <cfRule type="expression" dxfId="6796" priority="1741">
      <formula>AR23&gt;1.5%</formula>
    </cfRule>
  </conditionalFormatting>
  <conditionalFormatting sqref="I32 L32:M32">
    <cfRule type="cellIs" dxfId="6795" priority="1734" operator="between">
      <formula>20</formula>
      <formula>25.9</formula>
    </cfRule>
    <cfRule type="cellIs" dxfId="6794" priority="1735" operator="between">
      <formula>34.1</formula>
      <formula>35</formula>
    </cfRule>
    <cfRule type="expression" dxfId="6793" priority="1736">
      <formula>I32&lt;20</formula>
    </cfRule>
    <cfRule type="expression" dxfId="6792" priority="1737">
      <formula>I32&gt;35</formula>
    </cfRule>
  </conditionalFormatting>
  <conditionalFormatting sqref="I28:I29 L28:M29">
    <cfRule type="cellIs" dxfId="6791" priority="1730" operator="between">
      <formula>50</formula>
      <formula>54.9</formula>
    </cfRule>
    <cfRule type="cellIs" dxfId="6790" priority="1731" operator="between">
      <formula>65.1</formula>
      <formula>70</formula>
    </cfRule>
    <cfRule type="expression" dxfId="6789" priority="1732">
      <formula>I28&lt;50</formula>
    </cfRule>
    <cfRule type="expression" dxfId="6788" priority="1733">
      <formula>I28&gt;70</formula>
    </cfRule>
  </conditionalFormatting>
  <conditionalFormatting sqref="I33">
    <cfRule type="cellIs" dxfId="6787" priority="1716" operator="between">
      <formula>30</formula>
      <formula>30.9</formula>
    </cfRule>
    <cfRule type="cellIs" dxfId="6786" priority="1717" operator="between">
      <formula>37.1</formula>
      <formula>40</formula>
    </cfRule>
    <cfRule type="expression" dxfId="6785" priority="1718">
      <formula>I33&lt;30</formula>
    </cfRule>
    <cfRule type="expression" dxfId="6784" priority="1719">
      <formula>I33&gt;40</formula>
    </cfRule>
  </conditionalFormatting>
  <conditionalFormatting sqref="L33">
    <cfRule type="cellIs" dxfId="6783" priority="1712" operator="between">
      <formula>30</formula>
      <formula>30.9</formula>
    </cfRule>
    <cfRule type="cellIs" dxfId="6782" priority="1713" operator="between">
      <formula>37.1</formula>
      <formula>40</formula>
    </cfRule>
    <cfRule type="expression" dxfId="6781" priority="1714">
      <formula>L33&lt;30</formula>
    </cfRule>
    <cfRule type="expression" dxfId="6780" priority="1715">
      <formula>L33&gt;40</formula>
    </cfRule>
  </conditionalFormatting>
  <conditionalFormatting sqref="L35">
    <cfRule type="cellIs" dxfId="6779" priority="1708" operator="between">
      <formula>80</formula>
      <formula>84.9</formula>
    </cfRule>
    <cfRule type="cellIs" dxfId="6778" priority="1709" operator="between">
      <formula>95.1</formula>
      <formula>100</formula>
    </cfRule>
    <cfRule type="expression" dxfId="6777" priority="1710">
      <formula>L35&lt;80</formula>
    </cfRule>
    <cfRule type="expression" dxfId="6776" priority="1711">
      <formula>L35&gt;100</formula>
    </cfRule>
  </conditionalFormatting>
  <conditionalFormatting sqref="I34">
    <cfRule type="expression" dxfId="6775" priority="1706">
      <formula>I34&lt;50</formula>
    </cfRule>
    <cfRule type="expression" dxfId="6774" priority="1707">
      <formula>I34&gt;70</formula>
    </cfRule>
  </conditionalFormatting>
  <conditionalFormatting sqref="L34">
    <cfRule type="expression" dxfId="6773" priority="1704">
      <formula>L34&lt;50</formula>
    </cfRule>
    <cfRule type="expression" dxfId="6772" priority="1705">
      <formula>L34&gt;70</formula>
    </cfRule>
  </conditionalFormatting>
  <conditionalFormatting sqref="P32 S32:T32">
    <cfRule type="cellIs" dxfId="6771" priority="1700" operator="between">
      <formula>20</formula>
      <formula>25.9</formula>
    </cfRule>
    <cfRule type="cellIs" dxfId="6770" priority="1701" operator="between">
      <formula>34.1</formula>
      <formula>35</formula>
    </cfRule>
    <cfRule type="expression" dxfId="6769" priority="1702">
      <formula>P32&lt;20</formula>
    </cfRule>
    <cfRule type="expression" dxfId="6768" priority="1703">
      <formula>P32&gt;35</formula>
    </cfRule>
  </conditionalFormatting>
  <conditionalFormatting sqref="P28:P29 S28:T29">
    <cfRule type="cellIs" dxfId="6767" priority="1696" operator="between">
      <formula>50</formula>
      <formula>54.9</formula>
    </cfRule>
    <cfRule type="cellIs" dxfId="6766" priority="1697" operator="between">
      <formula>65.1</formula>
      <formula>70</formula>
    </cfRule>
    <cfRule type="expression" dxfId="6765" priority="1698">
      <formula>P28&lt;50</formula>
    </cfRule>
    <cfRule type="expression" dxfId="6764" priority="1699">
      <formula>P28&gt;70</formula>
    </cfRule>
  </conditionalFormatting>
  <conditionalFormatting sqref="P33">
    <cfRule type="cellIs" dxfId="6763" priority="1682" operator="between">
      <formula>30</formula>
      <formula>30.9</formula>
    </cfRule>
    <cfRule type="cellIs" dxfId="6762" priority="1683" operator="between">
      <formula>37.1</formula>
      <formula>40</formula>
    </cfRule>
    <cfRule type="expression" dxfId="6761" priority="1684">
      <formula>P33&lt;30</formula>
    </cfRule>
    <cfRule type="expression" dxfId="6760" priority="1685">
      <formula>P33&gt;40</formula>
    </cfRule>
  </conditionalFormatting>
  <conditionalFormatting sqref="S33">
    <cfRule type="cellIs" dxfId="6759" priority="1678" operator="between">
      <formula>30</formula>
      <formula>30.9</formula>
    </cfRule>
    <cfRule type="cellIs" dxfId="6758" priority="1679" operator="between">
      <formula>37.1</formula>
      <formula>40</formula>
    </cfRule>
    <cfRule type="expression" dxfId="6757" priority="1680">
      <formula>S33&lt;30</formula>
    </cfRule>
    <cfRule type="expression" dxfId="6756" priority="1681">
      <formula>S33&gt;40</formula>
    </cfRule>
  </conditionalFormatting>
  <conditionalFormatting sqref="S35">
    <cfRule type="cellIs" dxfId="6755" priority="1674" operator="between">
      <formula>80</formula>
      <formula>84.9</formula>
    </cfRule>
    <cfRule type="cellIs" dxfId="6754" priority="1675" operator="between">
      <formula>95.1</formula>
      <formula>100</formula>
    </cfRule>
    <cfRule type="expression" dxfId="6753" priority="1676">
      <formula>S35&lt;80</formula>
    </cfRule>
    <cfRule type="expression" dxfId="6752" priority="1677">
      <formula>S35&gt;100</formula>
    </cfRule>
  </conditionalFormatting>
  <conditionalFormatting sqref="P34">
    <cfRule type="expression" dxfId="6751" priority="1672">
      <formula>P34&lt;50</formula>
    </cfRule>
    <cfRule type="expression" dxfId="6750" priority="1673">
      <formula>P34&gt;70</formula>
    </cfRule>
  </conditionalFormatting>
  <conditionalFormatting sqref="S34">
    <cfRule type="expression" dxfId="6749" priority="1670">
      <formula>S34&lt;50</formula>
    </cfRule>
    <cfRule type="expression" dxfId="6748" priority="1671">
      <formula>S34&gt;70</formula>
    </cfRule>
  </conditionalFormatting>
  <conditionalFormatting sqref="W32 Z32:AA32">
    <cfRule type="cellIs" dxfId="6747" priority="1666" operator="between">
      <formula>20</formula>
      <formula>25.9</formula>
    </cfRule>
    <cfRule type="cellIs" dxfId="6746" priority="1667" operator="between">
      <formula>34.1</formula>
      <formula>35</formula>
    </cfRule>
    <cfRule type="expression" dxfId="6745" priority="1668">
      <formula>W32&lt;20</formula>
    </cfRule>
    <cfRule type="expression" dxfId="6744" priority="1669">
      <formula>W32&gt;35</formula>
    </cfRule>
  </conditionalFormatting>
  <conditionalFormatting sqref="W28:W29 Z28:AA29">
    <cfRule type="cellIs" dxfId="6743" priority="1662" operator="between">
      <formula>50</formula>
      <formula>54.9</formula>
    </cfRule>
    <cfRule type="cellIs" dxfId="6742" priority="1663" operator="between">
      <formula>65.1</formula>
      <formula>70</formula>
    </cfRule>
    <cfRule type="expression" dxfId="6741" priority="1664">
      <formula>W28&lt;50</formula>
    </cfRule>
    <cfRule type="expression" dxfId="6740" priority="1665">
      <formula>W28&gt;70</formula>
    </cfRule>
  </conditionalFormatting>
  <conditionalFormatting sqref="W33">
    <cfRule type="cellIs" dxfId="6739" priority="1648" operator="between">
      <formula>30</formula>
      <formula>30.9</formula>
    </cfRule>
    <cfRule type="cellIs" dxfId="6738" priority="1649" operator="between">
      <formula>37.1</formula>
      <formula>40</formula>
    </cfRule>
    <cfRule type="expression" dxfId="6737" priority="1650">
      <formula>W33&lt;30</formula>
    </cfRule>
    <cfRule type="expression" dxfId="6736" priority="1651">
      <formula>W33&gt;40</formula>
    </cfRule>
  </conditionalFormatting>
  <conditionalFormatting sqref="Z33">
    <cfRule type="cellIs" dxfId="6735" priority="1644" operator="between">
      <formula>30</formula>
      <formula>30.9</formula>
    </cfRule>
    <cfRule type="cellIs" dxfId="6734" priority="1645" operator="between">
      <formula>37.1</formula>
      <formula>40</formula>
    </cfRule>
    <cfRule type="expression" dxfId="6733" priority="1646">
      <formula>Z33&lt;30</formula>
    </cfRule>
    <cfRule type="expression" dxfId="6732" priority="1647">
      <formula>Z33&gt;40</formula>
    </cfRule>
  </conditionalFormatting>
  <conditionalFormatting sqref="Z35">
    <cfRule type="cellIs" dxfId="6731" priority="1640" operator="between">
      <formula>80</formula>
      <formula>84.9</formula>
    </cfRule>
    <cfRule type="cellIs" dxfId="6730" priority="1641" operator="between">
      <formula>95.1</formula>
      <formula>100</formula>
    </cfRule>
    <cfRule type="expression" dxfId="6729" priority="1642">
      <formula>Z35&lt;80</formula>
    </cfRule>
    <cfRule type="expression" dxfId="6728" priority="1643">
      <formula>Z35&gt;100</formula>
    </cfRule>
  </conditionalFormatting>
  <conditionalFormatting sqref="W34">
    <cfRule type="expression" dxfId="6727" priority="1638">
      <formula>W34&lt;50</formula>
    </cfRule>
    <cfRule type="expression" dxfId="6726" priority="1639">
      <formula>W34&gt;70</formula>
    </cfRule>
  </conditionalFormatting>
  <conditionalFormatting sqref="Z34">
    <cfRule type="expression" dxfId="6725" priority="1636">
      <formula>Z34&lt;50</formula>
    </cfRule>
    <cfRule type="expression" dxfId="6724" priority="1637">
      <formula>Z34&gt;70</formula>
    </cfRule>
  </conditionalFormatting>
  <conditionalFormatting sqref="AD32 AG32:AH32">
    <cfRule type="cellIs" dxfId="6723" priority="1632" operator="between">
      <formula>20</formula>
      <formula>25.9</formula>
    </cfRule>
    <cfRule type="cellIs" dxfId="6722" priority="1633" operator="between">
      <formula>34.1</formula>
      <formula>35</formula>
    </cfRule>
    <cfRule type="expression" dxfId="6721" priority="1634">
      <formula>AD32&lt;20</formula>
    </cfRule>
    <cfRule type="expression" dxfId="6720" priority="1635">
      <formula>AD32&gt;35</formula>
    </cfRule>
  </conditionalFormatting>
  <conditionalFormatting sqref="AD28:AD29 AG28:AH29">
    <cfRule type="cellIs" dxfId="6719" priority="1628" operator="between">
      <formula>50</formula>
      <formula>54.9</formula>
    </cfRule>
    <cfRule type="cellIs" dxfId="6718" priority="1629" operator="between">
      <formula>65.1</formula>
      <formula>70</formula>
    </cfRule>
    <cfRule type="expression" dxfId="6717" priority="1630">
      <formula>AD28&lt;50</formula>
    </cfRule>
    <cfRule type="expression" dxfId="6716" priority="1631">
      <formula>AD28&gt;70</formula>
    </cfRule>
  </conditionalFormatting>
  <conditionalFormatting sqref="AD33">
    <cfRule type="cellIs" dxfId="6715" priority="1614" operator="between">
      <formula>30</formula>
      <formula>30.9</formula>
    </cfRule>
    <cfRule type="cellIs" dxfId="6714" priority="1615" operator="between">
      <formula>37.1</formula>
      <formula>40</formula>
    </cfRule>
    <cfRule type="expression" dxfId="6713" priority="1616">
      <formula>AD33&lt;30</formula>
    </cfRule>
    <cfRule type="expression" dxfId="6712" priority="1617">
      <formula>AD33&gt;40</formula>
    </cfRule>
  </conditionalFormatting>
  <conditionalFormatting sqref="AG33">
    <cfRule type="cellIs" dxfId="6711" priority="1610" operator="between">
      <formula>30</formula>
      <formula>30.9</formula>
    </cfRule>
    <cfRule type="cellIs" dxfId="6710" priority="1611" operator="between">
      <formula>37.1</formula>
      <formula>40</formula>
    </cfRule>
    <cfRule type="expression" dxfId="6709" priority="1612">
      <formula>AG33&lt;30</formula>
    </cfRule>
    <cfRule type="expression" dxfId="6708" priority="1613">
      <formula>AG33&gt;40</formula>
    </cfRule>
  </conditionalFormatting>
  <conditionalFormatting sqref="AG35">
    <cfRule type="cellIs" dxfId="6707" priority="1606" operator="between">
      <formula>80</formula>
      <formula>84.9</formula>
    </cfRule>
    <cfRule type="cellIs" dxfId="6706" priority="1607" operator="between">
      <formula>95.1</formula>
      <formula>100</formula>
    </cfRule>
    <cfRule type="expression" dxfId="6705" priority="1608">
      <formula>AG35&lt;80</formula>
    </cfRule>
    <cfRule type="expression" dxfId="6704" priority="1609">
      <formula>AG35&gt;100</formula>
    </cfRule>
  </conditionalFormatting>
  <conditionalFormatting sqref="AD34">
    <cfRule type="expression" dxfId="6703" priority="1604">
      <formula>AD34&lt;50</formula>
    </cfRule>
    <cfRule type="expression" dxfId="6702" priority="1605">
      <formula>AD34&gt;70</formula>
    </cfRule>
  </conditionalFormatting>
  <conditionalFormatting sqref="AG34">
    <cfRule type="expression" dxfId="6701" priority="1602">
      <formula>AG34&lt;50</formula>
    </cfRule>
    <cfRule type="expression" dxfId="6700" priority="1603">
      <formula>AG34&gt;70</formula>
    </cfRule>
  </conditionalFormatting>
  <conditionalFormatting sqref="AK32 AN32:AO32">
    <cfRule type="cellIs" dxfId="6699" priority="1598" operator="between">
      <formula>20</formula>
      <formula>25.9</formula>
    </cfRule>
    <cfRule type="cellIs" dxfId="6698" priority="1599" operator="between">
      <formula>34.1</formula>
      <formula>35</formula>
    </cfRule>
    <cfRule type="expression" dxfId="6697" priority="1600">
      <formula>AK32&lt;20</formula>
    </cfRule>
    <cfRule type="expression" dxfId="6696" priority="1601">
      <formula>AK32&gt;35</formula>
    </cfRule>
  </conditionalFormatting>
  <conditionalFormatting sqref="AK28:AK29 AN28:AO29">
    <cfRule type="cellIs" dxfId="6695" priority="1594" operator="between">
      <formula>50</formula>
      <formula>54.9</formula>
    </cfRule>
    <cfRule type="cellIs" dxfId="6694" priority="1595" operator="between">
      <formula>65.1</formula>
      <formula>70</formula>
    </cfRule>
    <cfRule type="expression" dxfId="6693" priority="1596">
      <formula>AK28&lt;50</formula>
    </cfRule>
    <cfRule type="expression" dxfId="6692" priority="1597">
      <formula>AK28&gt;70</formula>
    </cfRule>
  </conditionalFormatting>
  <conditionalFormatting sqref="AK33">
    <cfRule type="cellIs" dxfId="6691" priority="1580" operator="between">
      <formula>30</formula>
      <formula>30.9</formula>
    </cfRule>
    <cfRule type="cellIs" dxfId="6690" priority="1581" operator="between">
      <formula>37.1</formula>
      <formula>40</formula>
    </cfRule>
    <cfRule type="expression" dxfId="6689" priority="1582">
      <formula>AK33&lt;30</formula>
    </cfRule>
    <cfRule type="expression" dxfId="6688" priority="1583">
      <formula>AK33&gt;40</formula>
    </cfRule>
  </conditionalFormatting>
  <conditionalFormatting sqref="AN33">
    <cfRule type="cellIs" dxfId="6687" priority="1576" operator="between">
      <formula>30</formula>
      <formula>30.9</formula>
    </cfRule>
    <cfRule type="cellIs" dxfId="6686" priority="1577" operator="between">
      <formula>37.1</formula>
      <formula>40</formula>
    </cfRule>
    <cfRule type="expression" dxfId="6685" priority="1578">
      <formula>AN33&lt;30</formula>
    </cfRule>
    <cfRule type="expression" dxfId="6684" priority="1579">
      <formula>AN33&gt;40</formula>
    </cfRule>
  </conditionalFormatting>
  <conditionalFormatting sqref="AN35">
    <cfRule type="cellIs" dxfId="6683" priority="1572" operator="between">
      <formula>80</formula>
      <formula>84.9</formula>
    </cfRule>
    <cfRule type="cellIs" dxfId="6682" priority="1573" operator="between">
      <formula>95.1</formula>
      <formula>100</formula>
    </cfRule>
    <cfRule type="expression" dxfId="6681" priority="1574">
      <formula>AN35&lt;80</formula>
    </cfRule>
    <cfRule type="expression" dxfId="6680" priority="1575">
      <formula>AN35&gt;100</formula>
    </cfRule>
  </conditionalFormatting>
  <conditionalFormatting sqref="AK34">
    <cfRule type="expression" dxfId="6679" priority="1570">
      <formula>AK34&lt;50</formula>
    </cfRule>
    <cfRule type="expression" dxfId="6678" priority="1571">
      <formula>AK34&gt;70</formula>
    </cfRule>
  </conditionalFormatting>
  <conditionalFormatting sqref="AN34">
    <cfRule type="expression" dxfId="6677" priority="1568">
      <formula>AN34&lt;50</formula>
    </cfRule>
    <cfRule type="expression" dxfId="6676" priority="1569">
      <formula>AN34&gt;70</formula>
    </cfRule>
  </conditionalFormatting>
  <conditionalFormatting sqref="AR32 AU32:AV32">
    <cfRule type="cellIs" dxfId="6675" priority="1564" operator="between">
      <formula>20</formula>
      <formula>25.9</formula>
    </cfRule>
    <cfRule type="cellIs" dxfId="6674" priority="1565" operator="between">
      <formula>34.1</formula>
      <formula>35</formula>
    </cfRule>
    <cfRule type="expression" dxfId="6673" priority="1566">
      <formula>AR32&lt;20</formula>
    </cfRule>
    <cfRule type="expression" dxfId="6672" priority="1567">
      <formula>AR32&gt;35</formula>
    </cfRule>
  </conditionalFormatting>
  <conditionalFormatting sqref="AR28:AR29 AU28:AV29">
    <cfRule type="cellIs" dxfId="6671" priority="1560" operator="between">
      <formula>50</formula>
      <formula>54.9</formula>
    </cfRule>
    <cfRule type="cellIs" dxfId="6670" priority="1561" operator="between">
      <formula>65.1</formula>
      <formula>70</formula>
    </cfRule>
    <cfRule type="expression" dxfId="6669" priority="1562">
      <formula>AR28&lt;50</formula>
    </cfRule>
    <cfRule type="expression" dxfId="6668" priority="1563">
      <formula>AR28&gt;70</formula>
    </cfRule>
  </conditionalFormatting>
  <conditionalFormatting sqref="AR33">
    <cfRule type="cellIs" dxfId="6667" priority="1546" operator="between">
      <formula>30</formula>
      <formula>30.9</formula>
    </cfRule>
    <cfRule type="cellIs" dxfId="6666" priority="1547" operator="between">
      <formula>37.1</formula>
      <formula>40</formula>
    </cfRule>
    <cfRule type="expression" dxfId="6665" priority="1548">
      <formula>AR33&lt;30</formula>
    </cfRule>
    <cfRule type="expression" dxfId="6664" priority="1549">
      <formula>AR33&gt;40</formula>
    </cfRule>
  </conditionalFormatting>
  <conditionalFormatting sqref="AU33">
    <cfRule type="cellIs" dxfId="6663" priority="1542" operator="between">
      <formula>30</formula>
      <formula>30.9</formula>
    </cfRule>
    <cfRule type="cellIs" dxfId="6662" priority="1543" operator="between">
      <formula>37.1</formula>
      <formula>40</formula>
    </cfRule>
    <cfRule type="expression" dxfId="6661" priority="1544">
      <formula>AU33&lt;30</formula>
    </cfRule>
    <cfRule type="expression" dxfId="6660" priority="1545">
      <formula>AU33&gt;40</formula>
    </cfRule>
  </conditionalFormatting>
  <conditionalFormatting sqref="AU35">
    <cfRule type="cellIs" dxfId="6659" priority="1538" operator="between">
      <formula>80</formula>
      <formula>84.9</formula>
    </cfRule>
    <cfRule type="cellIs" dxfId="6658" priority="1539" operator="between">
      <formula>95.1</formula>
      <formula>100</formula>
    </cfRule>
    <cfRule type="expression" dxfId="6657" priority="1540">
      <formula>AU35&lt;80</formula>
    </cfRule>
    <cfRule type="expression" dxfId="6656" priority="1541">
      <formula>AU35&gt;100</formula>
    </cfRule>
  </conditionalFormatting>
  <conditionalFormatting sqref="AR34">
    <cfRule type="expression" dxfId="6655" priority="1536">
      <formula>AR34&lt;50</formula>
    </cfRule>
    <cfRule type="expression" dxfId="6654" priority="1537">
      <formula>AR34&gt;70</formula>
    </cfRule>
  </conditionalFormatting>
  <conditionalFormatting sqref="AU34">
    <cfRule type="expression" dxfId="6653" priority="1534">
      <formula>AU34&lt;50</formula>
    </cfRule>
    <cfRule type="expression" dxfId="6652" priority="1535">
      <formula>AU34&gt;70</formula>
    </cfRule>
  </conditionalFormatting>
  <conditionalFormatting sqref="AY16">
    <cfRule type="cellIs" dxfId="6651" priority="1530" operator="between">
      <formula>130</formula>
      <formula>132.99</formula>
    </cfRule>
    <cfRule type="cellIs" dxfId="6650" priority="1531" operator="between">
      <formula>147.1</formula>
      <formula>150</formula>
    </cfRule>
    <cfRule type="expression" dxfId="6649" priority="1532">
      <formula>AY16&lt;130</formula>
    </cfRule>
    <cfRule type="expression" dxfId="6648" priority="1533">
      <formula>AY16&gt;150</formula>
    </cfRule>
  </conditionalFormatting>
  <conditionalFormatting sqref="AY17">
    <cfRule type="expression" dxfId="6647" priority="1528">
      <formula>AY17&lt;8</formula>
    </cfRule>
    <cfRule type="expression" dxfId="6646" priority="1529">
      <formula>AY17&gt;12</formula>
    </cfRule>
  </conditionalFormatting>
  <conditionalFormatting sqref="AY19">
    <cfRule type="cellIs" dxfId="6645" priority="1525" operator="between">
      <formula>1.6</formula>
      <formula>1.799</formula>
    </cfRule>
    <cfRule type="expression" dxfId="6644" priority="1526">
      <formula>AY19&lt;1.6</formula>
    </cfRule>
    <cfRule type="expression" dxfId="6643" priority="1527">
      <formula>AY19&gt;2.2</formula>
    </cfRule>
  </conditionalFormatting>
  <conditionalFormatting sqref="AY21">
    <cfRule type="cellIs" dxfId="6642" priority="1521" operator="between">
      <formula>15%</formula>
      <formula>16.99%</formula>
    </cfRule>
    <cfRule type="cellIs" dxfId="6641" priority="1522" operator="between">
      <formula>27.01%</formula>
      <formula>30%</formula>
    </cfRule>
    <cfRule type="expression" dxfId="6640" priority="1523">
      <formula>AY21&lt;15%</formula>
    </cfRule>
    <cfRule type="expression" dxfId="6639" priority="1524">
      <formula>AY21&gt;30%</formula>
    </cfRule>
  </conditionalFormatting>
  <conditionalFormatting sqref="AY22">
    <cfRule type="cellIs" dxfId="6638" priority="1517" operator="between">
      <formula>5%</formula>
      <formula>6.99%</formula>
    </cfRule>
    <cfRule type="cellIs" dxfId="6637" priority="1518" operator="between">
      <formula>12.99%</formula>
      <formula>15%</formula>
    </cfRule>
    <cfRule type="expression" dxfId="6636" priority="1519">
      <formula>AY22&lt;5%</formula>
    </cfRule>
    <cfRule type="expression" dxfId="6635" priority="1520">
      <formula>AY22&gt;15%</formula>
    </cfRule>
  </conditionalFormatting>
  <conditionalFormatting sqref="AY6 AY9">
    <cfRule type="cellIs" dxfId="6634" priority="1513" operator="between">
      <formula>20</formula>
      <formula>24.99</formula>
    </cfRule>
    <cfRule type="cellIs" dxfId="6633" priority="1514" operator="between">
      <formula>35.1</formula>
      <formula>40</formula>
    </cfRule>
    <cfRule type="expression" dxfId="6632" priority="1515">
      <formula>AY6&lt;20</formula>
    </cfRule>
    <cfRule type="expression" dxfId="6631" priority="1516">
      <formula>AY6&gt;40</formula>
    </cfRule>
  </conditionalFormatting>
  <conditionalFormatting sqref="AY12 AY14">
    <cfRule type="expression" dxfId="6630" priority="1511" stopIfTrue="1">
      <formula>AY12&gt;80</formula>
    </cfRule>
    <cfRule type="expression" dxfId="6629" priority="1512" stopIfTrue="1">
      <formula>AY12&lt;60</formula>
    </cfRule>
  </conditionalFormatting>
  <conditionalFormatting sqref="AY20">
    <cfRule type="cellIs" dxfId="6628" priority="1507" operator="between">
      <formula>30%</formula>
      <formula>39.99%</formula>
    </cfRule>
    <cfRule type="cellIs" dxfId="6627" priority="1508" operator="between">
      <formula>50.01%</formula>
      <formula>60%</formula>
    </cfRule>
    <cfRule type="expression" dxfId="6626" priority="1509">
      <formula>AY20&lt;30%</formula>
    </cfRule>
    <cfRule type="expression" dxfId="6625" priority="1510">
      <formula>AY20&gt;60%</formula>
    </cfRule>
  </conditionalFormatting>
  <conditionalFormatting sqref="AY18">
    <cfRule type="cellIs" dxfId="6624" priority="1504" operator="between">
      <formula>16.1</formula>
      <formula>18</formula>
    </cfRule>
    <cfRule type="expression" dxfId="6623" priority="1505">
      <formula>AY18&lt;12</formula>
    </cfRule>
    <cfRule type="expression" dxfId="6622" priority="1506">
      <formula>AY18&gt;18</formula>
    </cfRule>
  </conditionalFormatting>
  <conditionalFormatting sqref="AY23">
    <cfRule type="cellIs" dxfId="6621" priority="1500" operator="between">
      <formula>0.5%</formula>
      <formula>0.599%</formula>
    </cfRule>
    <cfRule type="cellIs" dxfId="6620" priority="1501" operator="between">
      <formula>1.41%</formula>
      <formula>1.5%</formula>
    </cfRule>
    <cfRule type="expression" dxfId="6619" priority="1502">
      <formula>AY23&lt;0.5%</formula>
    </cfRule>
    <cfRule type="expression" dxfId="6618" priority="1503">
      <formula>AY23&gt;1.5%</formula>
    </cfRule>
  </conditionalFormatting>
  <conditionalFormatting sqref="I56">
    <cfRule type="cellIs" dxfId="6617" priority="1496" operator="between">
      <formula>15%</formula>
      <formula>16.99%</formula>
    </cfRule>
    <cfRule type="cellIs" dxfId="6616" priority="1497" operator="between">
      <formula>27.01%</formula>
      <formula>30%</formula>
    </cfRule>
    <cfRule type="expression" dxfId="6615" priority="1498">
      <formula>I56&lt;15%</formula>
    </cfRule>
    <cfRule type="expression" dxfId="6614" priority="1499">
      <formula>I56&gt;30%</formula>
    </cfRule>
  </conditionalFormatting>
  <conditionalFormatting sqref="I52">
    <cfRule type="expression" dxfId="6613" priority="1494">
      <formula>I52&lt;8</formula>
    </cfRule>
    <cfRule type="expression" dxfId="6612" priority="1495">
      <formula>I52&gt;12</formula>
    </cfRule>
  </conditionalFormatting>
  <conditionalFormatting sqref="I54">
    <cfRule type="cellIs" dxfId="6611" priority="1490" operator="between">
      <formula>2</formula>
      <formula>2.199</formula>
    </cfRule>
    <cfRule type="cellIs" dxfId="6610" priority="1491" operator="between">
      <formula>2.41</formula>
      <formula>2.5</formula>
    </cfRule>
    <cfRule type="expression" dxfId="6609" priority="1492">
      <formula>I54&lt;2</formula>
    </cfRule>
    <cfRule type="expression" dxfId="6608" priority="1493">
      <formula>I54&gt;2.5</formula>
    </cfRule>
  </conditionalFormatting>
  <conditionalFormatting sqref="I57">
    <cfRule type="expression" dxfId="6607" priority="1488">
      <formula>I57&lt;5%</formula>
    </cfRule>
    <cfRule type="expression" dxfId="6606" priority="1489">
      <formula>I57&gt;15%</formula>
    </cfRule>
  </conditionalFormatting>
  <conditionalFormatting sqref="I57">
    <cfRule type="cellIs" dxfId="6605" priority="1486" operator="between">
      <formula>5%</formula>
      <formula>6.99%</formula>
    </cfRule>
    <cfRule type="cellIs" dxfId="6604" priority="1487" operator="between">
      <formula>13.1%</formula>
      <formula>15%</formula>
    </cfRule>
  </conditionalFormatting>
  <conditionalFormatting sqref="I43 I45">
    <cfRule type="cellIs" dxfId="6603" priority="1482" operator="between">
      <formula>60</formula>
      <formula>64.99</formula>
    </cfRule>
    <cfRule type="cellIs" dxfId="6602" priority="1483" operator="between">
      <formula>75.1</formula>
      <formula>80</formula>
    </cfRule>
    <cfRule type="expression" dxfId="6601" priority="1484">
      <formula>I43&lt;60</formula>
    </cfRule>
    <cfRule type="expression" dxfId="6600" priority="1485">
      <formula>I43&gt;80</formula>
    </cfRule>
  </conditionalFormatting>
  <conditionalFormatting sqref="I53">
    <cfRule type="cellIs" dxfId="6599" priority="1479" operator="between">
      <formula>8.01</formula>
      <formula>10</formula>
    </cfRule>
    <cfRule type="expression" dxfId="6598" priority="1480">
      <formula>I53&lt;6</formula>
    </cfRule>
    <cfRule type="expression" dxfId="6597" priority="1481">
      <formula>I53&gt;10</formula>
    </cfRule>
  </conditionalFormatting>
  <conditionalFormatting sqref="I55">
    <cfRule type="cellIs" dxfId="6596" priority="1475" operator="between">
      <formula>30%</formula>
      <formula>39.99%</formula>
    </cfRule>
    <cfRule type="cellIs" dxfId="6595" priority="1476" operator="between">
      <formula>50.01%</formula>
      <formula>60%</formula>
    </cfRule>
    <cfRule type="expression" dxfId="6594" priority="1477">
      <formula>I55&lt;30%</formula>
    </cfRule>
    <cfRule type="expression" dxfId="6593" priority="1478">
      <formula>I55&gt;60%</formula>
    </cfRule>
  </conditionalFormatting>
  <conditionalFormatting sqref="I47">
    <cfRule type="expression" dxfId="6592" priority="1473">
      <formula>I47&lt;50</formula>
    </cfRule>
    <cfRule type="expression" dxfId="6591" priority="1474">
      <formula>I47&gt;70</formula>
    </cfRule>
  </conditionalFormatting>
  <conditionalFormatting sqref="I49">
    <cfRule type="expression" dxfId="6590" priority="1471">
      <formula>I49&lt;50</formula>
    </cfRule>
    <cfRule type="expression" dxfId="6589" priority="1472">
      <formula>I49&gt;70</formula>
    </cfRule>
  </conditionalFormatting>
  <conditionalFormatting sqref="I51">
    <cfRule type="cellIs" dxfId="6588" priority="1467" operator="between">
      <formula>130</formula>
      <formula>132.99</formula>
    </cfRule>
    <cfRule type="cellIs" dxfId="6587" priority="1468" operator="between">
      <formula>147.1</formula>
      <formula>150</formula>
    </cfRule>
    <cfRule type="expression" dxfId="6586" priority="1469">
      <formula>I51&lt;130</formula>
    </cfRule>
    <cfRule type="expression" dxfId="6585" priority="1470">
      <formula>I51&gt;150</formula>
    </cfRule>
  </conditionalFormatting>
  <conditionalFormatting sqref="I58">
    <cfRule type="cellIs" dxfId="6584" priority="1463" operator="between">
      <formula>0.5%</formula>
      <formula>0.599%</formula>
    </cfRule>
    <cfRule type="cellIs" dxfId="6583" priority="1464" operator="between">
      <formula>1.41%</formula>
      <formula>1.5%</formula>
    </cfRule>
    <cfRule type="expression" dxfId="6582" priority="1465">
      <formula>I58&lt;0.5%</formula>
    </cfRule>
    <cfRule type="expression" dxfId="6581" priority="1466">
      <formula>I58&gt;1.5%</formula>
    </cfRule>
  </conditionalFormatting>
  <conditionalFormatting sqref="P56">
    <cfRule type="cellIs" dxfId="6580" priority="1459" operator="between">
      <formula>15%</formula>
      <formula>16.99%</formula>
    </cfRule>
    <cfRule type="cellIs" dxfId="6579" priority="1460" operator="between">
      <formula>27.01%</formula>
      <formula>30%</formula>
    </cfRule>
    <cfRule type="expression" dxfId="6578" priority="1461">
      <formula>P56&lt;15%</formula>
    </cfRule>
    <cfRule type="expression" dxfId="6577" priority="1462">
      <formula>P56&gt;30%</formula>
    </cfRule>
  </conditionalFormatting>
  <conditionalFormatting sqref="P52">
    <cfRule type="expression" dxfId="6576" priority="1457">
      <formula>P52&lt;8</formula>
    </cfRule>
    <cfRule type="expression" dxfId="6575" priority="1458">
      <formula>P52&gt;12</formula>
    </cfRule>
  </conditionalFormatting>
  <conditionalFormatting sqref="P54">
    <cfRule type="cellIs" dxfId="6574" priority="1453" operator="between">
      <formula>2</formula>
      <formula>2.199</formula>
    </cfRule>
    <cfRule type="cellIs" dxfId="6573" priority="1454" operator="between">
      <formula>2.41</formula>
      <formula>2.5</formula>
    </cfRule>
    <cfRule type="expression" dxfId="6572" priority="1455">
      <formula>P54&lt;2</formula>
    </cfRule>
    <cfRule type="expression" dxfId="6571" priority="1456">
      <formula>P54&gt;2.5</formula>
    </cfRule>
  </conditionalFormatting>
  <conditionalFormatting sqref="P57">
    <cfRule type="expression" dxfId="6570" priority="1451">
      <formula>P57&lt;5%</formula>
    </cfRule>
    <cfRule type="expression" dxfId="6569" priority="1452">
      <formula>P57&gt;15%</formula>
    </cfRule>
  </conditionalFormatting>
  <conditionalFormatting sqref="P57">
    <cfRule type="cellIs" dxfId="6568" priority="1449" operator="between">
      <formula>5%</formula>
      <formula>6.99%</formula>
    </cfRule>
    <cfRule type="cellIs" dxfId="6567" priority="1450" operator="between">
      <formula>13.1%</formula>
      <formula>15%</formula>
    </cfRule>
  </conditionalFormatting>
  <conditionalFormatting sqref="P43 P45">
    <cfRule type="cellIs" dxfId="6566" priority="1445" operator="between">
      <formula>60</formula>
      <formula>64.99</formula>
    </cfRule>
    <cfRule type="cellIs" dxfId="6565" priority="1446" operator="between">
      <formula>75.1</formula>
      <formula>80</formula>
    </cfRule>
    <cfRule type="expression" dxfId="6564" priority="1447">
      <formula>P43&lt;60</formula>
    </cfRule>
    <cfRule type="expression" dxfId="6563" priority="1448">
      <formula>P43&gt;80</formula>
    </cfRule>
  </conditionalFormatting>
  <conditionalFormatting sqref="P53">
    <cfRule type="cellIs" dxfId="6562" priority="1442" operator="between">
      <formula>8.01</formula>
      <formula>10</formula>
    </cfRule>
    <cfRule type="expression" dxfId="6561" priority="1443">
      <formula>P53&lt;6</formula>
    </cfRule>
    <cfRule type="expression" dxfId="6560" priority="1444">
      <formula>P53&gt;10</formula>
    </cfRule>
  </conditionalFormatting>
  <conditionalFormatting sqref="P55">
    <cfRule type="cellIs" dxfId="6559" priority="1438" operator="between">
      <formula>30%</formula>
      <formula>39.99%</formula>
    </cfRule>
    <cfRule type="cellIs" dxfId="6558" priority="1439" operator="between">
      <formula>50.01%</formula>
      <formula>60%</formula>
    </cfRule>
    <cfRule type="expression" dxfId="6557" priority="1440">
      <formula>P55&lt;30%</formula>
    </cfRule>
    <cfRule type="expression" dxfId="6556" priority="1441">
      <formula>P55&gt;60%</formula>
    </cfRule>
  </conditionalFormatting>
  <conditionalFormatting sqref="P47">
    <cfRule type="expression" dxfId="6555" priority="1436">
      <formula>P47&lt;50</formula>
    </cfRule>
    <cfRule type="expression" dxfId="6554" priority="1437">
      <formula>P47&gt;70</formula>
    </cfRule>
  </conditionalFormatting>
  <conditionalFormatting sqref="P49">
    <cfRule type="expression" dxfId="6553" priority="1434">
      <formula>P49&lt;50</formula>
    </cfRule>
    <cfRule type="expression" dxfId="6552" priority="1435">
      <formula>P49&gt;70</formula>
    </cfRule>
  </conditionalFormatting>
  <conditionalFormatting sqref="P51">
    <cfRule type="cellIs" dxfId="6551" priority="1430" operator="between">
      <formula>130</formula>
      <formula>132.99</formula>
    </cfRule>
    <cfRule type="cellIs" dxfId="6550" priority="1431" operator="between">
      <formula>147.1</formula>
      <formula>150</formula>
    </cfRule>
    <cfRule type="expression" dxfId="6549" priority="1432">
      <formula>P51&lt;130</formula>
    </cfRule>
    <cfRule type="expression" dxfId="6548" priority="1433">
      <formula>P51&gt;150</formula>
    </cfRule>
  </conditionalFormatting>
  <conditionalFormatting sqref="P58">
    <cfRule type="cellIs" dxfId="6547" priority="1426" operator="between">
      <formula>0.5%</formula>
      <formula>0.599%</formula>
    </cfRule>
    <cfRule type="cellIs" dxfId="6546" priority="1427" operator="between">
      <formula>1.41%</formula>
      <formula>1.5%</formula>
    </cfRule>
    <cfRule type="expression" dxfId="6545" priority="1428">
      <formula>P58&lt;0.5%</formula>
    </cfRule>
    <cfRule type="expression" dxfId="6544" priority="1429">
      <formula>P58&gt;1.5%</formula>
    </cfRule>
  </conditionalFormatting>
  <conditionalFormatting sqref="W56">
    <cfRule type="cellIs" dxfId="6543" priority="1422" operator="between">
      <formula>15%</formula>
      <formula>16.99%</formula>
    </cfRule>
    <cfRule type="cellIs" dxfId="6542" priority="1423" operator="between">
      <formula>27.01%</formula>
      <formula>30%</formula>
    </cfRule>
    <cfRule type="expression" dxfId="6541" priority="1424">
      <formula>W56&lt;15%</formula>
    </cfRule>
    <cfRule type="expression" dxfId="6540" priority="1425">
      <formula>W56&gt;30%</formula>
    </cfRule>
  </conditionalFormatting>
  <conditionalFormatting sqref="W52">
    <cfRule type="expression" dxfId="6539" priority="1420">
      <formula>W52&lt;8</formula>
    </cfRule>
    <cfRule type="expression" dxfId="6538" priority="1421">
      <formula>W52&gt;12</formula>
    </cfRule>
  </conditionalFormatting>
  <conditionalFormatting sqref="W54">
    <cfRule type="cellIs" dxfId="6537" priority="1416" operator="between">
      <formula>2</formula>
      <formula>2.199</formula>
    </cfRule>
    <cfRule type="cellIs" dxfId="6536" priority="1417" operator="between">
      <formula>2.41</formula>
      <formula>2.5</formula>
    </cfRule>
    <cfRule type="expression" dxfId="6535" priority="1418">
      <formula>W54&lt;2</formula>
    </cfRule>
    <cfRule type="expression" dxfId="6534" priority="1419">
      <formula>W54&gt;2.5</formula>
    </cfRule>
  </conditionalFormatting>
  <conditionalFormatting sqref="W57">
    <cfRule type="expression" dxfId="6533" priority="1414">
      <formula>W57&lt;5%</formula>
    </cfRule>
    <cfRule type="expression" dxfId="6532" priority="1415">
      <formula>W57&gt;15%</formula>
    </cfRule>
  </conditionalFormatting>
  <conditionalFormatting sqref="W57">
    <cfRule type="cellIs" dxfId="6531" priority="1412" operator="between">
      <formula>5%</formula>
      <formula>6.99%</formula>
    </cfRule>
    <cfRule type="cellIs" dxfId="6530" priority="1413" operator="between">
      <formula>13.1%</formula>
      <formula>15%</formula>
    </cfRule>
  </conditionalFormatting>
  <conditionalFormatting sqref="W43 W45">
    <cfRule type="cellIs" dxfId="6529" priority="1408" operator="between">
      <formula>60</formula>
      <formula>64.99</formula>
    </cfRule>
    <cfRule type="cellIs" dxfId="6528" priority="1409" operator="between">
      <formula>75.1</formula>
      <formula>80</formula>
    </cfRule>
    <cfRule type="expression" dxfId="6527" priority="1410">
      <formula>W43&lt;60</formula>
    </cfRule>
    <cfRule type="expression" dxfId="6526" priority="1411">
      <formula>W43&gt;80</formula>
    </cfRule>
  </conditionalFormatting>
  <conditionalFormatting sqref="W53">
    <cfRule type="cellIs" dxfId="6525" priority="1405" operator="between">
      <formula>8.01</formula>
      <formula>10</formula>
    </cfRule>
    <cfRule type="expression" dxfId="6524" priority="1406">
      <formula>W53&lt;6</formula>
    </cfRule>
    <cfRule type="expression" dxfId="6523" priority="1407">
      <formula>W53&gt;10</formula>
    </cfRule>
  </conditionalFormatting>
  <conditionalFormatting sqref="W55">
    <cfRule type="cellIs" dxfId="6522" priority="1401" operator="between">
      <formula>30%</formula>
      <formula>39.99%</formula>
    </cfRule>
    <cfRule type="cellIs" dxfId="6521" priority="1402" operator="between">
      <formula>50.01%</formula>
      <formula>60%</formula>
    </cfRule>
    <cfRule type="expression" dxfId="6520" priority="1403">
      <formula>W55&lt;30%</formula>
    </cfRule>
    <cfRule type="expression" dxfId="6519" priority="1404">
      <formula>W55&gt;60%</formula>
    </cfRule>
  </conditionalFormatting>
  <conditionalFormatting sqref="W47">
    <cfRule type="expression" dxfId="6518" priority="1399">
      <formula>W47&lt;50</formula>
    </cfRule>
    <cfRule type="expression" dxfId="6517" priority="1400">
      <formula>W47&gt;70</formula>
    </cfRule>
  </conditionalFormatting>
  <conditionalFormatting sqref="W49">
    <cfRule type="expression" dxfId="6516" priority="1397">
      <formula>W49&lt;50</formula>
    </cfRule>
    <cfRule type="expression" dxfId="6515" priority="1398">
      <formula>W49&gt;70</formula>
    </cfRule>
  </conditionalFormatting>
  <conditionalFormatting sqref="W51">
    <cfRule type="cellIs" dxfId="6514" priority="1393" operator="between">
      <formula>130</formula>
      <formula>132.99</formula>
    </cfRule>
    <cfRule type="cellIs" dxfId="6513" priority="1394" operator="between">
      <formula>147.1</formula>
      <formula>150</formula>
    </cfRule>
    <cfRule type="expression" dxfId="6512" priority="1395">
      <formula>W51&lt;130</formula>
    </cfRule>
    <cfRule type="expression" dxfId="6511" priority="1396">
      <formula>W51&gt;150</formula>
    </cfRule>
  </conditionalFormatting>
  <conditionalFormatting sqref="W58">
    <cfRule type="cellIs" dxfId="6510" priority="1389" operator="between">
      <formula>0.5%</formula>
      <formula>0.599%</formula>
    </cfRule>
    <cfRule type="cellIs" dxfId="6509" priority="1390" operator="between">
      <formula>1.41%</formula>
      <formula>1.5%</formula>
    </cfRule>
    <cfRule type="expression" dxfId="6508" priority="1391">
      <formula>W58&lt;0.5%</formula>
    </cfRule>
    <cfRule type="expression" dxfId="6507" priority="1392">
      <formula>W58&gt;1.5%</formula>
    </cfRule>
  </conditionalFormatting>
  <conditionalFormatting sqref="AD56">
    <cfRule type="cellIs" dxfId="6506" priority="1385" operator="between">
      <formula>15%</formula>
      <formula>16.99%</formula>
    </cfRule>
    <cfRule type="cellIs" dxfId="6505" priority="1386" operator="between">
      <formula>27.01%</formula>
      <formula>30%</formula>
    </cfRule>
    <cfRule type="expression" dxfId="6504" priority="1387">
      <formula>AD56&lt;15%</formula>
    </cfRule>
    <cfRule type="expression" dxfId="6503" priority="1388">
      <formula>AD56&gt;30%</formula>
    </cfRule>
  </conditionalFormatting>
  <conditionalFormatting sqref="AD52">
    <cfRule type="expression" dxfId="6502" priority="1383">
      <formula>AD52&lt;8</formula>
    </cfRule>
    <cfRule type="expression" dxfId="6501" priority="1384">
      <formula>AD52&gt;12</formula>
    </cfRule>
  </conditionalFormatting>
  <conditionalFormatting sqref="AD54">
    <cfRule type="cellIs" dxfId="6500" priority="1379" operator="between">
      <formula>2</formula>
      <formula>2.199</formula>
    </cfRule>
    <cfRule type="cellIs" dxfId="6499" priority="1380" operator="between">
      <formula>2.41</formula>
      <formula>2.5</formula>
    </cfRule>
    <cfRule type="expression" dxfId="6498" priority="1381">
      <formula>AD54&lt;2</formula>
    </cfRule>
    <cfRule type="expression" dxfId="6497" priority="1382">
      <formula>AD54&gt;2.5</formula>
    </cfRule>
  </conditionalFormatting>
  <conditionalFormatting sqref="AD57">
    <cfRule type="expression" dxfId="6496" priority="1377">
      <formula>AD57&lt;5%</formula>
    </cfRule>
    <cfRule type="expression" dxfId="6495" priority="1378">
      <formula>AD57&gt;15%</formula>
    </cfRule>
  </conditionalFormatting>
  <conditionalFormatting sqref="AD57">
    <cfRule type="cellIs" dxfId="6494" priority="1375" operator="between">
      <formula>5%</formula>
      <formula>6.99%</formula>
    </cfRule>
    <cfRule type="cellIs" dxfId="6493" priority="1376" operator="between">
      <formula>13.1%</formula>
      <formula>15%</formula>
    </cfRule>
  </conditionalFormatting>
  <conditionalFormatting sqref="AD43 AD45">
    <cfRule type="cellIs" dxfId="6492" priority="1371" operator="between">
      <formula>60</formula>
      <formula>64.99</formula>
    </cfRule>
    <cfRule type="cellIs" dxfId="6491" priority="1372" operator="between">
      <formula>75.1</formula>
      <formula>80</formula>
    </cfRule>
    <cfRule type="expression" dxfId="6490" priority="1373">
      <formula>AD43&lt;60</formula>
    </cfRule>
    <cfRule type="expression" dxfId="6489" priority="1374">
      <formula>AD43&gt;80</formula>
    </cfRule>
  </conditionalFormatting>
  <conditionalFormatting sqref="AD53">
    <cfRule type="cellIs" dxfId="6488" priority="1368" operator="between">
      <formula>8.01</formula>
      <formula>10</formula>
    </cfRule>
    <cfRule type="expression" dxfId="6487" priority="1369">
      <formula>AD53&lt;6</formula>
    </cfRule>
    <cfRule type="expression" dxfId="6486" priority="1370">
      <formula>AD53&gt;10</formula>
    </cfRule>
  </conditionalFormatting>
  <conditionalFormatting sqref="AD55">
    <cfRule type="cellIs" dxfId="6485" priority="1364" operator="between">
      <formula>30%</formula>
      <formula>39.99%</formula>
    </cfRule>
    <cfRule type="cellIs" dxfId="6484" priority="1365" operator="between">
      <formula>50.01%</formula>
      <formula>60%</formula>
    </cfRule>
    <cfRule type="expression" dxfId="6483" priority="1366">
      <formula>AD55&lt;30%</formula>
    </cfRule>
    <cfRule type="expression" dxfId="6482" priority="1367">
      <formula>AD55&gt;60%</formula>
    </cfRule>
  </conditionalFormatting>
  <conditionalFormatting sqref="AD47">
    <cfRule type="expression" dxfId="6481" priority="1362">
      <formula>AD47&lt;50</formula>
    </cfRule>
    <cfRule type="expression" dxfId="6480" priority="1363">
      <formula>AD47&gt;70</formula>
    </cfRule>
  </conditionalFormatting>
  <conditionalFormatting sqref="AD49">
    <cfRule type="expression" dxfId="6479" priority="1360">
      <formula>AD49&lt;50</formula>
    </cfRule>
    <cfRule type="expression" dxfId="6478" priority="1361">
      <formula>AD49&gt;70</formula>
    </cfRule>
  </conditionalFormatting>
  <conditionalFormatting sqref="AD51">
    <cfRule type="cellIs" dxfId="6477" priority="1356" operator="between">
      <formula>130</formula>
      <formula>132.99</formula>
    </cfRule>
    <cfRule type="cellIs" dxfId="6476" priority="1357" operator="between">
      <formula>147.1</formula>
      <formula>150</formula>
    </cfRule>
    <cfRule type="expression" dxfId="6475" priority="1358">
      <formula>AD51&lt;130</formula>
    </cfRule>
    <cfRule type="expression" dxfId="6474" priority="1359">
      <formula>AD51&gt;150</formula>
    </cfRule>
  </conditionalFormatting>
  <conditionalFormatting sqref="AD58">
    <cfRule type="cellIs" dxfId="6473" priority="1352" operator="between">
      <formula>0.5%</formula>
      <formula>0.599%</formula>
    </cfRule>
    <cfRule type="cellIs" dxfId="6472" priority="1353" operator="between">
      <formula>1.41%</formula>
      <formula>1.5%</formula>
    </cfRule>
    <cfRule type="expression" dxfId="6471" priority="1354">
      <formula>AD58&lt;0.5%</formula>
    </cfRule>
    <cfRule type="expression" dxfId="6470" priority="1355">
      <formula>AD58&gt;1.5%</formula>
    </cfRule>
  </conditionalFormatting>
  <conditionalFormatting sqref="AK56">
    <cfRule type="cellIs" dxfId="6469" priority="1348" operator="between">
      <formula>15%</formula>
      <formula>16.99%</formula>
    </cfRule>
    <cfRule type="cellIs" dxfId="6468" priority="1349" operator="between">
      <formula>27.01%</formula>
      <formula>30%</formula>
    </cfRule>
    <cfRule type="expression" dxfId="6467" priority="1350">
      <formula>AK56&lt;15%</formula>
    </cfRule>
    <cfRule type="expression" dxfId="6466" priority="1351">
      <formula>AK56&gt;30%</formula>
    </cfRule>
  </conditionalFormatting>
  <conditionalFormatting sqref="AK52">
    <cfRule type="expression" dxfId="6465" priority="1346">
      <formula>AK52&lt;8</formula>
    </cfRule>
    <cfRule type="expression" dxfId="6464" priority="1347">
      <formula>AK52&gt;12</formula>
    </cfRule>
  </conditionalFormatting>
  <conditionalFormatting sqref="AK54">
    <cfRule type="cellIs" dxfId="6463" priority="1342" operator="between">
      <formula>2</formula>
      <formula>2.199</formula>
    </cfRule>
    <cfRule type="cellIs" dxfId="6462" priority="1343" operator="between">
      <formula>2.41</formula>
      <formula>2.5</formula>
    </cfRule>
    <cfRule type="expression" dxfId="6461" priority="1344">
      <formula>AK54&lt;2</formula>
    </cfRule>
    <cfRule type="expression" dxfId="6460" priority="1345">
      <formula>AK54&gt;2.5</formula>
    </cfRule>
  </conditionalFormatting>
  <conditionalFormatting sqref="AK57">
    <cfRule type="expression" dxfId="6459" priority="1340">
      <formula>AK57&lt;5%</formula>
    </cfRule>
    <cfRule type="expression" dxfId="6458" priority="1341">
      <formula>AK57&gt;15%</formula>
    </cfRule>
  </conditionalFormatting>
  <conditionalFormatting sqref="AK57">
    <cfRule type="cellIs" dxfId="6457" priority="1338" operator="between">
      <formula>5%</formula>
      <formula>6.99%</formula>
    </cfRule>
    <cfRule type="cellIs" dxfId="6456" priority="1339" operator="between">
      <formula>13.1%</formula>
      <formula>15%</formula>
    </cfRule>
  </conditionalFormatting>
  <conditionalFormatting sqref="AK43 AK45">
    <cfRule type="cellIs" dxfId="6455" priority="1334" operator="between">
      <formula>60</formula>
      <formula>64.99</formula>
    </cfRule>
    <cfRule type="cellIs" dxfId="6454" priority="1335" operator="between">
      <formula>75.1</formula>
      <formula>80</formula>
    </cfRule>
    <cfRule type="expression" dxfId="6453" priority="1336">
      <formula>AK43&lt;60</formula>
    </cfRule>
    <cfRule type="expression" dxfId="6452" priority="1337">
      <formula>AK43&gt;80</formula>
    </cfRule>
  </conditionalFormatting>
  <conditionalFormatting sqref="AK53">
    <cfRule type="cellIs" dxfId="6451" priority="1331" operator="between">
      <formula>8.01</formula>
      <formula>10</formula>
    </cfRule>
    <cfRule type="expression" dxfId="6450" priority="1332">
      <formula>AK53&lt;6</formula>
    </cfRule>
    <cfRule type="expression" dxfId="6449" priority="1333">
      <formula>AK53&gt;10</formula>
    </cfRule>
  </conditionalFormatting>
  <conditionalFormatting sqref="AK55">
    <cfRule type="cellIs" dxfId="6448" priority="1327" operator="between">
      <formula>30%</formula>
      <formula>39.99%</formula>
    </cfRule>
    <cfRule type="cellIs" dxfId="6447" priority="1328" operator="between">
      <formula>50.01%</formula>
      <formula>60%</formula>
    </cfRule>
    <cfRule type="expression" dxfId="6446" priority="1329">
      <formula>AK55&lt;30%</formula>
    </cfRule>
    <cfRule type="expression" dxfId="6445" priority="1330">
      <formula>AK55&gt;60%</formula>
    </cfRule>
  </conditionalFormatting>
  <conditionalFormatting sqref="AK47">
    <cfRule type="expression" dxfId="6444" priority="1325">
      <formula>AK47&lt;50</formula>
    </cfRule>
    <cfRule type="expression" dxfId="6443" priority="1326">
      <formula>AK47&gt;70</formula>
    </cfRule>
  </conditionalFormatting>
  <conditionalFormatting sqref="AK49">
    <cfRule type="expression" dxfId="6442" priority="1323">
      <formula>AK49&lt;50</formula>
    </cfRule>
    <cfRule type="expression" dxfId="6441" priority="1324">
      <formula>AK49&gt;70</formula>
    </cfRule>
  </conditionalFormatting>
  <conditionalFormatting sqref="AK51">
    <cfRule type="cellIs" dxfId="6440" priority="1319" operator="between">
      <formula>130</formula>
      <formula>132.99</formula>
    </cfRule>
    <cfRule type="cellIs" dxfId="6439" priority="1320" operator="between">
      <formula>147.1</formula>
      <formula>150</formula>
    </cfRule>
    <cfRule type="expression" dxfId="6438" priority="1321">
      <formula>AK51&lt;130</formula>
    </cfRule>
    <cfRule type="expression" dxfId="6437" priority="1322">
      <formula>AK51&gt;150</formula>
    </cfRule>
  </conditionalFormatting>
  <conditionalFormatting sqref="AK58">
    <cfRule type="cellIs" dxfId="6436" priority="1315" operator="between">
      <formula>0.5%</formula>
      <formula>0.599%</formula>
    </cfRule>
    <cfRule type="cellIs" dxfId="6435" priority="1316" operator="between">
      <formula>1.41%</formula>
      <formula>1.5%</formula>
    </cfRule>
    <cfRule type="expression" dxfId="6434" priority="1317">
      <formula>AK58&lt;0.5%</formula>
    </cfRule>
    <cfRule type="expression" dxfId="6433" priority="1318">
      <formula>AK58&gt;1.5%</formula>
    </cfRule>
  </conditionalFormatting>
  <conditionalFormatting sqref="AR56">
    <cfRule type="cellIs" dxfId="6432" priority="1311" operator="between">
      <formula>15%</formula>
      <formula>16.99%</formula>
    </cfRule>
    <cfRule type="cellIs" dxfId="6431" priority="1312" operator="between">
      <formula>27.01%</formula>
      <formula>30%</formula>
    </cfRule>
    <cfRule type="expression" dxfId="6430" priority="1313">
      <formula>AR56&lt;15%</formula>
    </cfRule>
    <cfRule type="expression" dxfId="6429" priority="1314">
      <formula>AR56&gt;30%</formula>
    </cfRule>
  </conditionalFormatting>
  <conditionalFormatting sqref="AR52">
    <cfRule type="expression" dxfId="6428" priority="1309">
      <formula>AR52&lt;8</formula>
    </cfRule>
    <cfRule type="expression" dxfId="6427" priority="1310">
      <formula>AR52&gt;12</formula>
    </cfRule>
  </conditionalFormatting>
  <conditionalFormatting sqref="AR54">
    <cfRule type="cellIs" dxfId="6426" priority="1305" operator="between">
      <formula>2</formula>
      <formula>2.199</formula>
    </cfRule>
    <cfRule type="cellIs" dxfId="6425" priority="1306" operator="between">
      <formula>2.41</formula>
      <formula>2.5</formula>
    </cfRule>
    <cfRule type="expression" dxfId="6424" priority="1307">
      <formula>AR54&lt;2</formula>
    </cfRule>
    <cfRule type="expression" dxfId="6423" priority="1308">
      <formula>AR54&gt;2.5</formula>
    </cfRule>
  </conditionalFormatting>
  <conditionalFormatting sqref="AR57">
    <cfRule type="expression" dxfId="6422" priority="1303">
      <formula>AR57&lt;5%</formula>
    </cfRule>
    <cfRule type="expression" dxfId="6421" priority="1304">
      <formula>AR57&gt;15%</formula>
    </cfRule>
  </conditionalFormatting>
  <conditionalFormatting sqref="AR57">
    <cfRule type="cellIs" dxfId="6420" priority="1301" operator="between">
      <formula>5%</formula>
      <formula>6.99%</formula>
    </cfRule>
    <cfRule type="cellIs" dxfId="6419" priority="1302" operator="between">
      <formula>13.1%</formula>
      <formula>15%</formula>
    </cfRule>
  </conditionalFormatting>
  <conditionalFormatting sqref="AR43 AR45">
    <cfRule type="cellIs" dxfId="6418" priority="1297" operator="between">
      <formula>60</formula>
      <formula>64.99</formula>
    </cfRule>
    <cfRule type="cellIs" dxfId="6417" priority="1298" operator="between">
      <formula>75.1</formula>
      <formula>80</formula>
    </cfRule>
    <cfRule type="expression" dxfId="6416" priority="1299">
      <formula>AR43&lt;60</formula>
    </cfRule>
    <cfRule type="expression" dxfId="6415" priority="1300">
      <formula>AR43&gt;80</formula>
    </cfRule>
  </conditionalFormatting>
  <conditionalFormatting sqref="AR53">
    <cfRule type="cellIs" dxfId="6414" priority="1294" operator="between">
      <formula>8.01</formula>
      <formula>10</formula>
    </cfRule>
    <cfRule type="expression" dxfId="6413" priority="1295">
      <formula>AR53&lt;6</formula>
    </cfRule>
    <cfRule type="expression" dxfId="6412" priority="1296">
      <formula>AR53&gt;10</formula>
    </cfRule>
  </conditionalFormatting>
  <conditionalFormatting sqref="AR55">
    <cfRule type="cellIs" dxfId="6411" priority="1290" operator="between">
      <formula>30%</formula>
      <formula>39.99%</formula>
    </cfRule>
    <cfRule type="cellIs" dxfId="6410" priority="1291" operator="between">
      <formula>50.01%</formula>
      <formula>60%</formula>
    </cfRule>
    <cfRule type="expression" dxfId="6409" priority="1292">
      <formula>AR55&lt;30%</formula>
    </cfRule>
    <cfRule type="expression" dxfId="6408" priority="1293">
      <formula>AR55&gt;60%</formula>
    </cfRule>
  </conditionalFormatting>
  <conditionalFormatting sqref="AR47">
    <cfRule type="expression" dxfId="6407" priority="1288">
      <formula>AR47&lt;50</formula>
    </cfRule>
    <cfRule type="expression" dxfId="6406" priority="1289">
      <formula>AR47&gt;70</formula>
    </cfRule>
  </conditionalFormatting>
  <conditionalFormatting sqref="AR49">
    <cfRule type="expression" dxfId="6405" priority="1286">
      <formula>AR49&lt;50</formula>
    </cfRule>
    <cfRule type="expression" dxfId="6404" priority="1287">
      <formula>AR49&gt;70</formula>
    </cfRule>
  </conditionalFormatting>
  <conditionalFormatting sqref="AR51">
    <cfRule type="cellIs" dxfId="6403" priority="1282" operator="between">
      <formula>130</formula>
      <formula>132.99</formula>
    </cfRule>
    <cfRule type="cellIs" dxfId="6402" priority="1283" operator="between">
      <formula>147.1</formula>
      <formula>150</formula>
    </cfRule>
    <cfRule type="expression" dxfId="6401" priority="1284">
      <formula>AR51&lt;130</formula>
    </cfRule>
    <cfRule type="expression" dxfId="6400" priority="1285">
      <formula>AR51&gt;150</formula>
    </cfRule>
  </conditionalFormatting>
  <conditionalFormatting sqref="AR58">
    <cfRule type="cellIs" dxfId="6399" priority="1278" operator="between">
      <formula>0.5%</formula>
      <formula>0.599%</formula>
    </cfRule>
    <cfRule type="cellIs" dxfId="6398" priority="1279" operator="between">
      <formula>1.41%</formula>
      <formula>1.5%</formula>
    </cfRule>
    <cfRule type="expression" dxfId="6397" priority="1280">
      <formula>AR58&lt;0.5%</formula>
    </cfRule>
    <cfRule type="expression" dxfId="6396" priority="1281">
      <formula>AR58&gt;1.5%</formula>
    </cfRule>
  </conditionalFormatting>
  <conditionalFormatting sqref="AY56">
    <cfRule type="cellIs" dxfId="6395" priority="1274" operator="between">
      <formula>15%</formula>
      <formula>16.99%</formula>
    </cfRule>
    <cfRule type="cellIs" dxfId="6394" priority="1275" operator="between">
      <formula>27.01%</formula>
      <formula>30%</formula>
    </cfRule>
    <cfRule type="expression" dxfId="6393" priority="1276">
      <formula>AY56&lt;15%</formula>
    </cfRule>
    <cfRule type="expression" dxfId="6392" priority="1277">
      <formula>AY56&gt;30%</formula>
    </cfRule>
  </conditionalFormatting>
  <conditionalFormatting sqref="AY52">
    <cfRule type="expression" dxfId="6391" priority="1272">
      <formula>AY52&lt;8</formula>
    </cfRule>
    <cfRule type="expression" dxfId="6390" priority="1273">
      <formula>AY52&gt;12</formula>
    </cfRule>
  </conditionalFormatting>
  <conditionalFormatting sqref="AY54">
    <cfRule type="cellIs" dxfId="6389" priority="1268" operator="between">
      <formula>2</formula>
      <formula>2.199</formula>
    </cfRule>
    <cfRule type="cellIs" dxfId="6388" priority="1269" operator="between">
      <formula>2.41</formula>
      <formula>2.5</formula>
    </cfRule>
    <cfRule type="expression" dxfId="6387" priority="1270">
      <formula>AY54&lt;2</formula>
    </cfRule>
    <cfRule type="expression" dxfId="6386" priority="1271">
      <formula>AY54&gt;2.5</formula>
    </cfRule>
  </conditionalFormatting>
  <conditionalFormatting sqref="AY57">
    <cfRule type="expression" dxfId="6385" priority="1266">
      <formula>AY57&lt;5%</formula>
    </cfRule>
    <cfRule type="expression" dxfId="6384" priority="1267">
      <formula>AY57&gt;15%</formula>
    </cfRule>
  </conditionalFormatting>
  <conditionalFormatting sqref="AY57">
    <cfRule type="cellIs" dxfId="6383" priority="1264" operator="between">
      <formula>5%</formula>
      <formula>6.99%</formula>
    </cfRule>
    <cfRule type="cellIs" dxfId="6382" priority="1265" operator="between">
      <formula>13.1%</formula>
      <formula>15%</formula>
    </cfRule>
  </conditionalFormatting>
  <conditionalFormatting sqref="AY43 AY45">
    <cfRule type="cellIs" dxfId="6381" priority="1260" operator="between">
      <formula>60</formula>
      <formula>64.99</formula>
    </cfRule>
    <cfRule type="cellIs" dxfId="6380" priority="1261" operator="between">
      <formula>75.1</formula>
      <formula>80</formula>
    </cfRule>
    <cfRule type="expression" dxfId="6379" priority="1262">
      <formula>AY43&lt;60</formula>
    </cfRule>
    <cfRule type="expression" dxfId="6378" priority="1263">
      <formula>AY43&gt;80</formula>
    </cfRule>
  </conditionalFormatting>
  <conditionalFormatting sqref="AY53">
    <cfRule type="cellIs" dxfId="6377" priority="1257" operator="between">
      <formula>8.01</formula>
      <formula>10</formula>
    </cfRule>
    <cfRule type="expression" dxfId="6376" priority="1258">
      <formula>AY53&lt;6</formula>
    </cfRule>
    <cfRule type="expression" dxfId="6375" priority="1259">
      <formula>AY53&gt;10</formula>
    </cfRule>
  </conditionalFormatting>
  <conditionalFormatting sqref="AY55">
    <cfRule type="cellIs" dxfId="6374" priority="1253" operator="between">
      <formula>30%</formula>
      <formula>39.99%</formula>
    </cfRule>
    <cfRule type="cellIs" dxfId="6373" priority="1254" operator="between">
      <formula>50.01%</formula>
      <formula>60%</formula>
    </cfRule>
    <cfRule type="expression" dxfId="6372" priority="1255">
      <formula>AY55&lt;30%</formula>
    </cfRule>
    <cfRule type="expression" dxfId="6371" priority="1256">
      <formula>AY55&gt;60%</formula>
    </cfRule>
  </conditionalFormatting>
  <conditionalFormatting sqref="AY47">
    <cfRule type="expression" dxfId="6370" priority="1251">
      <formula>AY47&lt;50</formula>
    </cfRule>
    <cfRule type="expression" dxfId="6369" priority="1252">
      <formula>AY47&gt;70</formula>
    </cfRule>
  </conditionalFormatting>
  <conditionalFormatting sqref="AY49">
    <cfRule type="expression" dxfId="6368" priority="1249">
      <formula>AY49&lt;50</formula>
    </cfRule>
    <cfRule type="expression" dxfId="6367" priority="1250">
      <formula>AY49&gt;70</formula>
    </cfRule>
  </conditionalFormatting>
  <conditionalFormatting sqref="AY51">
    <cfRule type="cellIs" dxfId="6366" priority="1245" operator="between">
      <formula>130</formula>
      <formula>132.99</formula>
    </cfRule>
    <cfRule type="cellIs" dxfId="6365" priority="1246" operator="between">
      <formula>147.1</formula>
      <formula>150</formula>
    </cfRule>
    <cfRule type="expression" dxfId="6364" priority="1247">
      <formula>AY51&lt;130</formula>
    </cfRule>
    <cfRule type="expression" dxfId="6363" priority="1248">
      <formula>AY51&gt;150</formula>
    </cfRule>
  </conditionalFormatting>
  <conditionalFormatting sqref="AY58">
    <cfRule type="cellIs" dxfId="6362" priority="1241" operator="between">
      <formula>0.5%</formula>
      <formula>0.599%</formula>
    </cfRule>
    <cfRule type="cellIs" dxfId="6361" priority="1242" operator="between">
      <formula>1.41%</formula>
      <formula>1.5%</formula>
    </cfRule>
    <cfRule type="expression" dxfId="6360" priority="1243">
      <formula>AY58&lt;0.5%</formula>
    </cfRule>
    <cfRule type="expression" dxfId="6359" priority="1244">
      <formula>AY58&gt;1.5%</formula>
    </cfRule>
  </conditionalFormatting>
  <conditionalFormatting sqref="I67 L67:M67 P67 S67:T67 W67 Z67:AA67 AD67 AG67:AH67 AK67 AN67:AO67 AR67 AU67:AV67">
    <cfRule type="cellIs" dxfId="6358" priority="1234" operator="between">
      <formula>22</formula>
      <formula>25.99</formula>
    </cfRule>
    <cfRule type="cellIs" dxfId="6357" priority="1235" operator="between">
      <formula>34.1</formula>
      <formula>35</formula>
    </cfRule>
    <cfRule type="expression" dxfId="6356" priority="1236">
      <formula>I67&lt;22</formula>
    </cfRule>
    <cfRule type="expression" dxfId="6355" priority="1237">
      <formula>I67&gt;35</formula>
    </cfRule>
  </conditionalFormatting>
  <conditionalFormatting sqref="I68 L68:M68 P68 S68:T68 W68 Z68:AA68 AD68 AG68:AH68 AK68 AN68:AO68 AR68 AU68:AV68">
    <cfRule type="cellIs" dxfId="6354" priority="1230" operator="between">
      <formula>30</formula>
      <formula>31.99</formula>
    </cfRule>
    <cfRule type="cellIs" dxfId="6353" priority="1231" operator="between">
      <formula>36.1</formula>
      <formula>38</formula>
    </cfRule>
    <cfRule type="expression" dxfId="6352" priority="1232">
      <formula>I68&lt;30</formula>
    </cfRule>
    <cfRule type="expression" dxfId="6351" priority="1233">
      <formula>I68&gt;38</formula>
    </cfRule>
  </conditionalFormatting>
  <conditionalFormatting sqref="L70">
    <cfRule type="cellIs" dxfId="6350" priority="1226" operator="between">
      <formula>80</formula>
      <formula>84.9</formula>
    </cfRule>
    <cfRule type="cellIs" dxfId="6349" priority="1227" operator="between">
      <formula>95.1</formula>
      <formula>100</formula>
    </cfRule>
    <cfRule type="expression" dxfId="6348" priority="1228">
      <formula>L70&lt;80</formula>
    </cfRule>
    <cfRule type="expression" dxfId="6347" priority="1229">
      <formula>L70&gt;100</formula>
    </cfRule>
  </conditionalFormatting>
  <conditionalFormatting sqref="S70">
    <cfRule type="cellIs" dxfId="6346" priority="1222" operator="between">
      <formula>80</formula>
      <formula>84.9</formula>
    </cfRule>
    <cfRule type="cellIs" dxfId="6345" priority="1223" operator="between">
      <formula>95.1</formula>
      <formula>100</formula>
    </cfRule>
    <cfRule type="expression" dxfId="6344" priority="1224">
      <formula>S70&lt;80</formula>
    </cfRule>
    <cfRule type="expression" dxfId="6343" priority="1225">
      <formula>S70&gt;100</formula>
    </cfRule>
  </conditionalFormatting>
  <conditionalFormatting sqref="Z70">
    <cfRule type="cellIs" dxfId="6342" priority="1218" operator="between">
      <formula>80</formula>
      <formula>84.9</formula>
    </cfRule>
    <cfRule type="cellIs" dxfId="6341" priority="1219" operator="between">
      <formula>95.1</formula>
      <formula>100</formula>
    </cfRule>
    <cfRule type="expression" dxfId="6340" priority="1220">
      <formula>Z70&lt;80</formula>
    </cfRule>
    <cfRule type="expression" dxfId="6339" priority="1221">
      <formula>Z70&gt;100</formula>
    </cfRule>
  </conditionalFormatting>
  <conditionalFormatting sqref="AG70">
    <cfRule type="cellIs" dxfId="6338" priority="1214" operator="between">
      <formula>80</formula>
      <formula>84.9</formula>
    </cfRule>
    <cfRule type="cellIs" dxfId="6337" priority="1215" operator="between">
      <formula>95.1</formula>
      <formula>100</formula>
    </cfRule>
    <cfRule type="expression" dxfId="6336" priority="1216">
      <formula>AG70&lt;80</formula>
    </cfRule>
    <cfRule type="expression" dxfId="6335" priority="1217">
      <formula>AG70&gt;100</formula>
    </cfRule>
  </conditionalFormatting>
  <conditionalFormatting sqref="AN70">
    <cfRule type="cellIs" dxfId="6334" priority="1210" operator="between">
      <formula>80</formula>
      <formula>84.9</formula>
    </cfRule>
    <cfRule type="cellIs" dxfId="6333" priority="1211" operator="between">
      <formula>95.1</formula>
      <formula>100</formula>
    </cfRule>
    <cfRule type="expression" dxfId="6332" priority="1212">
      <formula>AN70&lt;80</formula>
    </cfRule>
    <cfRule type="expression" dxfId="6331" priority="1213">
      <formula>AN70&gt;100</formula>
    </cfRule>
  </conditionalFormatting>
  <conditionalFormatting sqref="AU70">
    <cfRule type="cellIs" dxfId="6330" priority="1206" operator="between">
      <formula>80</formula>
      <formula>84.9</formula>
    </cfRule>
    <cfRule type="cellIs" dxfId="6329" priority="1207" operator="between">
      <formula>95.1</formula>
      <formula>100</formula>
    </cfRule>
    <cfRule type="expression" dxfId="6328" priority="1208">
      <formula>AU70&lt;80</formula>
    </cfRule>
    <cfRule type="expression" dxfId="6327" priority="1209">
      <formula>AU70&gt;100</formula>
    </cfRule>
  </conditionalFormatting>
  <conditionalFormatting sqref="I63:I64 L63:M64 P63:P64 S63:T64 W63:W64 Z63:AA64 AD63:AD64 AG63:AH64 AK63:AK64 AN63:AO64 AR63:AR64 AU63:AV64">
    <cfRule type="cellIs" dxfId="6326" priority="1202" operator="between">
      <formula>50</formula>
      <formula>54.9</formula>
    </cfRule>
    <cfRule type="cellIs" dxfId="6325" priority="1203" operator="between">
      <formula>65.1</formula>
      <formula>70</formula>
    </cfRule>
    <cfRule type="expression" dxfId="6324" priority="1204">
      <formula>I63&lt;50</formula>
    </cfRule>
    <cfRule type="expression" dxfId="6323" priority="1205">
      <formula>I63&gt;70</formula>
    </cfRule>
  </conditionalFormatting>
  <conditionalFormatting sqref="I69">
    <cfRule type="expression" dxfId="6322" priority="1164">
      <formula>I69&lt;50</formula>
    </cfRule>
    <cfRule type="expression" dxfId="6321" priority="1165">
      <formula>I69&gt;70</formula>
    </cfRule>
  </conditionalFormatting>
  <conditionalFormatting sqref="L69">
    <cfRule type="expression" dxfId="6320" priority="1162">
      <formula>L69&lt;50</formula>
    </cfRule>
    <cfRule type="expression" dxfId="6319" priority="1163">
      <formula>L69&gt;70</formula>
    </cfRule>
  </conditionalFormatting>
  <conditionalFormatting sqref="P69">
    <cfRule type="expression" dxfId="6318" priority="1160">
      <formula>P69&lt;50</formula>
    </cfRule>
    <cfRule type="expression" dxfId="6317" priority="1161">
      <formula>P69&gt;70</formula>
    </cfRule>
  </conditionalFormatting>
  <conditionalFormatting sqref="S69">
    <cfRule type="expression" dxfId="6316" priority="1158">
      <formula>S69&lt;50</formula>
    </cfRule>
    <cfRule type="expression" dxfId="6315" priority="1159">
      <formula>S69&gt;70</formula>
    </cfRule>
  </conditionalFormatting>
  <conditionalFormatting sqref="W69">
    <cfRule type="expression" dxfId="6314" priority="1156">
      <formula>W69&lt;50</formula>
    </cfRule>
    <cfRule type="expression" dxfId="6313" priority="1157">
      <formula>W69&gt;70</formula>
    </cfRule>
  </conditionalFormatting>
  <conditionalFormatting sqref="Z69">
    <cfRule type="expression" dxfId="6312" priority="1154">
      <formula>Z69&lt;50</formula>
    </cfRule>
    <cfRule type="expression" dxfId="6311" priority="1155">
      <formula>Z69&gt;70</formula>
    </cfRule>
  </conditionalFormatting>
  <conditionalFormatting sqref="AD69">
    <cfRule type="expression" dxfId="6310" priority="1152">
      <formula>AD69&lt;50</formula>
    </cfRule>
    <cfRule type="expression" dxfId="6309" priority="1153">
      <formula>AD69&gt;70</formula>
    </cfRule>
  </conditionalFormatting>
  <conditionalFormatting sqref="AG69">
    <cfRule type="expression" dxfId="6308" priority="1150">
      <formula>AG69&lt;50</formula>
    </cfRule>
    <cfRule type="expression" dxfId="6307" priority="1151">
      <formula>AG69&gt;70</formula>
    </cfRule>
  </conditionalFormatting>
  <conditionalFormatting sqref="AK69">
    <cfRule type="expression" dxfId="6306" priority="1148">
      <formula>AK69&lt;50</formula>
    </cfRule>
    <cfRule type="expression" dxfId="6305" priority="1149">
      <formula>AK69&gt;70</formula>
    </cfRule>
  </conditionalFormatting>
  <conditionalFormatting sqref="AN69">
    <cfRule type="expression" dxfId="6304" priority="1146">
      <formula>AN69&lt;50</formula>
    </cfRule>
    <cfRule type="expression" dxfId="6303" priority="1147">
      <formula>AN69&gt;70</formula>
    </cfRule>
  </conditionalFormatting>
  <conditionalFormatting sqref="AR69">
    <cfRule type="expression" dxfId="6302" priority="1144">
      <formula>AR69&lt;50</formula>
    </cfRule>
    <cfRule type="expression" dxfId="6301" priority="1145">
      <formula>AR69&gt;70</formula>
    </cfRule>
  </conditionalFormatting>
  <conditionalFormatting sqref="AU69">
    <cfRule type="expression" dxfId="6300" priority="1142">
      <formula>AU69&lt;50</formula>
    </cfRule>
    <cfRule type="expression" dxfId="6299" priority="1143">
      <formula>AU69&gt;70</formula>
    </cfRule>
  </conditionalFormatting>
  <conditionalFormatting sqref="I86">
    <cfRule type="expression" dxfId="6298" priority="1141" stopIfTrue="1">
      <formula>I86&lt;135</formula>
    </cfRule>
  </conditionalFormatting>
  <conditionalFormatting sqref="I86">
    <cfRule type="expression" dxfId="6297" priority="1140" stopIfTrue="1">
      <formula>I86&gt;145</formula>
    </cfRule>
  </conditionalFormatting>
  <conditionalFormatting sqref="I88">
    <cfRule type="cellIs" dxfId="6296" priority="1135" operator="between">
      <formula>7.01</formula>
      <formula>8</formula>
    </cfRule>
    <cfRule type="expression" dxfId="6295" priority="1136">
      <formula>I88&lt;5</formula>
    </cfRule>
    <cfRule type="expression" dxfId="6294" priority="1137">
      <formula>I88&gt;8</formula>
    </cfRule>
  </conditionalFormatting>
  <conditionalFormatting sqref="I93">
    <cfRule type="expression" dxfId="6293" priority="1131">
      <formula>I93&lt;10%</formula>
    </cfRule>
    <cfRule type="expression" dxfId="6292" priority="1132">
      <formula>I93&gt;20%</formula>
    </cfRule>
  </conditionalFormatting>
  <conditionalFormatting sqref="I82 I84">
    <cfRule type="cellIs" dxfId="6291" priority="1127" operator="between">
      <formula>50</formula>
      <formula>54.99</formula>
    </cfRule>
    <cfRule type="cellIs" dxfId="6290" priority="1128" operator="between">
      <formula>65.01</formula>
      <formula>70</formula>
    </cfRule>
    <cfRule type="expression" dxfId="6289" priority="1129">
      <formula>I82&lt;50</formula>
    </cfRule>
    <cfRule type="expression" dxfId="6288" priority="1130">
      <formula>I82&gt;70</formula>
    </cfRule>
  </conditionalFormatting>
  <conditionalFormatting sqref="I78 I80">
    <cfRule type="cellIs" dxfId="6287" priority="1123" operator="between">
      <formula>40</formula>
      <formula>44.99</formula>
    </cfRule>
    <cfRule type="cellIs" dxfId="6286" priority="1124" operator="between">
      <formula>55.1</formula>
      <formula>60</formula>
    </cfRule>
    <cfRule type="expression" dxfId="6285" priority="1125">
      <formula>I78&lt;40</formula>
    </cfRule>
    <cfRule type="expression" dxfId="6284" priority="1126">
      <formula>I78&gt;60</formula>
    </cfRule>
  </conditionalFormatting>
  <conditionalFormatting sqref="I90:I92">
    <cfRule type="expression" dxfId="6283" priority="1121">
      <formula>I90&lt;40%</formula>
    </cfRule>
    <cfRule type="expression" dxfId="6282" priority="1122">
      <formula>I90&gt;50%</formula>
    </cfRule>
  </conditionalFormatting>
  <conditionalFormatting sqref="I94">
    <cfRule type="expression" dxfId="6281" priority="1119">
      <formula>I94&lt;0.6%</formula>
    </cfRule>
    <cfRule type="expression" dxfId="6280" priority="1120">
      <formula>I94&gt;1.4%</formula>
    </cfRule>
  </conditionalFormatting>
  <conditionalFormatting sqref="P86">
    <cfRule type="expression" dxfId="6279" priority="1118" stopIfTrue="1">
      <formula>P86&lt;135</formula>
    </cfRule>
  </conditionalFormatting>
  <conditionalFormatting sqref="P86">
    <cfRule type="expression" dxfId="6278" priority="1117" stopIfTrue="1">
      <formula>P86&gt;145</formula>
    </cfRule>
  </conditionalFormatting>
  <conditionalFormatting sqref="P88">
    <cfRule type="cellIs" dxfId="6277" priority="1112" operator="between">
      <formula>7.01</formula>
      <formula>8</formula>
    </cfRule>
    <cfRule type="expression" dxfId="6276" priority="1113">
      <formula>P88&lt;5</formula>
    </cfRule>
    <cfRule type="expression" dxfId="6275" priority="1114">
      <formula>P88&gt;8</formula>
    </cfRule>
  </conditionalFormatting>
  <conditionalFormatting sqref="P93">
    <cfRule type="expression" dxfId="6274" priority="1108">
      <formula>P93&lt;10%</formula>
    </cfRule>
    <cfRule type="expression" dxfId="6273" priority="1109">
      <formula>P93&gt;20%</formula>
    </cfRule>
  </conditionalFormatting>
  <conditionalFormatting sqref="P82 P84">
    <cfRule type="cellIs" dxfId="6272" priority="1104" operator="between">
      <formula>50</formula>
      <formula>54.99</formula>
    </cfRule>
    <cfRule type="cellIs" dxfId="6271" priority="1105" operator="between">
      <formula>65.01</formula>
      <formula>70</formula>
    </cfRule>
    <cfRule type="expression" dxfId="6270" priority="1106">
      <formula>P82&lt;50</formula>
    </cfRule>
    <cfRule type="expression" dxfId="6269" priority="1107">
      <formula>P82&gt;70</formula>
    </cfRule>
  </conditionalFormatting>
  <conditionalFormatting sqref="P78 P80">
    <cfRule type="cellIs" dxfId="6268" priority="1100" operator="between">
      <formula>40</formula>
      <formula>44.99</formula>
    </cfRule>
    <cfRule type="cellIs" dxfId="6267" priority="1101" operator="between">
      <formula>55.1</formula>
      <formula>60</formula>
    </cfRule>
    <cfRule type="expression" dxfId="6266" priority="1102">
      <formula>P78&lt;40</formula>
    </cfRule>
    <cfRule type="expression" dxfId="6265" priority="1103">
      <formula>P78&gt;60</formula>
    </cfRule>
  </conditionalFormatting>
  <conditionalFormatting sqref="P90:P92">
    <cfRule type="expression" dxfId="6264" priority="1098">
      <formula>P90&lt;40%</formula>
    </cfRule>
    <cfRule type="expression" dxfId="6263" priority="1099">
      <formula>P90&gt;50%</formula>
    </cfRule>
  </conditionalFormatting>
  <conditionalFormatting sqref="P94">
    <cfRule type="expression" dxfId="6262" priority="1096">
      <formula>P94&lt;0.6%</formula>
    </cfRule>
    <cfRule type="expression" dxfId="6261" priority="1097">
      <formula>P94&gt;1.4%</formula>
    </cfRule>
  </conditionalFormatting>
  <conditionalFormatting sqref="W86">
    <cfRule type="expression" dxfId="6260" priority="1095" stopIfTrue="1">
      <formula>W86&lt;135</formula>
    </cfRule>
  </conditionalFormatting>
  <conditionalFormatting sqref="W86">
    <cfRule type="expression" dxfId="6259" priority="1094" stopIfTrue="1">
      <formula>W86&gt;145</formula>
    </cfRule>
  </conditionalFormatting>
  <conditionalFormatting sqref="W88">
    <cfRule type="cellIs" dxfId="6258" priority="1089" operator="between">
      <formula>7.01</formula>
      <formula>8</formula>
    </cfRule>
    <cfRule type="expression" dxfId="6257" priority="1090">
      <formula>W88&lt;5</formula>
    </cfRule>
    <cfRule type="expression" dxfId="6256" priority="1091">
      <formula>W88&gt;8</formula>
    </cfRule>
  </conditionalFormatting>
  <conditionalFormatting sqref="W93">
    <cfRule type="expression" dxfId="6255" priority="1085">
      <formula>W93&lt;10%</formula>
    </cfRule>
    <cfRule type="expression" dxfId="6254" priority="1086">
      <formula>W93&gt;20%</formula>
    </cfRule>
  </conditionalFormatting>
  <conditionalFormatting sqref="W82 W84">
    <cfRule type="cellIs" dxfId="6253" priority="1081" operator="between">
      <formula>50</formula>
      <formula>54.99</formula>
    </cfRule>
    <cfRule type="cellIs" dxfId="6252" priority="1082" operator="between">
      <formula>65.01</formula>
      <formula>70</formula>
    </cfRule>
    <cfRule type="expression" dxfId="6251" priority="1083">
      <formula>W82&lt;50</formula>
    </cfRule>
    <cfRule type="expression" dxfId="6250" priority="1084">
      <formula>W82&gt;70</formula>
    </cfRule>
  </conditionalFormatting>
  <conditionalFormatting sqref="W78 W80">
    <cfRule type="cellIs" dxfId="6249" priority="1077" operator="between">
      <formula>40</formula>
      <formula>44.99</formula>
    </cfRule>
    <cfRule type="cellIs" dxfId="6248" priority="1078" operator="between">
      <formula>55.1</formula>
      <formula>60</formula>
    </cfRule>
    <cfRule type="expression" dxfId="6247" priority="1079">
      <formula>W78&lt;40</formula>
    </cfRule>
    <cfRule type="expression" dxfId="6246" priority="1080">
      <formula>W78&gt;60</formula>
    </cfRule>
  </conditionalFormatting>
  <conditionalFormatting sqref="W90:W92">
    <cfRule type="expression" dxfId="6245" priority="1075">
      <formula>W90&lt;40%</formula>
    </cfRule>
    <cfRule type="expression" dxfId="6244" priority="1076">
      <formula>W90&gt;50%</formula>
    </cfRule>
  </conditionalFormatting>
  <conditionalFormatting sqref="W94">
    <cfRule type="expression" dxfId="6243" priority="1073">
      <formula>W94&lt;0.6%</formula>
    </cfRule>
    <cfRule type="expression" dxfId="6242" priority="1074">
      <formula>W94&gt;1.4%</formula>
    </cfRule>
  </conditionalFormatting>
  <conditionalFormatting sqref="AD86">
    <cfRule type="expression" dxfId="6241" priority="1072" stopIfTrue="1">
      <formula>AD86&lt;135</formula>
    </cfRule>
  </conditionalFormatting>
  <conditionalFormatting sqref="AD86">
    <cfRule type="expression" dxfId="6240" priority="1071" stopIfTrue="1">
      <formula>AD86&gt;145</formula>
    </cfRule>
  </conditionalFormatting>
  <conditionalFormatting sqref="AD88">
    <cfRule type="cellIs" dxfId="6239" priority="1066" operator="between">
      <formula>7.01</formula>
      <formula>8</formula>
    </cfRule>
    <cfRule type="expression" dxfId="6238" priority="1067">
      <formula>AD88&lt;5</formula>
    </cfRule>
    <cfRule type="expression" dxfId="6237" priority="1068">
      <formula>AD88&gt;8</formula>
    </cfRule>
  </conditionalFormatting>
  <conditionalFormatting sqref="AD93">
    <cfRule type="expression" dxfId="6236" priority="1062">
      <formula>AD93&lt;10%</formula>
    </cfRule>
    <cfRule type="expression" dxfId="6235" priority="1063">
      <formula>AD93&gt;20%</formula>
    </cfRule>
  </conditionalFormatting>
  <conditionalFormatting sqref="AD82 AD84">
    <cfRule type="cellIs" dxfId="6234" priority="1058" operator="between">
      <formula>50</formula>
      <formula>54.99</formula>
    </cfRule>
    <cfRule type="cellIs" dxfId="6233" priority="1059" operator="between">
      <formula>65.01</formula>
      <formula>70</formula>
    </cfRule>
    <cfRule type="expression" dxfId="6232" priority="1060">
      <formula>AD82&lt;50</formula>
    </cfRule>
    <cfRule type="expression" dxfId="6231" priority="1061">
      <formula>AD82&gt;70</formula>
    </cfRule>
  </conditionalFormatting>
  <conditionalFormatting sqref="AD78 AD80">
    <cfRule type="cellIs" dxfId="6230" priority="1054" operator="between">
      <formula>40</formula>
      <formula>44.99</formula>
    </cfRule>
    <cfRule type="cellIs" dxfId="6229" priority="1055" operator="between">
      <formula>55.1</formula>
      <formula>60</formula>
    </cfRule>
    <cfRule type="expression" dxfId="6228" priority="1056">
      <formula>AD78&lt;40</formula>
    </cfRule>
    <cfRule type="expression" dxfId="6227" priority="1057">
      <formula>AD78&gt;60</formula>
    </cfRule>
  </conditionalFormatting>
  <conditionalFormatting sqref="AD90:AD92">
    <cfRule type="expression" dxfId="6226" priority="1052">
      <formula>AD90&lt;40%</formula>
    </cfRule>
    <cfRule type="expression" dxfId="6225" priority="1053">
      <formula>AD90&gt;50%</formula>
    </cfRule>
  </conditionalFormatting>
  <conditionalFormatting sqref="AD94">
    <cfRule type="expression" dxfId="6224" priority="1050">
      <formula>AD94&lt;0.6%</formula>
    </cfRule>
    <cfRule type="expression" dxfId="6223" priority="1051">
      <formula>AD94&gt;1.4%</formula>
    </cfRule>
  </conditionalFormatting>
  <conditionalFormatting sqref="AK86">
    <cfRule type="expression" dxfId="6222" priority="1049" stopIfTrue="1">
      <formula>AK86&lt;135</formula>
    </cfRule>
  </conditionalFormatting>
  <conditionalFormatting sqref="AK86">
    <cfRule type="expression" dxfId="6221" priority="1048" stopIfTrue="1">
      <formula>AK86&gt;145</formula>
    </cfRule>
  </conditionalFormatting>
  <conditionalFormatting sqref="AK88">
    <cfRule type="cellIs" dxfId="6220" priority="1043" operator="between">
      <formula>7.01</formula>
      <formula>8</formula>
    </cfRule>
    <cfRule type="expression" dxfId="6219" priority="1044">
      <formula>AK88&lt;5</formula>
    </cfRule>
    <cfRule type="expression" dxfId="6218" priority="1045">
      <formula>AK88&gt;8</formula>
    </cfRule>
  </conditionalFormatting>
  <conditionalFormatting sqref="AK93">
    <cfRule type="expression" dxfId="6217" priority="1039">
      <formula>AK93&lt;10%</formula>
    </cfRule>
    <cfRule type="expression" dxfId="6216" priority="1040">
      <formula>AK93&gt;20%</formula>
    </cfRule>
  </conditionalFormatting>
  <conditionalFormatting sqref="AK82 AK84">
    <cfRule type="cellIs" dxfId="6215" priority="1035" operator="between">
      <formula>50</formula>
      <formula>54.99</formula>
    </cfRule>
    <cfRule type="cellIs" dxfId="6214" priority="1036" operator="between">
      <formula>65.01</formula>
      <formula>70</formula>
    </cfRule>
    <cfRule type="expression" dxfId="6213" priority="1037">
      <formula>AK82&lt;50</formula>
    </cfRule>
    <cfRule type="expression" dxfId="6212" priority="1038">
      <formula>AK82&gt;70</formula>
    </cfRule>
  </conditionalFormatting>
  <conditionalFormatting sqref="AK78 AK80">
    <cfRule type="cellIs" dxfId="6211" priority="1031" operator="between">
      <formula>40</formula>
      <formula>44.99</formula>
    </cfRule>
    <cfRule type="cellIs" dxfId="6210" priority="1032" operator="between">
      <formula>55.1</formula>
      <formula>60</formula>
    </cfRule>
    <cfRule type="expression" dxfId="6209" priority="1033">
      <formula>AK78&lt;40</formula>
    </cfRule>
    <cfRule type="expression" dxfId="6208" priority="1034">
      <formula>AK78&gt;60</formula>
    </cfRule>
  </conditionalFormatting>
  <conditionalFormatting sqref="AK90:AK92">
    <cfRule type="expression" dxfId="6207" priority="1029">
      <formula>AK90&lt;40%</formula>
    </cfRule>
    <cfRule type="expression" dxfId="6206" priority="1030">
      <formula>AK90&gt;50%</formula>
    </cfRule>
  </conditionalFormatting>
  <conditionalFormatting sqref="AK94">
    <cfRule type="expression" dxfId="6205" priority="1027">
      <formula>AK94&lt;0.6%</formula>
    </cfRule>
    <cfRule type="expression" dxfId="6204" priority="1028">
      <formula>AK94&gt;1.4%</formula>
    </cfRule>
  </conditionalFormatting>
  <conditionalFormatting sqref="AR86">
    <cfRule type="expression" dxfId="6203" priority="1026" stopIfTrue="1">
      <formula>AR86&lt;135</formula>
    </cfRule>
  </conditionalFormatting>
  <conditionalFormatting sqref="AR86">
    <cfRule type="expression" dxfId="6202" priority="1025" stopIfTrue="1">
      <formula>AR86&gt;145</formula>
    </cfRule>
  </conditionalFormatting>
  <conditionalFormatting sqref="AR88">
    <cfRule type="cellIs" dxfId="6201" priority="1020" operator="between">
      <formula>7.01</formula>
      <formula>8</formula>
    </cfRule>
    <cfRule type="expression" dxfId="6200" priority="1021">
      <formula>AR88&lt;5</formula>
    </cfRule>
    <cfRule type="expression" dxfId="6199" priority="1022">
      <formula>AR88&gt;8</formula>
    </cfRule>
  </conditionalFormatting>
  <conditionalFormatting sqref="AR93">
    <cfRule type="expression" dxfId="6198" priority="1016">
      <formula>AR93&lt;10%</formula>
    </cfRule>
    <cfRule type="expression" dxfId="6197" priority="1017">
      <formula>AR93&gt;20%</formula>
    </cfRule>
  </conditionalFormatting>
  <conditionalFormatting sqref="AR82 AR84">
    <cfRule type="cellIs" dxfId="6196" priority="1012" operator="between">
      <formula>50</formula>
      <formula>54.99</formula>
    </cfRule>
    <cfRule type="cellIs" dxfId="6195" priority="1013" operator="between">
      <formula>65.01</formula>
      <formula>70</formula>
    </cfRule>
    <cfRule type="expression" dxfId="6194" priority="1014">
      <formula>AR82&lt;50</formula>
    </cfRule>
    <cfRule type="expression" dxfId="6193" priority="1015">
      <formula>AR82&gt;70</formula>
    </cfRule>
  </conditionalFormatting>
  <conditionalFormatting sqref="AR78 AR80">
    <cfRule type="cellIs" dxfId="6192" priority="1008" operator="between">
      <formula>40</formula>
      <formula>44.99</formula>
    </cfRule>
    <cfRule type="cellIs" dxfId="6191" priority="1009" operator="between">
      <formula>55.1</formula>
      <formula>60</formula>
    </cfRule>
    <cfRule type="expression" dxfId="6190" priority="1010">
      <formula>AR78&lt;40</formula>
    </cfRule>
    <cfRule type="expression" dxfId="6189" priority="1011">
      <formula>AR78&gt;60</formula>
    </cfRule>
  </conditionalFormatting>
  <conditionalFormatting sqref="AR90:AR92">
    <cfRule type="expression" dxfId="6188" priority="1006">
      <formula>AR90&lt;40%</formula>
    </cfRule>
    <cfRule type="expression" dxfId="6187" priority="1007">
      <formula>AR90&gt;50%</formula>
    </cfRule>
  </conditionalFormatting>
  <conditionalFormatting sqref="AR94">
    <cfRule type="expression" dxfId="6186" priority="1004">
      <formula>AR94&lt;0.6%</formula>
    </cfRule>
    <cfRule type="expression" dxfId="6185" priority="1005">
      <formula>AR94&gt;1.4%</formula>
    </cfRule>
  </conditionalFormatting>
  <conditionalFormatting sqref="AY86">
    <cfRule type="expression" dxfId="6184" priority="1003" stopIfTrue="1">
      <formula>AY86&lt;135</formula>
    </cfRule>
  </conditionalFormatting>
  <conditionalFormatting sqref="AY86">
    <cfRule type="expression" dxfId="6183" priority="1002" stopIfTrue="1">
      <formula>AY86&gt;145</formula>
    </cfRule>
  </conditionalFormatting>
  <conditionalFormatting sqref="AY87">
    <cfRule type="expression" dxfId="6182" priority="1000">
      <formula>AY87&lt;7.5</formula>
    </cfRule>
    <cfRule type="expression" dxfId="6181" priority="1001">
      <formula>AY87&gt;9.5</formula>
    </cfRule>
  </conditionalFormatting>
  <conditionalFormatting sqref="AY88">
    <cfRule type="cellIs" dxfId="6180" priority="997" operator="between">
      <formula>7.01</formula>
      <formula>8</formula>
    </cfRule>
    <cfRule type="expression" dxfId="6179" priority="998">
      <formula>AY88&lt;5</formula>
    </cfRule>
    <cfRule type="expression" dxfId="6178" priority="999">
      <formula>AY88&gt;8</formula>
    </cfRule>
  </conditionalFormatting>
  <conditionalFormatting sqref="AY89">
    <cfRule type="expression" dxfId="6177" priority="995">
      <formula>AY89&lt;2</formula>
    </cfRule>
    <cfRule type="expression" dxfId="6176" priority="996">
      <formula>AY89&gt;2.4</formula>
    </cfRule>
  </conditionalFormatting>
  <conditionalFormatting sqref="AY93">
    <cfRule type="expression" dxfId="6175" priority="993">
      <formula>AY93&lt;10%</formula>
    </cfRule>
    <cfRule type="expression" dxfId="6174" priority="994">
      <formula>AY93&gt;20%</formula>
    </cfRule>
  </conditionalFormatting>
  <conditionalFormatting sqref="AY82 AY84">
    <cfRule type="cellIs" dxfId="6173" priority="989" operator="between">
      <formula>50</formula>
      <formula>54.99</formula>
    </cfRule>
    <cfRule type="cellIs" dxfId="6172" priority="990" operator="between">
      <formula>65.01</formula>
      <formula>70</formula>
    </cfRule>
    <cfRule type="expression" dxfId="6171" priority="991">
      <formula>AY82&lt;50</formula>
    </cfRule>
    <cfRule type="expression" dxfId="6170" priority="992">
      <formula>AY82&gt;70</formula>
    </cfRule>
  </conditionalFormatting>
  <conditionalFormatting sqref="AY78 AY80">
    <cfRule type="cellIs" dxfId="6169" priority="985" operator="between">
      <formula>40</formula>
      <formula>44.99</formula>
    </cfRule>
    <cfRule type="cellIs" dxfId="6168" priority="986" operator="between">
      <formula>55.1</formula>
      <formula>60</formula>
    </cfRule>
    <cfRule type="expression" dxfId="6167" priority="987">
      <formula>AY78&lt;40</formula>
    </cfRule>
    <cfRule type="expression" dxfId="6166" priority="988">
      <formula>AY78&gt;60</formula>
    </cfRule>
  </conditionalFormatting>
  <conditionalFormatting sqref="AY90:AY92">
    <cfRule type="expression" dxfId="6165" priority="983">
      <formula>AY90&lt;40%</formula>
    </cfRule>
    <cfRule type="expression" dxfId="6164" priority="984">
      <formula>AY90&gt;50%</formula>
    </cfRule>
  </conditionalFormatting>
  <conditionalFormatting sqref="AY94">
    <cfRule type="expression" dxfId="6163" priority="981">
      <formula>AY94&lt;0.6%</formula>
    </cfRule>
    <cfRule type="expression" dxfId="6162" priority="982">
      <formula>AY94&gt;1.4%</formula>
    </cfRule>
  </conditionalFormatting>
  <conditionalFormatting sqref="I108 L108:M108 P108 S108:T108 W108 Z108:AA108 AD108 AG108:AH108 AK108 AN108:AO108 AR108 AU108:AV108">
    <cfRule type="expression" dxfId="6161" priority="979">
      <formula>I108&lt;22</formula>
    </cfRule>
    <cfRule type="expression" dxfId="6160" priority="980">
      <formula>I108&gt;28</formula>
    </cfRule>
  </conditionalFormatting>
  <conditionalFormatting sqref="I104:I106 L104:M106 P104:P106 S104:T106 W104:W106 Z104:AA106 AD104:AD106 AG104:AH106 AK104:AK106 AN104:AO106 AR104:AR106 AU104:AV106">
    <cfRule type="cellIs" dxfId="6159" priority="975" operator="between">
      <formula>50</formula>
      <formula>54.9</formula>
    </cfRule>
    <cfRule type="cellIs" dxfId="6158" priority="976" operator="between">
      <formula>65.1</formula>
      <formula>70</formula>
    </cfRule>
    <cfRule type="expression" dxfId="6157" priority="977">
      <formula>I104&lt;50</formula>
    </cfRule>
    <cfRule type="expression" dxfId="6156" priority="978">
      <formula>I104&gt;70</formula>
    </cfRule>
  </conditionalFormatting>
  <conditionalFormatting sqref="I109">
    <cfRule type="cellIs" dxfId="6155" priority="971" operator="between">
      <formula>30</formula>
      <formula>30.9</formula>
    </cfRule>
    <cfRule type="cellIs" dxfId="6154" priority="972" operator="between">
      <formula>37.1</formula>
      <formula>40</formula>
    </cfRule>
    <cfRule type="expression" dxfId="6153" priority="973">
      <formula>I109&lt;30</formula>
    </cfRule>
    <cfRule type="expression" dxfId="6152" priority="974">
      <formula>I109&gt;40</formula>
    </cfRule>
  </conditionalFormatting>
  <conditionalFormatting sqref="L109">
    <cfRule type="cellIs" dxfId="6151" priority="967" operator="between">
      <formula>30</formula>
      <formula>30.9</formula>
    </cfRule>
    <cfRule type="cellIs" dxfId="6150" priority="968" operator="between">
      <formula>37.1</formula>
      <formula>40</formula>
    </cfRule>
    <cfRule type="expression" dxfId="6149" priority="969">
      <formula>L109&lt;30</formula>
    </cfRule>
    <cfRule type="expression" dxfId="6148" priority="970">
      <formula>L109&gt;40</formula>
    </cfRule>
  </conditionalFormatting>
  <conditionalFormatting sqref="P109">
    <cfRule type="cellIs" dxfId="6147" priority="963" operator="between">
      <formula>30</formula>
      <formula>30.9</formula>
    </cfRule>
    <cfRule type="cellIs" dxfId="6146" priority="964" operator="between">
      <formula>37.1</formula>
      <formula>40</formula>
    </cfRule>
    <cfRule type="expression" dxfId="6145" priority="965">
      <formula>P109&lt;30</formula>
    </cfRule>
    <cfRule type="expression" dxfId="6144" priority="966">
      <formula>P109&gt;40</formula>
    </cfRule>
  </conditionalFormatting>
  <conditionalFormatting sqref="S109">
    <cfRule type="cellIs" dxfId="6143" priority="959" operator="between">
      <formula>30</formula>
      <formula>30.9</formula>
    </cfRule>
    <cfRule type="cellIs" dxfId="6142" priority="960" operator="between">
      <formula>37.1</formula>
      <formula>40</formula>
    </cfRule>
    <cfRule type="expression" dxfId="6141" priority="961">
      <formula>S109&lt;30</formula>
    </cfRule>
    <cfRule type="expression" dxfId="6140" priority="962">
      <formula>S109&gt;40</formula>
    </cfRule>
  </conditionalFormatting>
  <conditionalFormatting sqref="W109">
    <cfRule type="cellIs" dxfId="6139" priority="955" operator="between">
      <formula>30</formula>
      <formula>30.9</formula>
    </cfRule>
    <cfRule type="cellIs" dxfId="6138" priority="956" operator="between">
      <formula>37.1</formula>
      <formula>40</formula>
    </cfRule>
    <cfRule type="expression" dxfId="6137" priority="957">
      <formula>W109&lt;30</formula>
    </cfRule>
    <cfRule type="expression" dxfId="6136" priority="958">
      <formula>W109&gt;40</formula>
    </cfRule>
  </conditionalFormatting>
  <conditionalFormatting sqref="Z109">
    <cfRule type="cellIs" dxfId="6135" priority="951" operator="between">
      <formula>30</formula>
      <formula>30.9</formula>
    </cfRule>
    <cfRule type="cellIs" dxfId="6134" priority="952" operator="between">
      <formula>37.1</formula>
      <formula>40</formula>
    </cfRule>
    <cfRule type="expression" dxfId="6133" priority="953">
      <formula>Z109&lt;30</formula>
    </cfRule>
    <cfRule type="expression" dxfId="6132" priority="954">
      <formula>Z109&gt;40</formula>
    </cfRule>
  </conditionalFormatting>
  <conditionalFormatting sqref="AD109">
    <cfRule type="cellIs" dxfId="6131" priority="947" operator="between">
      <formula>30</formula>
      <formula>30.9</formula>
    </cfRule>
    <cfRule type="cellIs" dxfId="6130" priority="948" operator="between">
      <formula>37.1</formula>
      <formula>40</formula>
    </cfRule>
    <cfRule type="expression" dxfId="6129" priority="949">
      <formula>AD109&lt;30</formula>
    </cfRule>
    <cfRule type="expression" dxfId="6128" priority="950">
      <formula>AD109&gt;40</formula>
    </cfRule>
  </conditionalFormatting>
  <conditionalFormatting sqref="AG109">
    <cfRule type="cellIs" dxfId="6127" priority="943" operator="between">
      <formula>30</formula>
      <formula>30.9</formula>
    </cfRule>
    <cfRule type="cellIs" dxfId="6126" priority="944" operator="between">
      <formula>37.1</formula>
      <formula>40</formula>
    </cfRule>
    <cfRule type="expression" dxfId="6125" priority="945">
      <formula>AG109&lt;30</formula>
    </cfRule>
    <cfRule type="expression" dxfId="6124" priority="946">
      <formula>AG109&gt;40</formula>
    </cfRule>
  </conditionalFormatting>
  <conditionalFormatting sqref="AK109">
    <cfRule type="cellIs" dxfId="6123" priority="939" operator="between">
      <formula>30</formula>
      <formula>30.9</formula>
    </cfRule>
    <cfRule type="cellIs" dxfId="6122" priority="940" operator="between">
      <formula>37.1</formula>
      <formula>40</formula>
    </cfRule>
    <cfRule type="expression" dxfId="6121" priority="941">
      <formula>AK109&lt;30</formula>
    </cfRule>
    <cfRule type="expression" dxfId="6120" priority="942">
      <formula>AK109&gt;40</formula>
    </cfRule>
  </conditionalFormatting>
  <conditionalFormatting sqref="AN109">
    <cfRule type="cellIs" dxfId="6119" priority="935" operator="between">
      <formula>30</formula>
      <formula>30.9</formula>
    </cfRule>
    <cfRule type="cellIs" dxfId="6118" priority="936" operator="between">
      <formula>37.1</formula>
      <formula>40</formula>
    </cfRule>
    <cfRule type="expression" dxfId="6117" priority="937">
      <formula>AN109&lt;30</formula>
    </cfRule>
    <cfRule type="expression" dxfId="6116" priority="938">
      <formula>AN109&gt;40</formula>
    </cfRule>
  </conditionalFormatting>
  <conditionalFormatting sqref="AR109">
    <cfRule type="cellIs" dxfId="6115" priority="931" operator="between">
      <formula>30</formula>
      <formula>30.9</formula>
    </cfRule>
    <cfRule type="cellIs" dxfId="6114" priority="932" operator="between">
      <formula>37.1</formula>
      <formula>40</formula>
    </cfRule>
    <cfRule type="expression" dxfId="6113" priority="933">
      <formula>AR109&lt;30</formula>
    </cfRule>
    <cfRule type="expression" dxfId="6112" priority="934">
      <formula>AR109&gt;40</formula>
    </cfRule>
  </conditionalFormatting>
  <conditionalFormatting sqref="AU109">
    <cfRule type="cellIs" dxfId="6111" priority="927" operator="between">
      <formula>30</formula>
      <formula>30.9</formula>
    </cfRule>
    <cfRule type="cellIs" dxfId="6110" priority="928" operator="between">
      <formula>37.1</formula>
      <formula>40</formula>
    </cfRule>
    <cfRule type="expression" dxfId="6109" priority="929">
      <formula>AU109&lt;30</formula>
    </cfRule>
    <cfRule type="expression" dxfId="6108" priority="930">
      <formula>AU109&gt;40</formula>
    </cfRule>
  </conditionalFormatting>
  <conditionalFormatting sqref="I110">
    <cfRule type="expression" dxfId="6107" priority="925">
      <formula>I110&lt;55</formula>
    </cfRule>
    <cfRule type="expression" dxfId="6106" priority="926">
      <formula>I110&gt;65</formula>
    </cfRule>
  </conditionalFormatting>
  <conditionalFormatting sqref="L110 O110">
    <cfRule type="expression" dxfId="6105" priority="923">
      <formula>L110&lt;55</formula>
    </cfRule>
    <cfRule type="expression" dxfId="6104" priority="924">
      <formula>L110&gt;65</formula>
    </cfRule>
  </conditionalFormatting>
  <conditionalFormatting sqref="P110 V110">
    <cfRule type="expression" dxfId="6103" priority="921">
      <formula>P110&lt;55</formula>
    </cfRule>
    <cfRule type="expression" dxfId="6102" priority="922">
      <formula>P110&gt;65</formula>
    </cfRule>
  </conditionalFormatting>
  <conditionalFormatting sqref="S110">
    <cfRule type="expression" dxfId="6101" priority="919">
      <formula>S110&lt;55</formula>
    </cfRule>
    <cfRule type="expression" dxfId="6100" priority="920">
      <formula>S110&gt;65</formula>
    </cfRule>
  </conditionalFormatting>
  <conditionalFormatting sqref="W110 AC110">
    <cfRule type="expression" dxfId="6099" priority="917">
      <formula>W110&lt;55</formula>
    </cfRule>
    <cfRule type="expression" dxfId="6098" priority="918">
      <formula>W110&gt;65</formula>
    </cfRule>
  </conditionalFormatting>
  <conditionalFormatting sqref="Z110">
    <cfRule type="expression" dxfId="6097" priority="915">
      <formula>Z110&lt;55</formula>
    </cfRule>
    <cfRule type="expression" dxfId="6096" priority="916">
      <formula>Z110&gt;65</formula>
    </cfRule>
  </conditionalFormatting>
  <conditionalFormatting sqref="AD110 AJ110">
    <cfRule type="expression" dxfId="6095" priority="913">
      <formula>AD110&lt;55</formula>
    </cfRule>
    <cfRule type="expression" dxfId="6094" priority="914">
      <formula>AD110&gt;65</formula>
    </cfRule>
  </conditionalFormatting>
  <conditionalFormatting sqref="AG110">
    <cfRule type="expression" dxfId="6093" priority="911">
      <formula>AG110&lt;55</formula>
    </cfRule>
    <cfRule type="expression" dxfId="6092" priority="912">
      <formula>AG110&gt;65</formula>
    </cfRule>
  </conditionalFormatting>
  <conditionalFormatting sqref="AK110 AQ110">
    <cfRule type="expression" dxfId="6091" priority="909">
      <formula>AK110&lt;55</formula>
    </cfRule>
    <cfRule type="expression" dxfId="6090" priority="910">
      <formula>AK110&gt;65</formula>
    </cfRule>
  </conditionalFormatting>
  <conditionalFormatting sqref="AN110">
    <cfRule type="expression" dxfId="6089" priority="907">
      <formula>AN110&lt;55</formula>
    </cfRule>
    <cfRule type="expression" dxfId="6088" priority="908">
      <formula>AN110&gt;65</formula>
    </cfRule>
  </conditionalFormatting>
  <conditionalFormatting sqref="AR110">
    <cfRule type="expression" dxfId="6087" priority="905">
      <formula>AR110&lt;55</formula>
    </cfRule>
    <cfRule type="expression" dxfId="6086" priority="906">
      <formula>AR110&gt;65</formula>
    </cfRule>
  </conditionalFormatting>
  <conditionalFormatting sqref="AU110">
    <cfRule type="expression" dxfId="6085" priority="903">
      <formula>AU110&lt;55</formula>
    </cfRule>
    <cfRule type="expression" dxfId="6084" priority="904">
      <formula>AU110&gt;65</formula>
    </cfRule>
  </conditionalFormatting>
  <conditionalFormatting sqref="L111">
    <cfRule type="cellIs" dxfId="6083" priority="899" operator="between">
      <formula>80</formula>
      <formula>84.9</formula>
    </cfRule>
    <cfRule type="cellIs" dxfId="6082" priority="900" operator="between">
      <formula>95.1</formula>
      <formula>100</formula>
    </cfRule>
    <cfRule type="expression" dxfId="6081" priority="901">
      <formula>L111&lt;80</formula>
    </cfRule>
    <cfRule type="expression" dxfId="6080" priority="902">
      <formula>L111&gt;100</formula>
    </cfRule>
  </conditionalFormatting>
  <conditionalFormatting sqref="S111">
    <cfRule type="cellIs" dxfId="6079" priority="895" operator="between">
      <formula>80</formula>
      <formula>84.9</formula>
    </cfRule>
    <cfRule type="cellIs" dxfId="6078" priority="896" operator="between">
      <formula>95.1</formula>
      <formula>100</formula>
    </cfRule>
    <cfRule type="expression" dxfId="6077" priority="897">
      <formula>S111&lt;80</formula>
    </cfRule>
    <cfRule type="expression" dxfId="6076" priority="898">
      <formula>S111&gt;100</formula>
    </cfRule>
  </conditionalFormatting>
  <conditionalFormatting sqref="Z111">
    <cfRule type="cellIs" dxfId="6075" priority="891" operator="between">
      <formula>80</formula>
      <formula>84.9</formula>
    </cfRule>
    <cfRule type="cellIs" dxfId="6074" priority="892" operator="between">
      <formula>95.1</formula>
      <formula>100</formula>
    </cfRule>
    <cfRule type="expression" dxfId="6073" priority="893">
      <formula>Z111&lt;80</formula>
    </cfRule>
    <cfRule type="expression" dxfId="6072" priority="894">
      <formula>Z111&gt;100</formula>
    </cfRule>
  </conditionalFormatting>
  <conditionalFormatting sqref="AG111">
    <cfRule type="cellIs" dxfId="6071" priority="887" operator="between">
      <formula>80</formula>
      <formula>84.9</formula>
    </cfRule>
    <cfRule type="cellIs" dxfId="6070" priority="888" operator="between">
      <formula>95.1</formula>
      <formula>100</formula>
    </cfRule>
    <cfRule type="expression" dxfId="6069" priority="889">
      <formula>AG111&lt;80</formula>
    </cfRule>
    <cfRule type="expression" dxfId="6068" priority="890">
      <formula>AG111&gt;100</formula>
    </cfRule>
  </conditionalFormatting>
  <conditionalFormatting sqref="AN111">
    <cfRule type="cellIs" dxfId="6067" priority="883" operator="between">
      <formula>80</formula>
      <formula>84.9</formula>
    </cfRule>
    <cfRule type="cellIs" dxfId="6066" priority="884" operator="between">
      <formula>95.1</formula>
      <formula>100</formula>
    </cfRule>
    <cfRule type="expression" dxfId="6065" priority="885">
      <formula>AN111&lt;80</formula>
    </cfRule>
    <cfRule type="expression" dxfId="6064" priority="886">
      <formula>AN111&gt;100</formula>
    </cfRule>
  </conditionalFormatting>
  <conditionalFormatting sqref="AU111">
    <cfRule type="cellIs" dxfId="6063" priority="879" operator="between">
      <formula>80</formula>
      <formula>84.9</formula>
    </cfRule>
    <cfRule type="cellIs" dxfId="6062" priority="880" operator="between">
      <formula>95.1</formula>
      <formula>100</formula>
    </cfRule>
    <cfRule type="expression" dxfId="6061" priority="881">
      <formula>AU111&lt;80</formula>
    </cfRule>
    <cfRule type="expression" dxfId="6060" priority="882">
      <formula>AU111&gt;100</formula>
    </cfRule>
  </conditionalFormatting>
  <conditionalFormatting sqref="I112">
    <cfRule type="expression" dxfId="6059" priority="877">
      <formula>I112&lt;40</formula>
    </cfRule>
    <cfRule type="expression" dxfId="6058" priority="878">
      <formula>I112&gt;60</formula>
    </cfRule>
  </conditionalFormatting>
  <conditionalFormatting sqref="L112">
    <cfRule type="expression" dxfId="6057" priority="875">
      <formula>L112&lt;40</formula>
    </cfRule>
    <cfRule type="expression" dxfId="6056" priority="876">
      <formula>L112&gt;60</formula>
    </cfRule>
  </conditionalFormatting>
  <conditionalFormatting sqref="P112">
    <cfRule type="expression" dxfId="6055" priority="873">
      <formula>P112&lt;40</formula>
    </cfRule>
    <cfRule type="expression" dxfId="6054" priority="874">
      <formula>P112&gt;60</formula>
    </cfRule>
  </conditionalFormatting>
  <conditionalFormatting sqref="S112">
    <cfRule type="expression" dxfId="6053" priority="871">
      <formula>S112&lt;40</formula>
    </cfRule>
    <cfRule type="expression" dxfId="6052" priority="872">
      <formula>S112&gt;60</formula>
    </cfRule>
  </conditionalFormatting>
  <conditionalFormatting sqref="W112">
    <cfRule type="expression" dxfId="6051" priority="869">
      <formula>W112&lt;40</formula>
    </cfRule>
    <cfRule type="expression" dxfId="6050" priority="870">
      <formula>W112&gt;60</formula>
    </cfRule>
  </conditionalFormatting>
  <conditionalFormatting sqref="Z112">
    <cfRule type="expression" dxfId="6049" priority="867">
      <formula>Z112&lt;40</formula>
    </cfRule>
    <cfRule type="expression" dxfId="6048" priority="868">
      <formula>Z112&gt;60</formula>
    </cfRule>
  </conditionalFormatting>
  <conditionalFormatting sqref="AD112">
    <cfRule type="expression" dxfId="6047" priority="865">
      <formula>AD112&lt;40</formula>
    </cfRule>
    <cfRule type="expression" dxfId="6046" priority="866">
      <formula>AD112&gt;60</formula>
    </cfRule>
  </conditionalFormatting>
  <conditionalFormatting sqref="AG112">
    <cfRule type="expression" dxfId="6045" priority="863">
      <formula>AG112&lt;40</formula>
    </cfRule>
    <cfRule type="expression" dxfId="6044" priority="864">
      <formula>AG112&gt;60</formula>
    </cfRule>
  </conditionalFormatting>
  <conditionalFormatting sqref="AK112">
    <cfRule type="expression" dxfId="6043" priority="861">
      <formula>AK112&lt;40</formula>
    </cfRule>
    <cfRule type="expression" dxfId="6042" priority="862">
      <formula>AK112&gt;60</formula>
    </cfRule>
  </conditionalFormatting>
  <conditionalFormatting sqref="AN112">
    <cfRule type="expression" dxfId="6041" priority="859">
      <formula>AN112&lt;40</formula>
    </cfRule>
    <cfRule type="expression" dxfId="6040" priority="860">
      <formula>AN112&gt;60</formula>
    </cfRule>
  </conditionalFormatting>
  <conditionalFormatting sqref="AR112">
    <cfRule type="expression" dxfId="6039" priority="857">
      <formula>AR112&lt;40</formula>
    </cfRule>
    <cfRule type="expression" dxfId="6038" priority="858">
      <formula>AR112&gt;60</formula>
    </cfRule>
  </conditionalFormatting>
  <conditionalFormatting sqref="AU112">
    <cfRule type="expression" dxfId="6037" priority="855">
      <formula>AU112&lt;40</formula>
    </cfRule>
    <cfRule type="expression" dxfId="6036" priority="856">
      <formula>AU112&gt;60</formula>
    </cfRule>
  </conditionalFormatting>
  <conditionalFormatting sqref="I113">
    <cfRule type="expression" dxfId="6035" priority="853">
      <formula>I113&lt;50</formula>
    </cfRule>
    <cfRule type="expression" dxfId="6034" priority="854">
      <formula>I113&gt;70</formula>
    </cfRule>
  </conditionalFormatting>
  <conditionalFormatting sqref="L113">
    <cfRule type="expression" dxfId="6033" priority="851">
      <formula>L113&lt;50</formula>
    </cfRule>
    <cfRule type="expression" dxfId="6032" priority="852">
      <formula>L113&gt;70</formula>
    </cfRule>
  </conditionalFormatting>
  <conditionalFormatting sqref="P113">
    <cfRule type="expression" dxfId="6031" priority="849">
      <formula>P113&lt;50</formula>
    </cfRule>
    <cfRule type="expression" dxfId="6030" priority="850">
      <formula>P113&gt;70</formula>
    </cfRule>
  </conditionalFormatting>
  <conditionalFormatting sqref="S113">
    <cfRule type="expression" dxfId="6029" priority="847">
      <formula>S113&lt;50</formula>
    </cfRule>
    <cfRule type="expression" dxfId="6028" priority="848">
      <formula>S113&gt;70</formula>
    </cfRule>
  </conditionalFormatting>
  <conditionalFormatting sqref="W113">
    <cfRule type="expression" dxfId="6027" priority="845">
      <formula>W113&lt;50</formula>
    </cfRule>
    <cfRule type="expression" dxfId="6026" priority="846">
      <formula>W113&gt;70</formula>
    </cfRule>
  </conditionalFormatting>
  <conditionalFormatting sqref="Z113">
    <cfRule type="expression" dxfId="6025" priority="843">
      <formula>Z113&lt;50</formula>
    </cfRule>
    <cfRule type="expression" dxfId="6024" priority="844">
      <formula>Z113&gt;70</formula>
    </cfRule>
  </conditionalFormatting>
  <conditionalFormatting sqref="AD113">
    <cfRule type="expression" dxfId="6023" priority="841">
      <formula>AD113&lt;50</formula>
    </cfRule>
    <cfRule type="expression" dxfId="6022" priority="842">
      <formula>AD113&gt;70</formula>
    </cfRule>
  </conditionalFormatting>
  <conditionalFormatting sqref="AG113">
    <cfRule type="expression" dxfId="6021" priority="839">
      <formula>AG113&lt;50</formula>
    </cfRule>
    <cfRule type="expression" dxfId="6020" priority="840">
      <formula>AG113&gt;70</formula>
    </cfRule>
  </conditionalFormatting>
  <conditionalFormatting sqref="AK113">
    <cfRule type="expression" dxfId="6019" priority="837">
      <formula>AK113&lt;50</formula>
    </cfRule>
    <cfRule type="expression" dxfId="6018" priority="838">
      <formula>AK113&gt;70</formula>
    </cfRule>
  </conditionalFormatting>
  <conditionalFormatting sqref="AN113">
    <cfRule type="expression" dxfId="6017" priority="835">
      <formula>AN113&lt;50</formula>
    </cfRule>
    <cfRule type="expression" dxfId="6016" priority="836">
      <formula>AN113&gt;70</formula>
    </cfRule>
  </conditionalFormatting>
  <conditionalFormatting sqref="AR113">
    <cfRule type="expression" dxfId="6015" priority="833">
      <formula>AR113&lt;50</formula>
    </cfRule>
    <cfRule type="expression" dxfId="6014" priority="834">
      <formula>AR113&gt;70</formula>
    </cfRule>
  </conditionalFormatting>
  <conditionalFormatting sqref="AU113">
    <cfRule type="expression" dxfId="6013" priority="831">
      <formula>AU113&lt;50</formula>
    </cfRule>
    <cfRule type="expression" dxfId="6012" priority="832">
      <formula>AU113&gt;70</formula>
    </cfRule>
  </conditionalFormatting>
  <conditionalFormatting sqref="I107 L107:M107 P107 S107:T107 W107 Z107:AA107 AD107 AG107:AH107 AK107 AN107:AO107 AR107 AU107:AV107">
    <cfRule type="cellIs" dxfId="6011" priority="827" operator="between">
      <formula>50</formula>
      <formula>54.9</formula>
    </cfRule>
    <cfRule type="cellIs" dxfId="6010" priority="828" operator="between">
      <formula>65.1</formula>
      <formula>70</formula>
    </cfRule>
    <cfRule type="expression" dxfId="6009" priority="829">
      <formula>I107&lt;50</formula>
    </cfRule>
    <cfRule type="expression" dxfId="6008" priority="830">
      <formula>I107&gt;70</formula>
    </cfRule>
  </conditionalFormatting>
  <conditionalFormatting sqref="I24">
    <cfRule type="cellIs" dxfId="6007" priority="823" operator="between">
      <formula>5</formula>
      <formula>6.49</formula>
    </cfRule>
    <cfRule type="cellIs" dxfId="6006" priority="824" operator="between">
      <formula>8.51</formula>
      <formula>10</formula>
    </cfRule>
    <cfRule type="expression" dxfId="6005" priority="825">
      <formula>I24&lt;5</formula>
    </cfRule>
    <cfRule type="expression" dxfId="6004" priority="826">
      <formula>I24&gt;10</formula>
    </cfRule>
  </conditionalFormatting>
  <conditionalFormatting sqref="P24">
    <cfRule type="cellIs" dxfId="6003" priority="815" operator="between">
      <formula>5</formula>
      <formula>6.49</formula>
    </cfRule>
    <cfRule type="cellIs" dxfId="6002" priority="816" operator="between">
      <formula>8.51</formula>
      <formula>10</formula>
    </cfRule>
    <cfRule type="expression" dxfId="6001" priority="817">
      <formula>P24&lt;5</formula>
    </cfRule>
    <cfRule type="expression" dxfId="6000" priority="818">
      <formula>P24&gt;10</formula>
    </cfRule>
  </conditionalFormatting>
  <conditionalFormatting sqref="W24">
    <cfRule type="cellIs" dxfId="5999" priority="807" operator="between">
      <formula>5</formula>
      <formula>6.49</formula>
    </cfRule>
    <cfRule type="cellIs" dxfId="5998" priority="808" operator="between">
      <formula>8.51</formula>
      <formula>10</formula>
    </cfRule>
    <cfRule type="expression" dxfId="5997" priority="809">
      <formula>W24&lt;5</formula>
    </cfRule>
    <cfRule type="expression" dxfId="5996" priority="810">
      <formula>W24&gt;10</formula>
    </cfRule>
  </conditionalFormatting>
  <conditionalFormatting sqref="AD24">
    <cfRule type="cellIs" dxfId="5995" priority="799" operator="between">
      <formula>5</formula>
      <formula>6.49</formula>
    </cfRule>
    <cfRule type="cellIs" dxfId="5994" priority="800" operator="between">
      <formula>8.51</formula>
      <formula>10</formula>
    </cfRule>
    <cfRule type="expression" dxfId="5993" priority="801">
      <formula>AD24&lt;5</formula>
    </cfRule>
    <cfRule type="expression" dxfId="5992" priority="802">
      <formula>AD24&gt;10</formula>
    </cfRule>
  </conditionalFormatting>
  <conditionalFormatting sqref="AK24">
    <cfRule type="cellIs" dxfId="5991" priority="791" operator="between">
      <formula>5</formula>
      <formula>6.49</formula>
    </cfRule>
    <cfRule type="cellIs" dxfId="5990" priority="792" operator="between">
      <formula>8.51</formula>
      <formula>10</formula>
    </cfRule>
    <cfRule type="expression" dxfId="5989" priority="793">
      <formula>AK24&lt;5</formula>
    </cfRule>
    <cfRule type="expression" dxfId="5988" priority="794">
      <formula>AK24&gt;10</formula>
    </cfRule>
  </conditionalFormatting>
  <conditionalFormatting sqref="AR24">
    <cfRule type="cellIs" dxfId="5987" priority="783" operator="between">
      <formula>5</formula>
      <formula>6.49</formula>
    </cfRule>
    <cfRule type="cellIs" dxfId="5986" priority="784" operator="between">
      <formula>8.51</formula>
      <formula>10</formula>
    </cfRule>
    <cfRule type="expression" dxfId="5985" priority="785">
      <formula>AR24&lt;5</formula>
    </cfRule>
    <cfRule type="expression" dxfId="5984" priority="786">
      <formula>AR24&gt;10</formula>
    </cfRule>
  </conditionalFormatting>
  <conditionalFormatting sqref="I59">
    <cfRule type="cellIs" dxfId="5983" priority="775" operator="between">
      <formula>5</formula>
      <formula>5.499</formula>
    </cfRule>
    <cfRule type="cellIs" dxfId="5982" priority="776" operator="between">
      <formula>6.51</formula>
      <formula>8</formula>
    </cfRule>
    <cfRule type="expression" dxfId="5981" priority="777">
      <formula>I59&lt;5</formula>
    </cfRule>
    <cfRule type="expression" dxfId="5980" priority="778">
      <formula>I59&gt;8</formula>
    </cfRule>
  </conditionalFormatting>
  <conditionalFormatting sqref="I60">
    <cfRule type="cellIs" dxfId="5979" priority="771" operator="between">
      <formula>1.8</formula>
      <formula>1.999</formula>
    </cfRule>
    <cfRule type="cellIs" dxfId="5978" priority="772" operator="between">
      <formula>2.21</formula>
      <formula>2.4</formula>
    </cfRule>
    <cfRule type="expression" dxfId="5977" priority="773">
      <formula>I60&lt;1.8</formula>
    </cfRule>
    <cfRule type="expression" dxfId="5976" priority="774">
      <formula>I60&gt;2.4</formula>
    </cfRule>
  </conditionalFormatting>
  <conditionalFormatting sqref="P60">
    <cfRule type="cellIs" dxfId="5975" priority="763" operator="between">
      <formula>1.8</formula>
      <formula>1.999</formula>
    </cfRule>
    <cfRule type="cellIs" dxfId="5974" priority="764" operator="between">
      <formula>2.21</formula>
      <formula>2.4</formula>
    </cfRule>
    <cfRule type="expression" dxfId="5973" priority="765">
      <formula>P60&lt;1.8</formula>
    </cfRule>
    <cfRule type="expression" dxfId="5972" priority="766">
      <formula>P60&gt;2.4</formula>
    </cfRule>
  </conditionalFormatting>
  <conditionalFormatting sqref="W60">
    <cfRule type="cellIs" dxfId="5971" priority="755" operator="between">
      <formula>1.8</formula>
      <formula>1.999</formula>
    </cfRule>
    <cfRule type="cellIs" dxfId="5970" priority="756" operator="between">
      <formula>2.21</formula>
      <formula>2.4</formula>
    </cfRule>
    <cfRule type="expression" dxfId="5969" priority="757">
      <formula>W60&lt;1.8</formula>
    </cfRule>
    <cfRule type="expression" dxfId="5968" priority="758">
      <formula>W60&gt;2.4</formula>
    </cfRule>
  </conditionalFormatting>
  <conditionalFormatting sqref="AD60">
    <cfRule type="cellIs" dxfId="5967" priority="747" operator="between">
      <formula>1.8</formula>
      <formula>1.999</formula>
    </cfRule>
    <cfRule type="cellIs" dxfId="5966" priority="748" operator="between">
      <formula>2.21</formula>
      <formula>2.4</formula>
    </cfRule>
    <cfRule type="expression" dxfId="5965" priority="749">
      <formula>AD60&lt;1.8</formula>
    </cfRule>
    <cfRule type="expression" dxfId="5964" priority="750">
      <formula>AD60&gt;2.4</formula>
    </cfRule>
  </conditionalFormatting>
  <conditionalFormatting sqref="AK60">
    <cfRule type="cellIs" dxfId="5963" priority="739" operator="between">
      <formula>1.8</formula>
      <formula>1.999</formula>
    </cfRule>
    <cfRule type="cellIs" dxfId="5962" priority="740" operator="between">
      <formula>2.21</formula>
      <formula>2.4</formula>
    </cfRule>
    <cfRule type="expression" dxfId="5961" priority="741">
      <formula>AK60&lt;1.8</formula>
    </cfRule>
    <cfRule type="expression" dxfId="5960" priority="742">
      <formula>AK60&gt;2.4</formula>
    </cfRule>
  </conditionalFormatting>
  <conditionalFormatting sqref="AR60">
    <cfRule type="cellIs" dxfId="5959" priority="731" operator="between">
      <formula>1.8</formula>
      <formula>1.999</formula>
    </cfRule>
    <cfRule type="cellIs" dxfId="5958" priority="732" operator="between">
      <formula>2.21</formula>
      <formula>2.4</formula>
    </cfRule>
    <cfRule type="expression" dxfId="5957" priority="733">
      <formula>AR60&lt;1.8</formula>
    </cfRule>
    <cfRule type="expression" dxfId="5956" priority="734">
      <formula>AR60&gt;2.4</formula>
    </cfRule>
  </conditionalFormatting>
  <conditionalFormatting sqref="I114">
    <cfRule type="expression" dxfId="5955" priority="681">
      <formula>I114&lt;20</formula>
    </cfRule>
    <cfRule type="expression" dxfId="5954" priority="682">
      <formula>I114&gt;30</formula>
    </cfRule>
  </conditionalFormatting>
  <conditionalFormatting sqref="L114">
    <cfRule type="expression" dxfId="5953" priority="679">
      <formula>L114&lt;20</formula>
    </cfRule>
    <cfRule type="expression" dxfId="5952" priority="680">
      <formula>L114&gt;30</formula>
    </cfRule>
  </conditionalFormatting>
  <conditionalFormatting sqref="P114">
    <cfRule type="expression" dxfId="5951" priority="677">
      <formula>P114&lt;20</formula>
    </cfRule>
    <cfRule type="expression" dxfId="5950" priority="678">
      <formula>P114&gt;30</formula>
    </cfRule>
  </conditionalFormatting>
  <conditionalFormatting sqref="S114">
    <cfRule type="expression" dxfId="5949" priority="675">
      <formula>S114&lt;20</formula>
    </cfRule>
    <cfRule type="expression" dxfId="5948" priority="676">
      <formula>S114&gt;30</formula>
    </cfRule>
  </conditionalFormatting>
  <conditionalFormatting sqref="W114">
    <cfRule type="expression" dxfId="5947" priority="673">
      <formula>W114&lt;20</formula>
    </cfRule>
    <cfRule type="expression" dxfId="5946" priority="674">
      <formula>W114&gt;30</formula>
    </cfRule>
  </conditionalFormatting>
  <conditionalFormatting sqref="Z114">
    <cfRule type="expression" dxfId="5945" priority="671">
      <formula>Z114&lt;20</formula>
    </cfRule>
    <cfRule type="expression" dxfId="5944" priority="672">
      <formula>Z114&gt;30</formula>
    </cfRule>
  </conditionalFormatting>
  <conditionalFormatting sqref="AD114">
    <cfRule type="expression" dxfId="5943" priority="669">
      <formula>AD114&lt;20</formula>
    </cfRule>
    <cfRule type="expression" dxfId="5942" priority="670">
      <formula>AD114&gt;30</formula>
    </cfRule>
  </conditionalFormatting>
  <conditionalFormatting sqref="AG114">
    <cfRule type="expression" dxfId="5941" priority="667">
      <formula>AG114&lt;20</formula>
    </cfRule>
    <cfRule type="expression" dxfId="5940" priority="668">
      <formula>AG114&gt;30</formula>
    </cfRule>
  </conditionalFormatting>
  <conditionalFormatting sqref="AK114">
    <cfRule type="expression" dxfId="5939" priority="665">
      <formula>AK114&lt;20</formula>
    </cfRule>
    <cfRule type="expression" dxfId="5938" priority="666">
      <formula>AK114&gt;30</formula>
    </cfRule>
  </conditionalFormatting>
  <conditionalFormatting sqref="AN114">
    <cfRule type="expression" dxfId="5937" priority="663">
      <formula>AN114&lt;20</formula>
    </cfRule>
    <cfRule type="expression" dxfId="5936" priority="664">
      <formula>AN114&gt;30</formula>
    </cfRule>
  </conditionalFormatting>
  <conditionalFormatting sqref="AR114">
    <cfRule type="expression" dxfId="5935" priority="661">
      <formula>AR114&lt;20</formula>
    </cfRule>
    <cfRule type="expression" dxfId="5934" priority="662">
      <formula>AR114&gt;30</formula>
    </cfRule>
  </conditionalFormatting>
  <conditionalFormatting sqref="AU114">
    <cfRule type="expression" dxfId="5933" priority="659">
      <formula>AU114&lt;20</formula>
    </cfRule>
    <cfRule type="expression" dxfId="5932" priority="660">
      <formula>AU114&gt;30</formula>
    </cfRule>
  </conditionalFormatting>
  <conditionalFormatting sqref="I87">
    <cfRule type="cellIs" dxfId="5931" priority="559" operator="between">
      <formula>7</formula>
      <formula>7.499</formula>
    </cfRule>
    <cfRule type="cellIs" dxfId="5930" priority="560" operator="between">
      <formula>9.51</formula>
      <formula>10</formula>
    </cfRule>
    <cfRule type="expression" dxfId="5929" priority="561">
      <formula>I87&lt;7</formula>
    </cfRule>
    <cfRule type="expression" dxfId="5928" priority="562">
      <formula>I87&gt;10</formula>
    </cfRule>
  </conditionalFormatting>
  <conditionalFormatting sqref="P87">
    <cfRule type="cellIs" dxfId="5927" priority="555" operator="between">
      <formula>7</formula>
      <formula>7.499</formula>
    </cfRule>
    <cfRule type="cellIs" dxfId="5926" priority="556" operator="between">
      <formula>9.51</formula>
      <formula>10</formula>
    </cfRule>
    <cfRule type="expression" dxfId="5925" priority="557">
      <formula>P87&lt;7</formula>
    </cfRule>
    <cfRule type="expression" dxfId="5924" priority="558">
      <formula>P87&gt;10</formula>
    </cfRule>
  </conditionalFormatting>
  <conditionalFormatting sqref="W87">
    <cfRule type="cellIs" dxfId="5923" priority="551" operator="between">
      <formula>7</formula>
      <formula>7.499</formula>
    </cfRule>
    <cfRule type="cellIs" dxfId="5922" priority="552" operator="between">
      <formula>9.51</formula>
      <formula>10</formula>
    </cfRule>
    <cfRule type="expression" dxfId="5921" priority="553">
      <formula>W87&lt;7</formula>
    </cfRule>
    <cfRule type="expression" dxfId="5920" priority="554">
      <formula>W87&gt;10</formula>
    </cfRule>
  </conditionalFormatting>
  <conditionalFormatting sqref="AD87">
    <cfRule type="cellIs" dxfId="5919" priority="547" operator="between">
      <formula>7</formula>
      <formula>7.499</formula>
    </cfRule>
    <cfRule type="cellIs" dxfId="5918" priority="548" operator="between">
      <formula>9.51</formula>
      <formula>10</formula>
    </cfRule>
    <cfRule type="expression" dxfId="5917" priority="549">
      <formula>AD87&lt;7</formula>
    </cfRule>
    <cfRule type="expression" dxfId="5916" priority="550">
      <formula>AD87&gt;10</formula>
    </cfRule>
  </conditionalFormatting>
  <conditionalFormatting sqref="AK87">
    <cfRule type="cellIs" dxfId="5915" priority="543" operator="between">
      <formula>7</formula>
      <formula>7.499</formula>
    </cfRule>
    <cfRule type="cellIs" dxfId="5914" priority="544" operator="between">
      <formula>9.51</formula>
      <formula>10</formula>
    </cfRule>
    <cfRule type="expression" dxfId="5913" priority="545">
      <formula>AK87&lt;7</formula>
    </cfRule>
    <cfRule type="expression" dxfId="5912" priority="546">
      <formula>AK87&gt;10</formula>
    </cfRule>
  </conditionalFormatting>
  <conditionalFormatting sqref="AR87">
    <cfRule type="cellIs" dxfId="5911" priority="539" operator="between">
      <formula>7</formula>
      <formula>7.499</formula>
    </cfRule>
    <cfRule type="cellIs" dxfId="5910" priority="540" operator="between">
      <formula>9.51</formula>
      <formula>10</formula>
    </cfRule>
    <cfRule type="expression" dxfId="5909" priority="541">
      <formula>AR87&lt;7</formula>
    </cfRule>
    <cfRule type="expression" dxfId="5908" priority="542">
      <formula>AR87&gt;10</formula>
    </cfRule>
  </conditionalFormatting>
  <conditionalFormatting sqref="P59:P60">
    <cfRule type="cellIs" dxfId="5907" priority="535" operator="between">
      <formula>5</formula>
      <formula>5.499</formula>
    </cfRule>
    <cfRule type="cellIs" dxfId="5906" priority="536" operator="between">
      <formula>6.51</formula>
      <formula>8</formula>
    </cfRule>
    <cfRule type="expression" dxfId="5905" priority="537">
      <formula>P59&lt;5</formula>
    </cfRule>
    <cfRule type="expression" dxfId="5904" priority="538">
      <formula>P59&gt;8</formula>
    </cfRule>
  </conditionalFormatting>
  <conditionalFormatting sqref="W59">
    <cfRule type="cellIs" dxfId="5903" priority="531" operator="between">
      <formula>5</formula>
      <formula>5.499</formula>
    </cfRule>
    <cfRule type="cellIs" dxfId="5902" priority="532" operator="between">
      <formula>6.51</formula>
      <formula>8</formula>
    </cfRule>
    <cfRule type="expression" dxfId="5901" priority="533">
      <formula>W59&lt;5</formula>
    </cfRule>
    <cfRule type="expression" dxfId="5900" priority="534">
      <formula>W59&gt;8</formula>
    </cfRule>
  </conditionalFormatting>
  <conditionalFormatting sqref="AD59">
    <cfRule type="cellIs" dxfId="5899" priority="527" operator="between">
      <formula>5</formula>
      <formula>5.499</formula>
    </cfRule>
    <cfRule type="cellIs" dxfId="5898" priority="528" operator="between">
      <formula>6.51</formula>
      <formula>8</formula>
    </cfRule>
    <cfRule type="expression" dxfId="5897" priority="529">
      <formula>AD59&lt;5</formula>
    </cfRule>
    <cfRule type="expression" dxfId="5896" priority="530">
      <formula>AD59&gt;8</formula>
    </cfRule>
  </conditionalFormatting>
  <conditionalFormatting sqref="AK59">
    <cfRule type="cellIs" dxfId="5895" priority="523" operator="between">
      <formula>5</formula>
      <formula>5.499</formula>
    </cfRule>
    <cfRule type="cellIs" dxfId="5894" priority="524" operator="between">
      <formula>6.51</formula>
      <formula>8</formula>
    </cfRule>
    <cfRule type="expression" dxfId="5893" priority="525">
      <formula>AK59&lt;5</formula>
    </cfRule>
    <cfRule type="expression" dxfId="5892" priority="526">
      <formula>AK59&gt;8</formula>
    </cfRule>
  </conditionalFormatting>
  <conditionalFormatting sqref="AR59">
    <cfRule type="cellIs" dxfId="5891" priority="519" operator="between">
      <formula>5</formula>
      <formula>5.499</formula>
    </cfRule>
    <cfRule type="cellIs" dxfId="5890" priority="520" operator="between">
      <formula>6.51</formula>
      <formula>8</formula>
    </cfRule>
    <cfRule type="expression" dxfId="5889" priority="521">
      <formula>AR59&lt;5</formula>
    </cfRule>
    <cfRule type="expression" dxfId="5888" priority="522">
      <formula>AR59&gt;8</formula>
    </cfRule>
  </conditionalFormatting>
  <conditionalFormatting sqref="I30">
    <cfRule type="cellIs" dxfId="5887" priority="515" operator="between">
      <formula>40</formula>
      <formula>44.99</formula>
    </cfRule>
    <cfRule type="cellIs" dxfId="5886" priority="516" operator="between">
      <formula>55.1</formula>
      <formula>60</formula>
    </cfRule>
    <cfRule type="expression" dxfId="5885" priority="517">
      <formula>I30&lt;40</formula>
    </cfRule>
    <cfRule type="expression" dxfId="5884" priority="518">
      <formula>I30&gt;60</formula>
    </cfRule>
  </conditionalFormatting>
  <conditionalFormatting sqref="I31">
    <cfRule type="cellIs" dxfId="5883" priority="511" operator="between">
      <formula>40</formula>
      <formula>44.99</formula>
    </cfRule>
    <cfRule type="cellIs" dxfId="5882" priority="512" operator="between">
      <formula>55.1</formula>
      <formula>60</formula>
    </cfRule>
    <cfRule type="expression" dxfId="5881" priority="513">
      <formula>I31&lt;40</formula>
    </cfRule>
    <cfRule type="expression" dxfId="5880" priority="514">
      <formula>I31&gt;60</formula>
    </cfRule>
  </conditionalFormatting>
  <conditionalFormatting sqref="L30">
    <cfRule type="cellIs" dxfId="5879" priority="507" operator="between">
      <formula>40</formula>
      <formula>44.99</formula>
    </cfRule>
    <cfRule type="cellIs" dxfId="5878" priority="508" operator="between">
      <formula>55.1</formula>
      <formula>60</formula>
    </cfRule>
    <cfRule type="expression" dxfId="5877" priority="509">
      <formula>L30&lt;40</formula>
    </cfRule>
    <cfRule type="expression" dxfId="5876" priority="510">
      <formula>L30&gt;60</formula>
    </cfRule>
  </conditionalFormatting>
  <conditionalFormatting sqref="L31">
    <cfRule type="cellIs" dxfId="5875" priority="503" operator="between">
      <formula>40</formula>
      <formula>44.99</formula>
    </cfRule>
    <cfRule type="cellIs" dxfId="5874" priority="504" operator="between">
      <formula>55.1</formula>
      <formula>60</formula>
    </cfRule>
    <cfRule type="expression" dxfId="5873" priority="505">
      <formula>L31&lt;40</formula>
    </cfRule>
    <cfRule type="expression" dxfId="5872" priority="506">
      <formula>L31&gt;60</formula>
    </cfRule>
  </conditionalFormatting>
  <conditionalFormatting sqref="P30">
    <cfRule type="cellIs" dxfId="5871" priority="499" operator="between">
      <formula>40</formula>
      <formula>44.99</formula>
    </cfRule>
    <cfRule type="cellIs" dxfId="5870" priority="500" operator="between">
      <formula>55.1</formula>
      <formula>60</formula>
    </cfRule>
    <cfRule type="expression" dxfId="5869" priority="501">
      <formula>P30&lt;40</formula>
    </cfRule>
    <cfRule type="expression" dxfId="5868" priority="502">
      <formula>P30&gt;60</formula>
    </cfRule>
  </conditionalFormatting>
  <conditionalFormatting sqref="P31">
    <cfRule type="cellIs" dxfId="5867" priority="495" operator="between">
      <formula>40</formula>
      <formula>44.99</formula>
    </cfRule>
    <cfRule type="cellIs" dxfId="5866" priority="496" operator="between">
      <formula>55.1</formula>
      <formula>60</formula>
    </cfRule>
    <cfRule type="expression" dxfId="5865" priority="497">
      <formula>P31&lt;40</formula>
    </cfRule>
    <cfRule type="expression" dxfId="5864" priority="498">
      <formula>P31&gt;60</formula>
    </cfRule>
  </conditionalFormatting>
  <conditionalFormatting sqref="S30">
    <cfRule type="cellIs" dxfId="5863" priority="491" operator="between">
      <formula>40</formula>
      <formula>44.99</formula>
    </cfRule>
    <cfRule type="cellIs" dxfId="5862" priority="492" operator="between">
      <formula>55.1</formula>
      <formula>60</formula>
    </cfRule>
    <cfRule type="expression" dxfId="5861" priority="493">
      <formula>S30&lt;40</formula>
    </cfRule>
    <cfRule type="expression" dxfId="5860" priority="494">
      <formula>S30&gt;60</formula>
    </cfRule>
  </conditionalFormatting>
  <conditionalFormatting sqref="S31">
    <cfRule type="cellIs" dxfId="5859" priority="487" operator="between">
      <formula>40</formula>
      <formula>44.99</formula>
    </cfRule>
    <cfRule type="cellIs" dxfId="5858" priority="488" operator="between">
      <formula>55.1</formula>
      <formula>60</formula>
    </cfRule>
    <cfRule type="expression" dxfId="5857" priority="489">
      <formula>S31&lt;40</formula>
    </cfRule>
    <cfRule type="expression" dxfId="5856" priority="490">
      <formula>S31&gt;60</formula>
    </cfRule>
  </conditionalFormatting>
  <conditionalFormatting sqref="W30">
    <cfRule type="cellIs" dxfId="5855" priority="483" operator="between">
      <formula>40</formula>
      <formula>44.99</formula>
    </cfRule>
    <cfRule type="cellIs" dxfId="5854" priority="484" operator="between">
      <formula>55.1</formula>
      <formula>60</formula>
    </cfRule>
    <cfRule type="expression" dxfId="5853" priority="485">
      <formula>W30&lt;40</formula>
    </cfRule>
    <cfRule type="expression" dxfId="5852" priority="486">
      <formula>W30&gt;60</formula>
    </cfRule>
  </conditionalFormatting>
  <conditionalFormatting sqref="W31">
    <cfRule type="cellIs" dxfId="5851" priority="479" operator="between">
      <formula>40</formula>
      <formula>44.99</formula>
    </cfRule>
    <cfRule type="cellIs" dxfId="5850" priority="480" operator="between">
      <formula>55.1</formula>
      <formula>60</formula>
    </cfRule>
    <cfRule type="expression" dxfId="5849" priority="481">
      <formula>W31&lt;40</formula>
    </cfRule>
    <cfRule type="expression" dxfId="5848" priority="482">
      <formula>W31&gt;60</formula>
    </cfRule>
  </conditionalFormatting>
  <conditionalFormatting sqref="Z30">
    <cfRule type="cellIs" dxfId="5847" priority="475" operator="between">
      <formula>40</formula>
      <formula>44.99</formula>
    </cfRule>
    <cfRule type="cellIs" dxfId="5846" priority="476" operator="between">
      <formula>55.1</formula>
      <formula>60</formula>
    </cfRule>
    <cfRule type="expression" dxfId="5845" priority="477">
      <formula>Z30&lt;40</formula>
    </cfRule>
    <cfRule type="expression" dxfId="5844" priority="478">
      <formula>Z30&gt;60</formula>
    </cfRule>
  </conditionalFormatting>
  <conditionalFormatting sqref="Z31">
    <cfRule type="cellIs" dxfId="5843" priority="471" operator="between">
      <formula>40</formula>
      <formula>44.99</formula>
    </cfRule>
    <cfRule type="cellIs" dxfId="5842" priority="472" operator="between">
      <formula>55.1</formula>
      <formula>60</formula>
    </cfRule>
    <cfRule type="expression" dxfId="5841" priority="473">
      <formula>Z31&lt;40</formula>
    </cfRule>
    <cfRule type="expression" dxfId="5840" priority="474">
      <formula>Z31&gt;60</formula>
    </cfRule>
  </conditionalFormatting>
  <conditionalFormatting sqref="AD30">
    <cfRule type="cellIs" dxfId="5839" priority="467" operator="between">
      <formula>40</formula>
      <formula>44.99</formula>
    </cfRule>
    <cfRule type="cellIs" dxfId="5838" priority="468" operator="between">
      <formula>55.1</formula>
      <formula>60</formula>
    </cfRule>
    <cfRule type="expression" dxfId="5837" priority="469">
      <formula>AD30&lt;40</formula>
    </cfRule>
    <cfRule type="expression" dxfId="5836" priority="470">
      <formula>AD30&gt;60</formula>
    </cfRule>
  </conditionalFormatting>
  <conditionalFormatting sqref="AD31">
    <cfRule type="cellIs" dxfId="5835" priority="463" operator="between">
      <formula>40</formula>
      <formula>44.99</formula>
    </cfRule>
    <cfRule type="cellIs" dxfId="5834" priority="464" operator="between">
      <formula>55.1</formula>
      <formula>60</formula>
    </cfRule>
    <cfRule type="expression" dxfId="5833" priority="465">
      <formula>AD31&lt;40</formula>
    </cfRule>
    <cfRule type="expression" dxfId="5832" priority="466">
      <formula>AD31&gt;60</formula>
    </cfRule>
  </conditionalFormatting>
  <conditionalFormatting sqref="AG30">
    <cfRule type="cellIs" dxfId="5831" priority="459" operator="between">
      <formula>40</formula>
      <formula>44.99</formula>
    </cfRule>
    <cfRule type="cellIs" dxfId="5830" priority="460" operator="between">
      <formula>55.1</formula>
      <formula>60</formula>
    </cfRule>
    <cfRule type="expression" dxfId="5829" priority="461">
      <formula>AG30&lt;40</formula>
    </cfRule>
    <cfRule type="expression" dxfId="5828" priority="462">
      <formula>AG30&gt;60</formula>
    </cfRule>
  </conditionalFormatting>
  <conditionalFormatting sqref="AG31">
    <cfRule type="cellIs" dxfId="5827" priority="455" operator="between">
      <formula>40</formula>
      <formula>44.99</formula>
    </cfRule>
    <cfRule type="cellIs" dxfId="5826" priority="456" operator="between">
      <formula>55.1</formula>
      <formula>60</formula>
    </cfRule>
    <cfRule type="expression" dxfId="5825" priority="457">
      <formula>AG31&lt;40</formula>
    </cfRule>
    <cfRule type="expression" dxfId="5824" priority="458">
      <formula>AG31&gt;60</formula>
    </cfRule>
  </conditionalFormatting>
  <conditionalFormatting sqref="AK30">
    <cfRule type="cellIs" dxfId="5823" priority="451" operator="between">
      <formula>40</formula>
      <formula>44.99</formula>
    </cfRule>
    <cfRule type="cellIs" dxfId="5822" priority="452" operator="between">
      <formula>55.1</formula>
      <formula>60</formula>
    </cfRule>
    <cfRule type="expression" dxfId="5821" priority="453">
      <formula>AK30&lt;40</formula>
    </cfRule>
    <cfRule type="expression" dxfId="5820" priority="454">
      <formula>AK30&gt;60</formula>
    </cfRule>
  </conditionalFormatting>
  <conditionalFormatting sqref="AK31">
    <cfRule type="cellIs" dxfId="5819" priority="447" operator="between">
      <formula>40</formula>
      <formula>44.99</formula>
    </cfRule>
    <cfRule type="cellIs" dxfId="5818" priority="448" operator="between">
      <formula>55.1</formula>
      <formula>60</formula>
    </cfRule>
    <cfRule type="expression" dxfId="5817" priority="449">
      <formula>AK31&lt;40</formula>
    </cfRule>
    <cfRule type="expression" dxfId="5816" priority="450">
      <formula>AK31&gt;60</formula>
    </cfRule>
  </conditionalFormatting>
  <conditionalFormatting sqref="AN30">
    <cfRule type="cellIs" dxfId="5815" priority="443" operator="between">
      <formula>40</formula>
      <formula>44.99</formula>
    </cfRule>
    <cfRule type="cellIs" dxfId="5814" priority="444" operator="between">
      <formula>55.1</formula>
      <formula>60</formula>
    </cfRule>
    <cfRule type="expression" dxfId="5813" priority="445">
      <formula>AN30&lt;40</formula>
    </cfRule>
    <cfRule type="expression" dxfId="5812" priority="446">
      <formula>AN30&gt;60</formula>
    </cfRule>
  </conditionalFormatting>
  <conditionalFormatting sqref="AN31">
    <cfRule type="cellIs" dxfId="5811" priority="439" operator="between">
      <formula>40</formula>
      <formula>44.99</formula>
    </cfRule>
    <cfRule type="cellIs" dxfId="5810" priority="440" operator="between">
      <formula>55.1</formula>
      <formula>60</formula>
    </cfRule>
    <cfRule type="expression" dxfId="5809" priority="441">
      <formula>AN31&lt;40</formula>
    </cfRule>
    <cfRule type="expression" dxfId="5808" priority="442">
      <formula>AN31&gt;60</formula>
    </cfRule>
  </conditionalFormatting>
  <conditionalFormatting sqref="AR30">
    <cfRule type="cellIs" dxfId="5807" priority="435" operator="between">
      <formula>40</formula>
      <formula>44.99</formula>
    </cfRule>
    <cfRule type="cellIs" dxfId="5806" priority="436" operator="between">
      <formula>55.1</formula>
      <formula>60</formula>
    </cfRule>
    <cfRule type="expression" dxfId="5805" priority="437">
      <formula>AR30&lt;40</formula>
    </cfRule>
    <cfRule type="expression" dxfId="5804" priority="438">
      <formula>AR30&gt;60</formula>
    </cfRule>
  </conditionalFormatting>
  <conditionalFormatting sqref="AR31">
    <cfRule type="cellIs" dxfId="5803" priority="431" operator="between">
      <formula>40</formula>
      <formula>44.99</formula>
    </cfRule>
    <cfRule type="cellIs" dxfId="5802" priority="432" operator="between">
      <formula>55.1</formula>
      <formula>60</formula>
    </cfRule>
    <cfRule type="expression" dxfId="5801" priority="433">
      <formula>AR31&lt;40</formula>
    </cfRule>
    <cfRule type="expression" dxfId="5800" priority="434">
      <formula>AR31&gt;60</formula>
    </cfRule>
  </conditionalFormatting>
  <conditionalFormatting sqref="AU30">
    <cfRule type="cellIs" dxfId="5799" priority="427" operator="between">
      <formula>40</formula>
      <formula>44.99</formula>
    </cfRule>
    <cfRule type="cellIs" dxfId="5798" priority="428" operator="between">
      <formula>55.1</formula>
      <formula>60</formula>
    </cfRule>
    <cfRule type="expression" dxfId="5797" priority="429">
      <formula>AU30&lt;40</formula>
    </cfRule>
    <cfRule type="expression" dxfId="5796" priority="430">
      <formula>AU30&gt;60</formula>
    </cfRule>
  </conditionalFormatting>
  <conditionalFormatting sqref="AU31">
    <cfRule type="cellIs" dxfId="5795" priority="423" operator="between">
      <formula>40</formula>
      <formula>44.99</formula>
    </cfRule>
    <cfRule type="cellIs" dxfId="5794" priority="424" operator="between">
      <formula>55.1</formula>
      <formula>60</formula>
    </cfRule>
    <cfRule type="expression" dxfId="5793" priority="425">
      <formula>AU31&lt;40</formula>
    </cfRule>
    <cfRule type="expression" dxfId="5792" priority="426">
      <formula>AU31&gt;60</formula>
    </cfRule>
  </conditionalFormatting>
  <conditionalFormatting sqref="I65">
    <cfRule type="cellIs" dxfId="5791" priority="419" operator="between">
      <formula>40</formula>
      <formula>44.99</formula>
    </cfRule>
    <cfRule type="cellIs" dxfId="5790" priority="420" operator="between">
      <formula>55.1</formula>
      <formula>60</formula>
    </cfRule>
    <cfRule type="expression" dxfId="5789" priority="421">
      <formula>I65&lt;40</formula>
    </cfRule>
    <cfRule type="expression" dxfId="5788" priority="422">
      <formula>I65&gt;60</formula>
    </cfRule>
  </conditionalFormatting>
  <conditionalFormatting sqref="I66">
    <cfRule type="cellIs" dxfId="5787" priority="415" operator="between">
      <formula>40</formula>
      <formula>44.99</formula>
    </cfRule>
    <cfRule type="cellIs" dxfId="5786" priority="416" operator="between">
      <formula>55.1</formula>
      <formula>60</formula>
    </cfRule>
    <cfRule type="expression" dxfId="5785" priority="417">
      <formula>I66&lt;40</formula>
    </cfRule>
    <cfRule type="expression" dxfId="5784" priority="418">
      <formula>I66&gt;60</formula>
    </cfRule>
  </conditionalFormatting>
  <conditionalFormatting sqref="L65">
    <cfRule type="cellIs" dxfId="5783" priority="411" operator="between">
      <formula>40</formula>
      <formula>44.99</formula>
    </cfRule>
    <cfRule type="cellIs" dxfId="5782" priority="412" operator="between">
      <formula>55.1</formula>
      <formula>60</formula>
    </cfRule>
    <cfRule type="expression" dxfId="5781" priority="413">
      <formula>L65&lt;40</formula>
    </cfRule>
    <cfRule type="expression" dxfId="5780" priority="414">
      <formula>L65&gt;60</formula>
    </cfRule>
  </conditionalFormatting>
  <conditionalFormatting sqref="L66">
    <cfRule type="cellIs" dxfId="5779" priority="407" operator="between">
      <formula>40</formula>
      <formula>44.99</formula>
    </cfRule>
    <cfRule type="cellIs" dxfId="5778" priority="408" operator="between">
      <formula>55.1</formula>
      <formula>60</formula>
    </cfRule>
    <cfRule type="expression" dxfId="5777" priority="409">
      <formula>L66&lt;40</formula>
    </cfRule>
    <cfRule type="expression" dxfId="5776" priority="410">
      <formula>L66&gt;60</formula>
    </cfRule>
  </conditionalFormatting>
  <conditionalFormatting sqref="P65">
    <cfRule type="cellIs" dxfId="5775" priority="403" operator="between">
      <formula>40</formula>
      <formula>44.99</formula>
    </cfRule>
    <cfRule type="cellIs" dxfId="5774" priority="404" operator="between">
      <formula>55.1</formula>
      <formula>60</formula>
    </cfRule>
    <cfRule type="expression" dxfId="5773" priority="405">
      <formula>P65&lt;40</formula>
    </cfRule>
    <cfRule type="expression" dxfId="5772" priority="406">
      <formula>P65&gt;60</formula>
    </cfRule>
  </conditionalFormatting>
  <conditionalFormatting sqref="P66">
    <cfRule type="cellIs" dxfId="5771" priority="399" operator="between">
      <formula>40</formula>
      <formula>44.99</formula>
    </cfRule>
    <cfRule type="cellIs" dxfId="5770" priority="400" operator="between">
      <formula>55.1</formula>
      <formula>60</formula>
    </cfRule>
    <cfRule type="expression" dxfId="5769" priority="401">
      <formula>P66&lt;40</formula>
    </cfRule>
    <cfRule type="expression" dxfId="5768" priority="402">
      <formula>P66&gt;60</formula>
    </cfRule>
  </conditionalFormatting>
  <conditionalFormatting sqref="S65">
    <cfRule type="cellIs" dxfId="5767" priority="395" operator="between">
      <formula>40</formula>
      <formula>44.99</formula>
    </cfRule>
    <cfRule type="cellIs" dxfId="5766" priority="396" operator="between">
      <formula>55.1</formula>
      <formula>60</formula>
    </cfRule>
    <cfRule type="expression" dxfId="5765" priority="397">
      <formula>S65&lt;40</formula>
    </cfRule>
    <cfRule type="expression" dxfId="5764" priority="398">
      <formula>S65&gt;60</formula>
    </cfRule>
  </conditionalFormatting>
  <conditionalFormatting sqref="S66">
    <cfRule type="cellIs" dxfId="5763" priority="391" operator="between">
      <formula>40</formula>
      <formula>44.99</formula>
    </cfRule>
    <cfRule type="cellIs" dxfId="5762" priority="392" operator="between">
      <formula>55.1</formula>
      <formula>60</formula>
    </cfRule>
    <cfRule type="expression" dxfId="5761" priority="393">
      <formula>S66&lt;40</formula>
    </cfRule>
    <cfRule type="expression" dxfId="5760" priority="394">
      <formula>S66&gt;60</formula>
    </cfRule>
  </conditionalFormatting>
  <conditionalFormatting sqref="W65">
    <cfRule type="cellIs" dxfId="5759" priority="387" operator="between">
      <formula>40</formula>
      <formula>44.99</formula>
    </cfRule>
    <cfRule type="cellIs" dxfId="5758" priority="388" operator="between">
      <formula>55.1</formula>
      <formula>60</formula>
    </cfRule>
    <cfRule type="expression" dxfId="5757" priority="389">
      <formula>W65&lt;40</formula>
    </cfRule>
    <cfRule type="expression" dxfId="5756" priority="390">
      <formula>W65&gt;60</formula>
    </cfRule>
  </conditionalFormatting>
  <conditionalFormatting sqref="W66">
    <cfRule type="cellIs" dxfId="5755" priority="383" operator="between">
      <formula>40</formula>
      <formula>44.99</formula>
    </cfRule>
    <cfRule type="cellIs" dxfId="5754" priority="384" operator="between">
      <formula>55.1</formula>
      <formula>60</formula>
    </cfRule>
    <cfRule type="expression" dxfId="5753" priority="385">
      <formula>W66&lt;40</formula>
    </cfRule>
    <cfRule type="expression" dxfId="5752" priority="386">
      <formula>W66&gt;60</formula>
    </cfRule>
  </conditionalFormatting>
  <conditionalFormatting sqref="Z65">
    <cfRule type="cellIs" dxfId="5751" priority="379" operator="between">
      <formula>40</formula>
      <formula>44.99</formula>
    </cfRule>
    <cfRule type="cellIs" dxfId="5750" priority="380" operator="between">
      <formula>55.1</formula>
      <formula>60</formula>
    </cfRule>
    <cfRule type="expression" dxfId="5749" priority="381">
      <formula>Z65&lt;40</formula>
    </cfRule>
    <cfRule type="expression" dxfId="5748" priority="382">
      <formula>Z65&gt;60</formula>
    </cfRule>
  </conditionalFormatting>
  <conditionalFormatting sqref="Z66">
    <cfRule type="cellIs" dxfId="5747" priority="375" operator="between">
      <formula>40</formula>
      <formula>44.99</formula>
    </cfRule>
    <cfRule type="cellIs" dxfId="5746" priority="376" operator="between">
      <formula>55.1</formula>
      <formula>60</formula>
    </cfRule>
    <cfRule type="expression" dxfId="5745" priority="377">
      <formula>Z66&lt;40</formula>
    </cfRule>
    <cfRule type="expression" dxfId="5744" priority="378">
      <formula>Z66&gt;60</formula>
    </cfRule>
  </conditionalFormatting>
  <conditionalFormatting sqref="AD65">
    <cfRule type="cellIs" dxfId="5743" priority="371" operator="between">
      <formula>40</formula>
      <formula>44.99</formula>
    </cfRule>
    <cfRule type="cellIs" dxfId="5742" priority="372" operator="between">
      <formula>55.1</formula>
      <formula>60</formula>
    </cfRule>
    <cfRule type="expression" dxfId="5741" priority="373">
      <formula>AD65&lt;40</formula>
    </cfRule>
    <cfRule type="expression" dxfId="5740" priority="374">
      <formula>AD65&gt;60</formula>
    </cfRule>
  </conditionalFormatting>
  <conditionalFormatting sqref="AD66">
    <cfRule type="cellIs" dxfId="5739" priority="367" operator="between">
      <formula>40</formula>
      <formula>44.99</formula>
    </cfRule>
    <cfRule type="cellIs" dxfId="5738" priority="368" operator="between">
      <formula>55.1</formula>
      <formula>60</formula>
    </cfRule>
    <cfRule type="expression" dxfId="5737" priority="369">
      <formula>AD66&lt;40</formula>
    </cfRule>
    <cfRule type="expression" dxfId="5736" priority="370">
      <formula>AD66&gt;60</formula>
    </cfRule>
  </conditionalFormatting>
  <conditionalFormatting sqref="AG65">
    <cfRule type="cellIs" dxfId="5735" priority="363" operator="between">
      <formula>40</formula>
      <formula>44.99</formula>
    </cfRule>
    <cfRule type="cellIs" dxfId="5734" priority="364" operator="between">
      <formula>55.1</formula>
      <formula>60</formula>
    </cfRule>
    <cfRule type="expression" dxfId="5733" priority="365">
      <formula>AG65&lt;40</formula>
    </cfRule>
    <cfRule type="expression" dxfId="5732" priority="366">
      <formula>AG65&gt;60</formula>
    </cfRule>
  </conditionalFormatting>
  <conditionalFormatting sqref="AG66">
    <cfRule type="cellIs" dxfId="5731" priority="359" operator="between">
      <formula>40</formula>
      <formula>44.99</formula>
    </cfRule>
    <cfRule type="cellIs" dxfId="5730" priority="360" operator="between">
      <formula>55.1</formula>
      <formula>60</formula>
    </cfRule>
    <cfRule type="expression" dxfId="5729" priority="361">
      <formula>AG66&lt;40</formula>
    </cfRule>
    <cfRule type="expression" dxfId="5728" priority="362">
      <formula>AG66&gt;60</formula>
    </cfRule>
  </conditionalFormatting>
  <conditionalFormatting sqref="AK65">
    <cfRule type="cellIs" dxfId="5727" priority="355" operator="between">
      <formula>40</formula>
      <formula>44.99</formula>
    </cfRule>
    <cfRule type="cellIs" dxfId="5726" priority="356" operator="between">
      <formula>55.1</formula>
      <formula>60</formula>
    </cfRule>
    <cfRule type="expression" dxfId="5725" priority="357">
      <formula>AK65&lt;40</formula>
    </cfRule>
    <cfRule type="expression" dxfId="5724" priority="358">
      <formula>AK65&gt;60</formula>
    </cfRule>
  </conditionalFormatting>
  <conditionalFormatting sqref="AK66">
    <cfRule type="cellIs" dxfId="5723" priority="351" operator="between">
      <formula>40</formula>
      <formula>44.99</formula>
    </cfRule>
    <cfRule type="cellIs" dxfId="5722" priority="352" operator="between">
      <formula>55.1</formula>
      <formula>60</formula>
    </cfRule>
    <cfRule type="expression" dxfId="5721" priority="353">
      <formula>AK66&lt;40</formula>
    </cfRule>
    <cfRule type="expression" dxfId="5720" priority="354">
      <formula>AK66&gt;60</formula>
    </cfRule>
  </conditionalFormatting>
  <conditionalFormatting sqref="AN65">
    <cfRule type="cellIs" dxfId="5719" priority="347" operator="between">
      <formula>40</formula>
      <formula>44.99</formula>
    </cfRule>
    <cfRule type="cellIs" dxfId="5718" priority="348" operator="between">
      <formula>55.1</formula>
      <formula>60</formula>
    </cfRule>
    <cfRule type="expression" dxfId="5717" priority="349">
      <formula>AN65&lt;40</formula>
    </cfRule>
    <cfRule type="expression" dxfId="5716" priority="350">
      <formula>AN65&gt;60</formula>
    </cfRule>
  </conditionalFormatting>
  <conditionalFormatting sqref="AN66">
    <cfRule type="cellIs" dxfId="5715" priority="343" operator="between">
      <formula>40</formula>
      <formula>44.99</formula>
    </cfRule>
    <cfRule type="cellIs" dxfId="5714" priority="344" operator="between">
      <formula>55.1</formula>
      <formula>60</formula>
    </cfRule>
    <cfRule type="expression" dxfId="5713" priority="345">
      <formula>AN66&lt;40</formula>
    </cfRule>
    <cfRule type="expression" dxfId="5712" priority="346">
      <formula>AN66&gt;60</formula>
    </cfRule>
  </conditionalFormatting>
  <conditionalFormatting sqref="AR65">
    <cfRule type="cellIs" dxfId="5711" priority="339" operator="between">
      <formula>40</formula>
      <formula>44.99</formula>
    </cfRule>
    <cfRule type="cellIs" dxfId="5710" priority="340" operator="between">
      <formula>55.1</formula>
      <formula>60</formula>
    </cfRule>
    <cfRule type="expression" dxfId="5709" priority="341">
      <formula>AR65&lt;40</formula>
    </cfRule>
    <cfRule type="expression" dxfId="5708" priority="342">
      <formula>AR65&gt;60</formula>
    </cfRule>
  </conditionalFormatting>
  <conditionalFormatting sqref="AR66">
    <cfRule type="cellIs" dxfId="5707" priority="335" operator="between">
      <formula>40</formula>
      <formula>44.99</formula>
    </cfRule>
    <cfRule type="cellIs" dxfId="5706" priority="336" operator="between">
      <formula>55.1</formula>
      <formula>60</formula>
    </cfRule>
    <cfRule type="expression" dxfId="5705" priority="337">
      <formula>AR66&lt;40</formula>
    </cfRule>
    <cfRule type="expression" dxfId="5704" priority="338">
      <formula>AR66&gt;60</formula>
    </cfRule>
  </conditionalFormatting>
  <conditionalFormatting sqref="AU65">
    <cfRule type="cellIs" dxfId="5703" priority="331" operator="between">
      <formula>40</formula>
      <formula>44.99</formula>
    </cfRule>
    <cfRule type="cellIs" dxfId="5702" priority="332" operator="between">
      <formula>55.1</formula>
      <formula>60</formula>
    </cfRule>
    <cfRule type="expression" dxfId="5701" priority="333">
      <formula>AU65&lt;40</formula>
    </cfRule>
    <cfRule type="expression" dxfId="5700" priority="334">
      <formula>AU65&gt;60</formula>
    </cfRule>
  </conditionalFormatting>
  <conditionalFormatting sqref="AU66">
    <cfRule type="cellIs" dxfId="5699" priority="327" operator="between">
      <formula>40</formula>
      <formula>44.99</formula>
    </cfRule>
    <cfRule type="cellIs" dxfId="5698" priority="328" operator="between">
      <formula>55.1</formula>
      <formula>60</formula>
    </cfRule>
    <cfRule type="expression" dxfId="5697" priority="329">
      <formula>AU66&lt;40</formula>
    </cfRule>
    <cfRule type="expression" dxfId="5696" priority="330">
      <formula>AU66&gt;60</formula>
    </cfRule>
  </conditionalFormatting>
  <conditionalFormatting sqref="I89">
    <cfRule type="cellIs" dxfId="5695" priority="323" operator="between">
      <formula>2</formula>
      <formula>2.099</formula>
    </cfRule>
    <cfRule type="cellIs" dxfId="5694" priority="324" operator="between">
      <formula>2.31</formula>
      <formula>2.4</formula>
    </cfRule>
    <cfRule type="expression" dxfId="5693" priority="325">
      <formula>I89&lt;2</formula>
    </cfRule>
    <cfRule type="expression" dxfId="5692" priority="326">
      <formula>I89&gt;2.4</formula>
    </cfRule>
  </conditionalFormatting>
  <conditionalFormatting sqref="P89">
    <cfRule type="cellIs" dxfId="5691" priority="319" operator="between">
      <formula>2</formula>
      <formula>2.099</formula>
    </cfRule>
    <cfRule type="cellIs" dxfId="5690" priority="320" operator="between">
      <formula>2.31</formula>
      <formula>2.4</formula>
    </cfRule>
    <cfRule type="expression" dxfId="5689" priority="321">
      <formula>P89&lt;2</formula>
    </cfRule>
    <cfRule type="expression" dxfId="5688" priority="322">
      <formula>P89&gt;2.4</formula>
    </cfRule>
  </conditionalFormatting>
  <conditionalFormatting sqref="W89">
    <cfRule type="cellIs" dxfId="5687" priority="315" operator="between">
      <formula>2</formula>
      <formula>2.099</formula>
    </cfRule>
    <cfRule type="cellIs" dxfId="5686" priority="316" operator="between">
      <formula>2.31</formula>
      <formula>2.4</formula>
    </cfRule>
    <cfRule type="expression" dxfId="5685" priority="317">
      <formula>W89&lt;2</formula>
    </cfRule>
    <cfRule type="expression" dxfId="5684" priority="318">
      <formula>W89&gt;2.4</formula>
    </cfRule>
  </conditionalFormatting>
  <conditionalFormatting sqref="AD89">
    <cfRule type="cellIs" dxfId="5683" priority="311" operator="between">
      <formula>2</formula>
      <formula>2.099</formula>
    </cfRule>
    <cfRule type="cellIs" dxfId="5682" priority="312" operator="between">
      <formula>2.31</formula>
      <formula>2.4</formula>
    </cfRule>
    <cfRule type="expression" dxfId="5681" priority="313">
      <formula>AD89&lt;2</formula>
    </cfRule>
    <cfRule type="expression" dxfId="5680" priority="314">
      <formula>AD89&gt;2.4</formula>
    </cfRule>
  </conditionalFormatting>
  <conditionalFormatting sqref="AK89">
    <cfRule type="cellIs" dxfId="5679" priority="307" operator="between">
      <formula>2</formula>
      <formula>2.099</formula>
    </cfRule>
    <cfRule type="cellIs" dxfId="5678" priority="308" operator="between">
      <formula>2.31</formula>
      <formula>2.4</formula>
    </cfRule>
    <cfRule type="expression" dxfId="5677" priority="309">
      <formula>AK89&lt;2</formula>
    </cfRule>
    <cfRule type="expression" dxfId="5676" priority="310">
      <formula>AK89&gt;2.4</formula>
    </cfRule>
  </conditionalFormatting>
  <conditionalFormatting sqref="AR89">
    <cfRule type="cellIs" dxfId="5675" priority="303" operator="between">
      <formula>2</formula>
      <formula>2.099</formula>
    </cfRule>
    <cfRule type="cellIs" dxfId="5674" priority="304" operator="between">
      <formula>2.31</formula>
      <formula>2.4</formula>
    </cfRule>
    <cfRule type="expression" dxfId="5673" priority="305">
      <formula>AR89&lt;2</formula>
    </cfRule>
    <cfRule type="expression" dxfId="5672" priority="306">
      <formula>AR89&gt;2.4</formula>
    </cfRule>
  </conditionalFormatting>
  <conditionalFormatting sqref="I25">
    <cfRule type="cellIs" dxfId="5671" priority="299" operator="between">
      <formula>1.8</formula>
      <formula>1.899</formula>
    </cfRule>
    <cfRule type="cellIs" dxfId="5670" priority="300" operator="between">
      <formula>2.11</formula>
      <formula>2.2</formula>
    </cfRule>
    <cfRule type="expression" dxfId="5669" priority="301">
      <formula>I25&lt;1.8</formula>
    </cfRule>
    <cfRule type="expression" dxfId="5668" priority="302">
      <formula>I25&gt;2.2</formula>
    </cfRule>
  </conditionalFormatting>
  <conditionalFormatting sqref="P25">
    <cfRule type="cellIs" dxfId="5667" priority="295" operator="between">
      <formula>1.8</formula>
      <formula>1.899</formula>
    </cfRule>
    <cfRule type="cellIs" dxfId="5666" priority="296" operator="between">
      <formula>2.11</formula>
      <formula>2.2</formula>
    </cfRule>
    <cfRule type="expression" dxfId="5665" priority="297">
      <formula>P25&lt;1.8</formula>
    </cfRule>
    <cfRule type="expression" dxfId="5664" priority="298">
      <formula>P25&gt;2.2</formula>
    </cfRule>
  </conditionalFormatting>
  <conditionalFormatting sqref="W25">
    <cfRule type="cellIs" dxfId="5663" priority="291" operator="between">
      <formula>1.8</formula>
      <formula>1.899</formula>
    </cfRule>
    <cfRule type="cellIs" dxfId="5662" priority="292" operator="between">
      <formula>2.11</formula>
      <formula>2.2</formula>
    </cfRule>
    <cfRule type="expression" dxfId="5661" priority="293">
      <formula>W25&lt;1.8</formula>
    </cfRule>
    <cfRule type="expression" dxfId="5660" priority="294">
      <formula>W25&gt;2.2</formula>
    </cfRule>
  </conditionalFormatting>
  <conditionalFormatting sqref="AD25">
    <cfRule type="cellIs" dxfId="5659" priority="287" operator="between">
      <formula>1.8</formula>
      <formula>1.899</formula>
    </cfRule>
    <cfRule type="cellIs" dxfId="5658" priority="288" operator="between">
      <formula>2.11</formula>
      <formula>2.2</formula>
    </cfRule>
    <cfRule type="expression" dxfId="5657" priority="289">
      <formula>AD25&lt;1.8</formula>
    </cfRule>
    <cfRule type="expression" dxfId="5656" priority="290">
      <formula>AD25&gt;2.2</formula>
    </cfRule>
  </conditionalFormatting>
  <conditionalFormatting sqref="AK25">
    <cfRule type="cellIs" dxfId="5655" priority="283" operator="between">
      <formula>1.8</formula>
      <formula>1.899</formula>
    </cfRule>
    <cfRule type="cellIs" dxfId="5654" priority="284" operator="between">
      <formula>2.11</formula>
      <formula>2.2</formula>
    </cfRule>
    <cfRule type="expression" dxfId="5653" priority="285">
      <formula>AK25&lt;1.8</formula>
    </cfRule>
    <cfRule type="expression" dxfId="5652" priority="286">
      <formula>AK25&gt;2.2</formula>
    </cfRule>
  </conditionalFormatting>
  <conditionalFormatting sqref="AR25">
    <cfRule type="cellIs" dxfId="5651" priority="279" operator="between">
      <formula>1.8</formula>
      <formula>1.899</formula>
    </cfRule>
    <cfRule type="cellIs" dxfId="5650" priority="280" operator="between">
      <formula>2.11</formula>
      <formula>2.2</formula>
    </cfRule>
    <cfRule type="expression" dxfId="5649" priority="281">
      <formula>AR25&lt;1.8</formula>
    </cfRule>
    <cfRule type="expression" dxfId="5648" priority="282">
      <formula>AR25&gt;2.2</formula>
    </cfRule>
  </conditionalFormatting>
  <conditionalFormatting sqref="P24">
    <cfRule type="cellIs" dxfId="5647" priority="275" operator="between">
      <formula>5</formula>
      <formula>6.49</formula>
    </cfRule>
    <cfRule type="cellIs" dxfId="5646" priority="276" operator="between">
      <formula>8.51</formula>
      <formula>10</formula>
    </cfRule>
    <cfRule type="expression" dxfId="5645" priority="277">
      <formula>P24&lt;5</formula>
    </cfRule>
    <cfRule type="expression" dxfId="5644" priority="278">
      <formula>P24&gt;10</formula>
    </cfRule>
  </conditionalFormatting>
  <conditionalFormatting sqref="W24">
    <cfRule type="cellIs" dxfId="5643" priority="271" operator="between">
      <formula>5</formula>
      <formula>6.49</formula>
    </cfRule>
    <cfRule type="cellIs" dxfId="5642" priority="272" operator="between">
      <formula>8.51</formula>
      <formula>10</formula>
    </cfRule>
    <cfRule type="expression" dxfId="5641" priority="273">
      <formula>W24&lt;5</formula>
    </cfRule>
    <cfRule type="expression" dxfId="5640" priority="274">
      <formula>W24&gt;10</formula>
    </cfRule>
  </conditionalFormatting>
  <conditionalFormatting sqref="AD24">
    <cfRule type="cellIs" dxfId="5639" priority="267" operator="between">
      <formula>5</formula>
      <formula>6.49</formula>
    </cfRule>
    <cfRule type="cellIs" dxfId="5638" priority="268" operator="between">
      <formula>8.51</formula>
      <formula>10</formula>
    </cfRule>
    <cfRule type="expression" dxfId="5637" priority="269">
      <formula>AD24&lt;5</formula>
    </cfRule>
    <cfRule type="expression" dxfId="5636" priority="270">
      <formula>AD24&gt;10</formula>
    </cfRule>
  </conditionalFormatting>
  <conditionalFormatting sqref="AK24">
    <cfRule type="cellIs" dxfId="5635" priority="263" operator="between">
      <formula>5</formula>
      <formula>6.49</formula>
    </cfRule>
    <cfRule type="cellIs" dxfId="5634" priority="264" operator="between">
      <formula>8.51</formula>
      <formula>10</formula>
    </cfRule>
    <cfRule type="expression" dxfId="5633" priority="265">
      <formula>AK24&lt;5</formula>
    </cfRule>
    <cfRule type="expression" dxfId="5632" priority="266">
      <formula>AK24&gt;10</formula>
    </cfRule>
  </conditionalFormatting>
  <conditionalFormatting sqref="AR24">
    <cfRule type="cellIs" dxfId="5631" priority="259" operator="between">
      <formula>5</formula>
      <formula>6.49</formula>
    </cfRule>
    <cfRule type="cellIs" dxfId="5630" priority="260" operator="between">
      <formula>8.51</formula>
      <formula>10</formula>
    </cfRule>
    <cfRule type="expression" dxfId="5629" priority="261">
      <formula>AR24&lt;5</formula>
    </cfRule>
    <cfRule type="expression" dxfId="5628" priority="262">
      <formula>AR24&gt;10</formula>
    </cfRule>
  </conditionalFormatting>
  <conditionalFormatting sqref="P94">
    <cfRule type="expression" dxfId="5627" priority="205">
      <formula>P94&lt;0.6%</formula>
    </cfRule>
    <cfRule type="expression" dxfId="5626" priority="206">
      <formula>P94&gt;1.4%</formula>
    </cfRule>
  </conditionalFormatting>
  <conditionalFormatting sqref="W94">
    <cfRule type="expression" dxfId="5625" priority="203">
      <formula>W94&lt;0.6%</formula>
    </cfRule>
    <cfRule type="expression" dxfId="5624" priority="204">
      <formula>W94&gt;1.4%</formula>
    </cfRule>
  </conditionalFormatting>
  <conditionalFormatting sqref="AD94">
    <cfRule type="expression" dxfId="5623" priority="201">
      <formula>AD94&lt;0.6%</formula>
    </cfRule>
    <cfRule type="expression" dxfId="5622" priority="202">
      <formula>AD94&gt;1.4%</formula>
    </cfRule>
  </conditionalFormatting>
  <conditionalFormatting sqref="AK94">
    <cfRule type="expression" dxfId="5621" priority="199">
      <formula>AK94&lt;0.6%</formula>
    </cfRule>
    <cfRule type="expression" dxfId="5620" priority="200">
      <formula>AK94&gt;1.4%</formula>
    </cfRule>
  </conditionalFormatting>
  <conditionalFormatting sqref="AR94">
    <cfRule type="expression" dxfId="5619" priority="197">
      <formula>AR94&lt;0.6%</formula>
    </cfRule>
    <cfRule type="expression" dxfId="5618" priority="198">
      <formula>AR94&gt;1.4%</formula>
    </cfRule>
  </conditionalFormatting>
  <conditionalFormatting sqref="P58">
    <cfRule type="cellIs" dxfId="5617" priority="193" operator="between">
      <formula>0.5%</formula>
      <formula>0.599%</formula>
    </cfRule>
    <cfRule type="cellIs" dxfId="5616" priority="194" operator="between">
      <formula>1.41%</formula>
      <formula>1.5%</formula>
    </cfRule>
    <cfRule type="expression" dxfId="5615" priority="195">
      <formula>P58&lt;0.5%</formula>
    </cfRule>
    <cfRule type="expression" dxfId="5614" priority="196">
      <formula>P58&gt;1.5%</formula>
    </cfRule>
  </conditionalFormatting>
  <conditionalFormatting sqref="W58">
    <cfRule type="cellIs" dxfId="5613" priority="189" operator="between">
      <formula>0.5%</formula>
      <formula>0.599%</formula>
    </cfRule>
    <cfRule type="cellIs" dxfId="5612" priority="190" operator="between">
      <formula>1.41%</formula>
      <formula>1.5%</formula>
    </cfRule>
    <cfRule type="expression" dxfId="5611" priority="191">
      <formula>W58&lt;0.5%</formula>
    </cfRule>
    <cfRule type="expression" dxfId="5610" priority="192">
      <formula>W58&gt;1.5%</formula>
    </cfRule>
  </conditionalFormatting>
  <conditionalFormatting sqref="AD58">
    <cfRule type="cellIs" dxfId="5609" priority="185" operator="between">
      <formula>0.5%</formula>
      <formula>0.599%</formula>
    </cfRule>
    <cfRule type="cellIs" dxfId="5608" priority="186" operator="between">
      <formula>1.41%</formula>
      <formula>1.5%</formula>
    </cfRule>
    <cfRule type="expression" dxfId="5607" priority="187">
      <formula>AD58&lt;0.5%</formula>
    </cfRule>
    <cfRule type="expression" dxfId="5606" priority="188">
      <formula>AD58&gt;1.5%</formula>
    </cfRule>
  </conditionalFormatting>
  <conditionalFormatting sqref="AK58">
    <cfRule type="cellIs" dxfId="5605" priority="181" operator="between">
      <formula>0.5%</formula>
      <formula>0.599%</formula>
    </cfRule>
    <cfRule type="cellIs" dxfId="5604" priority="182" operator="between">
      <formula>1.41%</formula>
      <formula>1.5%</formula>
    </cfRule>
    <cfRule type="expression" dxfId="5603" priority="183">
      <formula>AK58&lt;0.5%</formula>
    </cfRule>
    <cfRule type="expression" dxfId="5602" priority="184">
      <formula>AK58&gt;1.5%</formula>
    </cfRule>
  </conditionalFormatting>
  <conditionalFormatting sqref="AR58">
    <cfRule type="cellIs" dxfId="5601" priority="177" operator="between">
      <formula>0.5%</formula>
      <formula>0.599%</formula>
    </cfRule>
    <cfRule type="cellIs" dxfId="5600" priority="178" operator="between">
      <formula>1.41%</formula>
      <formula>1.5%</formula>
    </cfRule>
    <cfRule type="expression" dxfId="5599" priority="179">
      <formula>AR58&lt;0.5%</formula>
    </cfRule>
    <cfRule type="expression" dxfId="5598" priority="180">
      <formula>AR58&gt;1.5%</formula>
    </cfRule>
  </conditionalFormatting>
  <conditionalFormatting sqref="P23">
    <cfRule type="cellIs" dxfId="5597" priority="173" operator="between">
      <formula>0.5%</formula>
      <formula>0.599%</formula>
    </cfRule>
    <cfRule type="cellIs" dxfId="5596" priority="174" operator="between">
      <formula>1.41%</formula>
      <formula>1.5%</formula>
    </cfRule>
    <cfRule type="expression" dxfId="5595" priority="175">
      <formula>P23&lt;0.5%</formula>
    </cfRule>
    <cfRule type="expression" dxfId="5594" priority="176">
      <formula>P23&gt;1.5%</formula>
    </cfRule>
  </conditionalFormatting>
  <conditionalFormatting sqref="W23">
    <cfRule type="cellIs" dxfId="5593" priority="169" operator="between">
      <formula>0.5%</formula>
      <formula>0.599%</formula>
    </cfRule>
    <cfRule type="cellIs" dxfId="5592" priority="170" operator="between">
      <formula>1.41%</formula>
      <formula>1.5%</formula>
    </cfRule>
    <cfRule type="expression" dxfId="5591" priority="171">
      <formula>W23&lt;0.5%</formula>
    </cfRule>
    <cfRule type="expression" dxfId="5590" priority="172">
      <formula>W23&gt;1.5%</formula>
    </cfRule>
  </conditionalFormatting>
  <conditionalFormatting sqref="AD23">
    <cfRule type="cellIs" dxfId="5589" priority="165" operator="between">
      <formula>0.5%</formula>
      <formula>0.599%</formula>
    </cfRule>
    <cfRule type="cellIs" dxfId="5588" priority="166" operator="between">
      <formula>1.41%</formula>
      <formula>1.5%</formula>
    </cfRule>
    <cfRule type="expression" dxfId="5587" priority="167">
      <formula>AD23&lt;0.5%</formula>
    </cfRule>
    <cfRule type="expression" dxfId="5586" priority="168">
      <formula>AD23&gt;1.5%</formula>
    </cfRule>
  </conditionalFormatting>
  <conditionalFormatting sqref="AK23">
    <cfRule type="cellIs" dxfId="5585" priority="161" operator="between">
      <formula>0.5%</formula>
      <formula>0.599%</formula>
    </cfRule>
    <cfRule type="cellIs" dxfId="5584" priority="162" operator="between">
      <formula>1.41%</formula>
      <formula>1.5%</formula>
    </cfRule>
    <cfRule type="expression" dxfId="5583" priority="163">
      <formula>AK23&lt;0.5%</formula>
    </cfRule>
    <cfRule type="expression" dxfId="5582" priority="164">
      <formula>AK23&gt;1.5%</formula>
    </cfRule>
  </conditionalFormatting>
  <conditionalFormatting sqref="AR23">
    <cfRule type="cellIs" dxfId="5581" priority="157" operator="between">
      <formula>0.5%</formula>
      <formula>0.599%</formula>
    </cfRule>
    <cfRule type="cellIs" dxfId="5580" priority="158" operator="between">
      <formula>1.41%</formula>
      <formula>1.5%</formula>
    </cfRule>
    <cfRule type="expression" dxfId="5579" priority="159">
      <formula>AR23&lt;0.5%</formula>
    </cfRule>
    <cfRule type="expression" dxfId="5578" priority="160">
      <formula>AR23&gt;1.5%</formula>
    </cfRule>
  </conditionalFormatting>
  <conditionalFormatting sqref="I95 AL95">
    <cfRule type="cellIs" dxfId="5577" priority="153" operator="between">
      <formula>5</formula>
      <formula>5.499</formula>
    </cfRule>
    <cfRule type="cellIs" dxfId="5576" priority="154" operator="between">
      <formula>6.51</formula>
      <formula>8</formula>
    </cfRule>
    <cfRule type="expression" dxfId="5575" priority="155">
      <formula>I95&lt;5</formula>
    </cfRule>
    <cfRule type="expression" dxfId="5574" priority="156">
      <formula>I95&gt;8</formula>
    </cfRule>
  </conditionalFormatting>
  <conditionalFormatting sqref="I96 AL96">
    <cfRule type="cellIs" dxfId="5573" priority="149" operator="between">
      <formula>1.8</formula>
      <formula>1.999</formula>
    </cfRule>
    <cfRule type="cellIs" dxfId="5572" priority="150" operator="between">
      <formula>2.21</formula>
      <formula>2.4</formula>
    </cfRule>
    <cfRule type="expression" dxfId="5571" priority="151">
      <formula>I96&lt;1.8</formula>
    </cfRule>
    <cfRule type="expression" dxfId="5570" priority="152">
      <formula>I96&gt;2.4</formula>
    </cfRule>
  </conditionalFormatting>
  <conditionalFormatting sqref="P95">
    <cfRule type="cellIs" dxfId="5569" priority="145" operator="between">
      <formula>5</formula>
      <formula>5.499</formula>
    </cfRule>
    <cfRule type="cellIs" dxfId="5568" priority="146" operator="between">
      <formula>6.51</formula>
      <formula>8</formula>
    </cfRule>
    <cfRule type="expression" dxfId="5567" priority="147">
      <formula>P95&lt;5</formula>
    </cfRule>
    <cfRule type="expression" dxfId="5566" priority="148">
      <formula>P95&gt;8</formula>
    </cfRule>
  </conditionalFormatting>
  <conditionalFormatting sqref="P96">
    <cfRule type="cellIs" dxfId="5565" priority="141" operator="between">
      <formula>1.8</formula>
      <formula>1.999</formula>
    </cfRule>
    <cfRule type="cellIs" dxfId="5564" priority="142" operator="between">
      <formula>2.21</formula>
      <formula>2.4</formula>
    </cfRule>
    <cfRule type="expression" dxfId="5563" priority="143">
      <formula>P96&lt;1.8</formula>
    </cfRule>
    <cfRule type="expression" dxfId="5562" priority="144">
      <formula>P96&gt;2.4</formula>
    </cfRule>
  </conditionalFormatting>
  <conditionalFormatting sqref="W95">
    <cfRule type="cellIs" dxfId="5561" priority="137" operator="between">
      <formula>5</formula>
      <formula>5.499</formula>
    </cfRule>
    <cfRule type="cellIs" dxfId="5560" priority="138" operator="between">
      <formula>6.51</formula>
      <formula>8</formula>
    </cfRule>
    <cfRule type="expression" dxfId="5559" priority="139">
      <formula>W95&lt;5</formula>
    </cfRule>
    <cfRule type="expression" dxfId="5558" priority="140">
      <formula>W95&gt;8</formula>
    </cfRule>
  </conditionalFormatting>
  <conditionalFormatting sqref="W96">
    <cfRule type="cellIs" dxfId="5557" priority="133" operator="between">
      <formula>1.8</formula>
      <formula>1.999</formula>
    </cfRule>
    <cfRule type="cellIs" dxfId="5556" priority="134" operator="between">
      <formula>2.21</formula>
      <formula>2.4</formula>
    </cfRule>
    <cfRule type="expression" dxfId="5555" priority="135">
      <formula>W96&lt;1.8</formula>
    </cfRule>
    <cfRule type="expression" dxfId="5554" priority="136">
      <formula>W96&gt;2.4</formula>
    </cfRule>
  </conditionalFormatting>
  <conditionalFormatting sqref="AD95">
    <cfRule type="cellIs" dxfId="5553" priority="129" operator="between">
      <formula>5</formula>
      <formula>5.499</formula>
    </cfRule>
    <cfRule type="cellIs" dxfId="5552" priority="130" operator="between">
      <formula>6.51</formula>
      <formula>8</formula>
    </cfRule>
    <cfRule type="expression" dxfId="5551" priority="131">
      <formula>AD95&lt;5</formula>
    </cfRule>
    <cfRule type="expression" dxfId="5550" priority="132">
      <formula>AD95&gt;8</formula>
    </cfRule>
  </conditionalFormatting>
  <conditionalFormatting sqref="AD96">
    <cfRule type="cellIs" dxfId="5549" priority="125" operator="between">
      <formula>1.8</formula>
      <formula>1.999</formula>
    </cfRule>
    <cfRule type="cellIs" dxfId="5548" priority="126" operator="between">
      <formula>2.21</formula>
      <formula>2.4</formula>
    </cfRule>
    <cfRule type="expression" dxfId="5547" priority="127">
      <formula>AD96&lt;1.8</formula>
    </cfRule>
    <cfRule type="expression" dxfId="5546" priority="128">
      <formula>AD96&gt;2.4</formula>
    </cfRule>
  </conditionalFormatting>
  <conditionalFormatting sqref="AK95">
    <cfRule type="cellIs" dxfId="5545" priority="121" operator="between">
      <formula>5</formula>
      <formula>5.499</formula>
    </cfRule>
    <cfRule type="cellIs" dxfId="5544" priority="122" operator="between">
      <formula>6.51</formula>
      <formula>8</formula>
    </cfRule>
    <cfRule type="expression" dxfId="5543" priority="123">
      <formula>AK95&lt;5</formula>
    </cfRule>
    <cfRule type="expression" dxfId="5542" priority="124">
      <formula>AK95&gt;8</formula>
    </cfRule>
  </conditionalFormatting>
  <conditionalFormatting sqref="AK96">
    <cfRule type="cellIs" dxfId="5541" priority="117" operator="between">
      <formula>1.8</formula>
      <formula>1.999</formula>
    </cfRule>
    <cfRule type="cellIs" dxfId="5540" priority="118" operator="between">
      <formula>2.21</formula>
      <formula>2.4</formula>
    </cfRule>
    <cfRule type="expression" dxfId="5539" priority="119">
      <formula>AK96&lt;1.8</formula>
    </cfRule>
    <cfRule type="expression" dxfId="5538" priority="120">
      <formula>AK96&gt;2.4</formula>
    </cfRule>
  </conditionalFormatting>
  <conditionalFormatting sqref="P95">
    <cfRule type="cellIs" dxfId="5537" priority="113" operator="between">
      <formula>5</formula>
      <formula>5.499</formula>
    </cfRule>
    <cfRule type="cellIs" dxfId="5536" priority="114" operator="between">
      <formula>6.51</formula>
      <formula>8</formula>
    </cfRule>
    <cfRule type="expression" dxfId="5535" priority="115">
      <formula>P95&lt;5</formula>
    </cfRule>
    <cfRule type="expression" dxfId="5534" priority="116">
      <formula>P95&gt;8</formula>
    </cfRule>
  </conditionalFormatting>
  <conditionalFormatting sqref="P95 W95">
    <cfRule type="cellIs" dxfId="5533" priority="109" operator="between">
      <formula>5</formula>
      <formula>5.499</formula>
    </cfRule>
    <cfRule type="cellIs" dxfId="5532" priority="110" operator="between">
      <formula>6.51</formula>
      <formula>8</formula>
    </cfRule>
    <cfRule type="expression" dxfId="5531" priority="111">
      <formula>P95&lt;5</formula>
    </cfRule>
    <cfRule type="expression" dxfId="5530" priority="112">
      <formula>P95&gt;8</formula>
    </cfRule>
  </conditionalFormatting>
  <conditionalFormatting sqref="AD95">
    <cfRule type="cellIs" dxfId="5529" priority="105" operator="between">
      <formula>5</formula>
      <formula>5.499</formula>
    </cfRule>
    <cfRule type="cellIs" dxfId="5528" priority="106" operator="between">
      <formula>6.51</formula>
      <formula>8</formula>
    </cfRule>
    <cfRule type="expression" dxfId="5527" priority="107">
      <formula>AD95&lt;5</formula>
    </cfRule>
    <cfRule type="expression" dxfId="5526" priority="108">
      <formula>AD95&gt;8</formula>
    </cfRule>
  </conditionalFormatting>
  <conditionalFormatting sqref="AK95">
    <cfRule type="cellIs" dxfId="5525" priority="101" operator="between">
      <formula>5</formula>
      <formula>5.499</formula>
    </cfRule>
    <cfRule type="cellIs" dxfId="5524" priority="102" operator="between">
      <formula>6.51</formula>
      <formula>8</formula>
    </cfRule>
    <cfRule type="expression" dxfId="5523" priority="103">
      <formula>AK95&lt;5</formula>
    </cfRule>
    <cfRule type="expression" dxfId="5522" priority="104">
      <formula>AK95&gt;8</formula>
    </cfRule>
  </conditionalFormatting>
  <conditionalFormatting sqref="AR95">
    <cfRule type="cellIs" dxfId="5521" priority="97" operator="between">
      <formula>5</formula>
      <formula>5.499</formula>
    </cfRule>
    <cfRule type="cellIs" dxfId="5520" priority="98" operator="between">
      <formula>6.51</formula>
      <formula>8</formula>
    </cfRule>
    <cfRule type="expression" dxfId="5519" priority="99">
      <formula>AR95&lt;5</formula>
    </cfRule>
    <cfRule type="expression" dxfId="5518" priority="100">
      <formula>AR95&gt;8</formula>
    </cfRule>
  </conditionalFormatting>
  <conditionalFormatting sqref="AR96">
    <cfRule type="cellIs" dxfId="5517" priority="93" operator="between">
      <formula>1.8</formula>
      <formula>1.999</formula>
    </cfRule>
    <cfRule type="cellIs" dxfId="5516" priority="94" operator="between">
      <formula>2.21</formula>
      <formula>2.4</formula>
    </cfRule>
    <cfRule type="expression" dxfId="5515" priority="95">
      <formula>AR96&lt;1.8</formula>
    </cfRule>
    <cfRule type="expression" dxfId="5514" priority="96">
      <formula>AR96&gt;2.4</formula>
    </cfRule>
  </conditionalFormatting>
  <conditionalFormatting sqref="P91">
    <cfRule type="expression" dxfId="5513" priority="91">
      <formula>P91&lt;40%</formula>
    </cfRule>
    <cfRule type="expression" dxfId="5512" priority="92">
      <formula>P91&gt;50%</formula>
    </cfRule>
  </conditionalFormatting>
  <conditionalFormatting sqref="W91">
    <cfRule type="expression" dxfId="5511" priority="89">
      <formula>W91&lt;40%</formula>
    </cfRule>
    <cfRule type="expression" dxfId="5510" priority="90">
      <formula>W91&gt;50%</formula>
    </cfRule>
  </conditionalFormatting>
  <conditionalFormatting sqref="AD91">
    <cfRule type="expression" dxfId="5509" priority="87">
      <formula>AD91&lt;40%</formula>
    </cfRule>
    <cfRule type="expression" dxfId="5508" priority="88">
      <formula>AD91&gt;50%</formula>
    </cfRule>
  </conditionalFormatting>
  <conditionalFormatting sqref="AK91">
    <cfRule type="expression" dxfId="5507" priority="85">
      <formula>AK91&lt;40%</formula>
    </cfRule>
    <cfRule type="expression" dxfId="5506" priority="86">
      <formula>AK91&gt;50%</formula>
    </cfRule>
  </conditionalFormatting>
  <conditionalFormatting sqref="AR91">
    <cfRule type="expression" dxfId="5505" priority="83">
      <formula>AR91&lt;40%</formula>
    </cfRule>
    <cfRule type="expression" dxfId="5504" priority="84">
      <formula>AR91&gt;50%</formula>
    </cfRule>
  </conditionalFormatting>
  <conditionalFormatting sqref="P90">
    <cfRule type="expression" dxfId="5503" priority="81">
      <formula>P90&lt;40%</formula>
    </cfRule>
    <cfRule type="expression" dxfId="5502" priority="82">
      <formula>P90&gt;50%</formula>
    </cfRule>
  </conditionalFormatting>
  <conditionalFormatting sqref="W90">
    <cfRule type="expression" dxfId="5501" priority="79">
      <formula>W90&lt;40%</formula>
    </cfRule>
    <cfRule type="expression" dxfId="5500" priority="80">
      <formula>W90&gt;50%</formula>
    </cfRule>
  </conditionalFormatting>
  <conditionalFormatting sqref="AD90">
    <cfRule type="expression" dxfId="5499" priority="77">
      <formula>AD90&lt;40%</formula>
    </cfRule>
    <cfRule type="expression" dxfId="5498" priority="78">
      <formula>AD90&gt;50%</formula>
    </cfRule>
  </conditionalFormatting>
  <conditionalFormatting sqref="AK90">
    <cfRule type="expression" dxfId="5497" priority="75">
      <formula>AK90&lt;40%</formula>
    </cfRule>
    <cfRule type="expression" dxfId="5496" priority="76">
      <formula>AK90&gt;50%</formula>
    </cfRule>
  </conditionalFormatting>
  <conditionalFormatting sqref="AR90">
    <cfRule type="expression" dxfId="5495" priority="73">
      <formula>AR90&lt;40%</formula>
    </cfRule>
    <cfRule type="expression" dxfId="5494" priority="74">
      <formula>AR90&gt;50%</formula>
    </cfRule>
  </conditionalFormatting>
  <conditionalFormatting sqref="W60">
    <cfRule type="cellIs" dxfId="5493" priority="69" operator="between">
      <formula>1.8</formula>
      <formula>1.999</formula>
    </cfRule>
    <cfRule type="cellIs" dxfId="5492" priority="70" operator="between">
      <formula>2.21</formula>
      <formula>2.4</formula>
    </cfRule>
    <cfRule type="expression" dxfId="5491" priority="71">
      <formula>W60&lt;1.8</formula>
    </cfRule>
    <cfRule type="expression" dxfId="5490" priority="72">
      <formula>W60&gt;2.4</formula>
    </cfRule>
  </conditionalFormatting>
  <conditionalFormatting sqref="W59:W60">
    <cfRule type="cellIs" dxfId="5489" priority="65" operator="between">
      <formula>5</formula>
      <formula>5.499</formula>
    </cfRule>
    <cfRule type="cellIs" dxfId="5488" priority="66" operator="between">
      <formula>6.51</formula>
      <formula>8</formula>
    </cfRule>
    <cfRule type="expression" dxfId="5487" priority="67">
      <formula>W59&lt;5</formula>
    </cfRule>
    <cfRule type="expression" dxfId="5486" priority="68">
      <formula>W59&gt;8</formula>
    </cfRule>
  </conditionalFormatting>
  <conditionalFormatting sqref="AD60">
    <cfRule type="cellIs" dxfId="5485" priority="61" operator="between">
      <formula>1.8</formula>
      <formula>1.999</formula>
    </cfRule>
    <cfRule type="cellIs" dxfId="5484" priority="62" operator="between">
      <formula>2.21</formula>
      <formula>2.4</formula>
    </cfRule>
    <cfRule type="expression" dxfId="5483" priority="63">
      <formula>AD60&lt;1.8</formula>
    </cfRule>
    <cfRule type="expression" dxfId="5482" priority="64">
      <formula>AD60&gt;2.4</formula>
    </cfRule>
  </conditionalFormatting>
  <conditionalFormatting sqref="AD59">
    <cfRule type="cellIs" dxfId="5481" priority="57" operator="between">
      <formula>5</formula>
      <formula>5.499</formula>
    </cfRule>
    <cfRule type="cellIs" dxfId="5480" priority="58" operator="between">
      <formula>6.51</formula>
      <formula>8</formula>
    </cfRule>
    <cfRule type="expression" dxfId="5479" priority="59">
      <formula>AD59&lt;5</formula>
    </cfRule>
    <cfRule type="expression" dxfId="5478" priority="60">
      <formula>AD59&gt;8</formula>
    </cfRule>
  </conditionalFormatting>
  <conditionalFormatting sqref="AD60">
    <cfRule type="cellIs" dxfId="5477" priority="53" operator="between">
      <formula>1.8</formula>
      <formula>1.999</formula>
    </cfRule>
    <cfRule type="cellIs" dxfId="5476" priority="54" operator="between">
      <formula>2.21</formula>
      <formula>2.4</formula>
    </cfRule>
    <cfRule type="expression" dxfId="5475" priority="55">
      <formula>AD60&lt;1.8</formula>
    </cfRule>
    <cfRule type="expression" dxfId="5474" priority="56">
      <formula>AD60&gt;2.4</formula>
    </cfRule>
  </conditionalFormatting>
  <conditionalFormatting sqref="AD59:AD60">
    <cfRule type="cellIs" dxfId="5473" priority="49" operator="between">
      <formula>5</formula>
      <formula>5.499</formula>
    </cfRule>
    <cfRule type="cellIs" dxfId="5472" priority="50" operator="between">
      <formula>6.51</formula>
      <formula>8</formula>
    </cfRule>
    <cfRule type="expression" dxfId="5471" priority="51">
      <formula>AD59&lt;5</formula>
    </cfRule>
    <cfRule type="expression" dxfId="5470" priority="52">
      <formula>AD59&gt;8</formula>
    </cfRule>
  </conditionalFormatting>
  <conditionalFormatting sqref="AK60">
    <cfRule type="cellIs" dxfId="5469" priority="45" operator="between">
      <formula>1.8</formula>
      <formula>1.999</formula>
    </cfRule>
    <cfRule type="cellIs" dxfId="5468" priority="46" operator="between">
      <formula>2.21</formula>
      <formula>2.4</formula>
    </cfRule>
    <cfRule type="expression" dxfId="5467" priority="47">
      <formula>AK60&lt;1.8</formula>
    </cfRule>
    <cfRule type="expression" dxfId="5466" priority="48">
      <formula>AK60&gt;2.4</formula>
    </cfRule>
  </conditionalFormatting>
  <conditionalFormatting sqref="AK59">
    <cfRule type="cellIs" dxfId="5465" priority="41" operator="between">
      <formula>5</formula>
      <formula>5.499</formula>
    </cfRule>
    <cfRule type="cellIs" dxfId="5464" priority="42" operator="between">
      <formula>6.51</formula>
      <formula>8</formula>
    </cfRule>
    <cfRule type="expression" dxfId="5463" priority="43">
      <formula>AK59&lt;5</formula>
    </cfRule>
    <cfRule type="expression" dxfId="5462" priority="44">
      <formula>AK59&gt;8</formula>
    </cfRule>
  </conditionalFormatting>
  <conditionalFormatting sqref="AK60">
    <cfRule type="cellIs" dxfId="5461" priority="37" operator="between">
      <formula>1.8</formula>
      <formula>1.999</formula>
    </cfRule>
    <cfRule type="cellIs" dxfId="5460" priority="38" operator="between">
      <formula>2.21</formula>
      <formula>2.4</formula>
    </cfRule>
    <cfRule type="expression" dxfId="5459" priority="39">
      <formula>AK60&lt;1.8</formula>
    </cfRule>
    <cfRule type="expression" dxfId="5458" priority="40">
      <formula>AK60&gt;2.4</formula>
    </cfRule>
  </conditionalFormatting>
  <conditionalFormatting sqref="AK59">
    <cfRule type="cellIs" dxfId="5457" priority="33" operator="between">
      <formula>5</formula>
      <formula>5.499</formula>
    </cfRule>
    <cfRule type="cellIs" dxfId="5456" priority="34" operator="between">
      <formula>6.51</formula>
      <formula>8</formula>
    </cfRule>
    <cfRule type="expression" dxfId="5455" priority="35">
      <formula>AK59&lt;5</formula>
    </cfRule>
    <cfRule type="expression" dxfId="5454" priority="36">
      <formula>AK59&gt;8</formula>
    </cfRule>
  </conditionalFormatting>
  <conditionalFormatting sqref="AK60">
    <cfRule type="cellIs" dxfId="5453" priority="29" operator="between">
      <formula>1.8</formula>
      <formula>1.999</formula>
    </cfRule>
    <cfRule type="cellIs" dxfId="5452" priority="30" operator="between">
      <formula>2.21</formula>
      <formula>2.4</formula>
    </cfRule>
    <cfRule type="expression" dxfId="5451" priority="31">
      <formula>AK60&lt;1.8</formula>
    </cfRule>
    <cfRule type="expression" dxfId="5450" priority="32">
      <formula>AK60&gt;2.4</formula>
    </cfRule>
  </conditionalFormatting>
  <conditionalFormatting sqref="AK59:AK60">
    <cfRule type="cellIs" dxfId="5449" priority="25" operator="between">
      <formula>5</formula>
      <formula>5.499</formula>
    </cfRule>
    <cfRule type="cellIs" dxfId="5448" priority="26" operator="between">
      <formula>6.51</formula>
      <formula>8</formula>
    </cfRule>
    <cfRule type="expression" dxfId="5447" priority="27">
      <formula>AK59&lt;5</formula>
    </cfRule>
    <cfRule type="expression" dxfId="5446" priority="28">
      <formula>AK59&gt;8</formula>
    </cfRule>
  </conditionalFormatting>
  <conditionalFormatting sqref="AR60">
    <cfRule type="cellIs" dxfId="5445" priority="21" operator="between">
      <formula>1.8</formula>
      <formula>1.999</formula>
    </cfRule>
    <cfRule type="cellIs" dxfId="5444" priority="22" operator="between">
      <formula>2.21</formula>
      <formula>2.4</formula>
    </cfRule>
    <cfRule type="expression" dxfId="5443" priority="23">
      <formula>AR60&lt;1.8</formula>
    </cfRule>
    <cfRule type="expression" dxfId="5442" priority="24">
      <formula>AR60&gt;2.4</formula>
    </cfRule>
  </conditionalFormatting>
  <conditionalFormatting sqref="AR59">
    <cfRule type="cellIs" dxfId="5441" priority="17" operator="between">
      <formula>5</formula>
      <formula>5.499</formula>
    </cfRule>
    <cfRule type="cellIs" dxfId="5440" priority="18" operator="between">
      <formula>6.51</formula>
      <formula>8</formula>
    </cfRule>
    <cfRule type="expression" dxfId="5439" priority="19">
      <formula>AR59&lt;5</formula>
    </cfRule>
    <cfRule type="expression" dxfId="5438" priority="20">
      <formula>AR59&gt;8</formula>
    </cfRule>
  </conditionalFormatting>
  <conditionalFormatting sqref="AR60">
    <cfRule type="cellIs" dxfId="5437" priority="13" operator="between">
      <formula>1.8</formula>
      <formula>1.999</formula>
    </cfRule>
    <cfRule type="cellIs" dxfId="5436" priority="14" operator="between">
      <formula>2.21</formula>
      <formula>2.4</formula>
    </cfRule>
    <cfRule type="expression" dxfId="5435" priority="15">
      <formula>AR60&lt;1.8</formula>
    </cfRule>
    <cfRule type="expression" dxfId="5434" priority="16">
      <formula>AR60&gt;2.4</formula>
    </cfRule>
  </conditionalFormatting>
  <conditionalFormatting sqref="AR59">
    <cfRule type="cellIs" dxfId="5433" priority="9" operator="between">
      <formula>5</formula>
      <formula>5.499</formula>
    </cfRule>
    <cfRule type="cellIs" dxfId="5432" priority="10" operator="between">
      <formula>6.51</formula>
      <formula>8</formula>
    </cfRule>
    <cfRule type="expression" dxfId="5431" priority="11">
      <formula>AR59&lt;5</formula>
    </cfRule>
    <cfRule type="expression" dxfId="5430" priority="12">
      <formula>AR59&gt;8</formula>
    </cfRule>
  </conditionalFormatting>
  <conditionalFormatting sqref="AR60">
    <cfRule type="cellIs" dxfId="5429" priority="5" operator="between">
      <formula>1.8</formula>
      <formula>1.999</formula>
    </cfRule>
    <cfRule type="cellIs" dxfId="5428" priority="6" operator="between">
      <formula>2.21</formula>
      <formula>2.4</formula>
    </cfRule>
    <cfRule type="expression" dxfId="5427" priority="7">
      <formula>AR60&lt;1.8</formula>
    </cfRule>
    <cfRule type="expression" dxfId="5426" priority="8">
      <formula>AR60&gt;2.4</formula>
    </cfRule>
  </conditionalFormatting>
  <conditionalFormatting sqref="AR59:AR60">
    <cfRule type="cellIs" dxfId="5425" priority="1" operator="between">
      <formula>5</formula>
      <formula>5.499</formula>
    </cfRule>
    <cfRule type="cellIs" dxfId="5424" priority="2" operator="between">
      <formula>6.51</formula>
      <formula>8</formula>
    </cfRule>
    <cfRule type="expression" dxfId="5423" priority="3">
      <formula>AR59&lt;5</formula>
    </cfRule>
    <cfRule type="expression" dxfId="5422" priority="4">
      <formula>AR59&gt;8</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4">
    <tabColor rgb="FFFFC000"/>
  </sheetPr>
  <dimension ref="A1:BD79"/>
  <sheetViews>
    <sheetView view="pageBreakPreview" zoomScale="55" zoomScaleNormal="55" zoomScaleSheetLayoutView="55" workbookViewId="0">
      <selection activeCell="M16" sqref="M16"/>
    </sheetView>
  </sheetViews>
  <sheetFormatPr defaultRowHeight="15"/>
  <cols>
    <col min="1" max="1" width="3.5" style="989" customWidth="1"/>
    <col min="2" max="2" width="7.375" style="989" customWidth="1"/>
    <col min="3" max="3" width="4.375" style="989" customWidth="1"/>
    <col min="4" max="4" width="7" style="989" customWidth="1"/>
    <col min="5" max="5" width="6" style="989" customWidth="1"/>
    <col min="6" max="6" width="7.875" style="989" customWidth="1"/>
    <col min="7" max="7" width="13" style="993" customWidth="1"/>
    <col min="8" max="8" width="10.25" style="993" customWidth="1"/>
    <col min="9" max="9" width="8.375" style="989" customWidth="1"/>
    <col min="10" max="10" width="3.625" style="15" customWidth="1"/>
    <col min="11" max="11" width="7.625" style="15" customWidth="1"/>
    <col min="12" max="12" width="3.875" style="15" customWidth="1"/>
    <col min="13" max="13" width="8.5" style="964" customWidth="1"/>
    <col min="14" max="14" width="3" style="964" customWidth="1"/>
    <col min="15" max="15" width="8.375" style="964" customWidth="1"/>
    <col min="16" max="16" width="4.75" style="964" customWidth="1"/>
    <col min="17" max="17" width="7.625" style="989" customWidth="1"/>
    <col min="18" max="18" width="3.375" style="989" customWidth="1"/>
    <col min="19" max="19" width="7.875" style="989" customWidth="1"/>
    <col min="20" max="20" width="4.375" style="989" customWidth="1"/>
    <col min="21" max="21" width="7.625" style="964" customWidth="1"/>
    <col min="22" max="22" width="3.875" style="964" customWidth="1"/>
    <col min="23" max="23" width="7" style="964" customWidth="1"/>
    <col min="24" max="24" width="4.375" style="964" customWidth="1"/>
    <col min="25" max="25" width="7.5" style="989" customWidth="1"/>
    <col min="26" max="26" width="3.125" style="989" customWidth="1"/>
    <col min="27" max="27" width="7.625" style="989" customWidth="1"/>
    <col min="28" max="28" width="4.5" style="989" customWidth="1"/>
    <col min="29" max="29" width="7" style="964" customWidth="1"/>
    <col min="30" max="30" width="3.75" style="964" customWidth="1"/>
    <col min="31" max="31" width="6.5" style="964" customWidth="1"/>
    <col min="32" max="32" width="4.75" style="964" customWidth="1"/>
    <col min="33" max="33" width="9.5" style="15" customWidth="1"/>
    <col min="34" max="16384" width="9" style="15"/>
  </cols>
  <sheetData>
    <row r="1" spans="1:33" ht="33.75" customHeight="1">
      <c r="A1" s="2927" t="s">
        <v>131</v>
      </c>
      <c r="B1" s="2927"/>
      <c r="C1" s="2927"/>
      <c r="D1" s="2927"/>
      <c r="E1" s="2927"/>
      <c r="F1" s="2927"/>
      <c r="G1" s="2927"/>
      <c r="H1" s="2927"/>
      <c r="I1" s="2927"/>
      <c r="J1" s="2927"/>
      <c r="K1" s="2927"/>
      <c r="L1" s="2927"/>
      <c r="M1" s="2927"/>
      <c r="N1" s="2927"/>
      <c r="O1" s="2927"/>
      <c r="P1" s="2927"/>
      <c r="Q1" s="2927"/>
      <c r="R1" s="2927"/>
      <c r="S1" s="2927"/>
      <c r="T1" s="2927"/>
      <c r="U1" s="2927"/>
      <c r="V1" s="2927"/>
      <c r="W1" s="2927"/>
      <c r="X1" s="2927"/>
      <c r="Y1" s="2927"/>
      <c r="Z1" s="2927"/>
      <c r="AA1" s="86"/>
      <c r="AB1" s="86"/>
      <c r="AC1" s="965"/>
      <c r="AD1" s="965"/>
      <c r="AE1" s="965"/>
      <c r="AF1" s="965"/>
      <c r="AG1" s="934"/>
    </row>
    <row r="2" spans="1:33" ht="54.75" customHeight="1">
      <c r="A2" s="2865" t="s">
        <v>220</v>
      </c>
      <c r="B2" s="2865"/>
      <c r="C2" s="2865"/>
      <c r="D2" s="2865"/>
      <c r="E2" s="2865"/>
      <c r="F2" s="2865"/>
      <c r="G2" s="2865"/>
      <c r="H2" s="2865"/>
      <c r="I2" s="2865"/>
      <c r="J2" s="2865"/>
      <c r="K2" s="2865"/>
      <c r="L2" s="2865"/>
      <c r="M2" s="2865"/>
      <c r="N2" s="2865"/>
      <c r="O2" s="2865"/>
      <c r="P2" s="2865"/>
      <c r="Q2" s="2865"/>
      <c r="R2" s="2865"/>
      <c r="S2" s="2865"/>
      <c r="T2" s="2865"/>
      <c r="U2" s="2865"/>
      <c r="V2" s="2865"/>
      <c r="W2" s="2865"/>
      <c r="X2" s="2865"/>
      <c r="Y2" s="2865"/>
      <c r="Z2" s="2865"/>
      <c r="AA2" s="2865"/>
      <c r="AB2" s="2865"/>
      <c r="AC2" s="2866"/>
      <c r="AD2" s="2861" t="s">
        <v>89</v>
      </c>
      <c r="AE2" s="2861"/>
      <c r="AF2" s="2863" t="s">
        <v>90</v>
      </c>
      <c r="AG2" s="2864"/>
    </row>
    <row r="3" spans="1:33" ht="42.75" customHeight="1">
      <c r="B3" s="2900" t="s">
        <v>214</v>
      </c>
      <c r="C3" s="2900"/>
      <c r="D3" s="2900"/>
      <c r="E3" s="2900"/>
      <c r="F3" s="1459"/>
      <c r="G3" s="1460"/>
      <c r="H3" s="1930" t="str">
        <f>MENU!$AC$9</f>
        <v>Thứ 3,</v>
      </c>
      <c r="I3" s="2901" t="str">
        <f>MENU!$AD$9</f>
        <v>2024/01/09</v>
      </c>
      <c r="J3" s="2902"/>
      <c r="K3" s="2902"/>
      <c r="L3" s="2902"/>
      <c r="M3" s="937"/>
      <c r="N3" s="937"/>
      <c r="O3" s="937"/>
      <c r="P3" s="937"/>
      <c r="Q3" s="980"/>
      <c r="R3" s="980"/>
      <c r="S3" s="980"/>
      <c r="T3" s="980"/>
      <c r="U3" s="937"/>
      <c r="V3" s="937"/>
      <c r="W3" s="937"/>
      <c r="X3" s="937"/>
      <c r="Y3" s="980"/>
      <c r="Z3" s="980"/>
      <c r="AD3" s="2862" t="str">
        <f>MENU!AE6</f>
        <v>Trang</v>
      </c>
      <c r="AE3" s="2862"/>
      <c r="AF3" s="2854" t="s">
        <v>11</v>
      </c>
      <c r="AG3" s="2855"/>
    </row>
    <row r="4" spans="1:33" s="16" customFormat="1" ht="44.25" customHeight="1">
      <c r="A4" s="2917" t="s">
        <v>7</v>
      </c>
      <c r="B4" s="2885" t="s">
        <v>77</v>
      </c>
      <c r="C4" s="2886"/>
      <c r="D4" s="2886"/>
      <c r="E4" s="2887"/>
      <c r="F4" s="2883" t="s">
        <v>125</v>
      </c>
      <c r="G4" s="2922" t="s">
        <v>1325</v>
      </c>
      <c r="H4" s="2920" t="s">
        <v>1317</v>
      </c>
      <c r="I4" s="2937">
        <v>0.30208333333333331</v>
      </c>
      <c r="J4" s="2904"/>
      <c r="K4" s="2904"/>
      <c r="L4" s="2905"/>
      <c r="M4" s="2856" t="s">
        <v>942</v>
      </c>
      <c r="N4" s="2857"/>
      <c r="O4" s="2857"/>
      <c r="P4" s="2858"/>
      <c r="Q4" s="2906">
        <v>0.46875</v>
      </c>
      <c r="R4" s="2907"/>
      <c r="S4" s="2907"/>
      <c r="T4" s="2908"/>
      <c r="U4" s="2856" t="s">
        <v>942</v>
      </c>
      <c r="V4" s="2857"/>
      <c r="W4" s="2857"/>
      <c r="X4" s="2858"/>
      <c r="Y4" s="2906">
        <v>0.63541666666666663</v>
      </c>
      <c r="Z4" s="2907"/>
      <c r="AA4" s="2907"/>
      <c r="AB4" s="2908"/>
      <c r="AC4" s="2856" t="s">
        <v>940</v>
      </c>
      <c r="AD4" s="2857"/>
      <c r="AE4" s="2857"/>
      <c r="AF4" s="2858"/>
      <c r="AG4" s="933" t="s">
        <v>91</v>
      </c>
    </row>
    <row r="5" spans="1:33" s="16" customFormat="1" ht="44.25" customHeight="1">
      <c r="A5" s="2919"/>
      <c r="B5" s="2888"/>
      <c r="C5" s="2889"/>
      <c r="D5" s="2889"/>
      <c r="E5" s="2890"/>
      <c r="F5" s="2884"/>
      <c r="G5" s="2923"/>
      <c r="H5" s="2921"/>
      <c r="I5" s="2414" t="s">
        <v>130</v>
      </c>
      <c r="J5" s="2909" t="s">
        <v>1</v>
      </c>
      <c r="K5" s="2910"/>
      <c r="L5" s="2911"/>
      <c r="M5" s="938" t="s">
        <v>943</v>
      </c>
      <c r="N5" s="2859" t="s">
        <v>1</v>
      </c>
      <c r="O5" s="2859"/>
      <c r="P5" s="2860"/>
      <c r="Q5" s="981" t="s">
        <v>130</v>
      </c>
      <c r="R5" s="2912" t="s">
        <v>1</v>
      </c>
      <c r="S5" s="2913"/>
      <c r="T5" s="2914"/>
      <c r="U5" s="938" t="s">
        <v>943</v>
      </c>
      <c r="V5" s="2859" t="s">
        <v>1</v>
      </c>
      <c r="W5" s="2859"/>
      <c r="X5" s="2860"/>
      <c r="Y5" s="981" t="s">
        <v>130</v>
      </c>
      <c r="Z5" s="2912" t="s">
        <v>1</v>
      </c>
      <c r="AA5" s="2913"/>
      <c r="AB5" s="2914"/>
      <c r="AC5" s="938" t="s">
        <v>944</v>
      </c>
      <c r="AD5" s="2859" t="s">
        <v>1</v>
      </c>
      <c r="AE5" s="2859"/>
      <c r="AF5" s="2860"/>
      <c r="AG5" s="4" t="s">
        <v>92</v>
      </c>
    </row>
    <row r="6" spans="1:33" ht="48" customHeight="1">
      <c r="A6" s="2917">
        <v>1</v>
      </c>
      <c r="B6" s="2885" t="s">
        <v>132</v>
      </c>
      <c r="C6" s="2891"/>
      <c r="D6" s="2898" t="s">
        <v>101</v>
      </c>
      <c r="E6" s="2899"/>
      <c r="F6" s="49" t="s">
        <v>4</v>
      </c>
      <c r="G6" s="929" t="str">
        <f>'XM.FILE GOC'!$E$6</f>
        <v>20~40</v>
      </c>
      <c r="H6" s="2427" t="str">
        <f>'XM.FILE GOC'!$F$6</f>
        <v>(30±5)</v>
      </c>
      <c r="I6" s="2415">
        <f>'XM.FILE GOC'!I6</f>
        <v>0</v>
      </c>
      <c r="J6" s="17" t="s">
        <v>8</v>
      </c>
      <c r="K6" s="27">
        <f>'XM.FILE GOC'!L6</f>
        <v>80.790000000000006</v>
      </c>
      <c r="L6" s="18" t="s">
        <v>9</v>
      </c>
      <c r="M6" s="939"/>
      <c r="N6" s="940" t="s">
        <v>8</v>
      </c>
      <c r="O6" s="1682">
        <f>('XM.FILE GOC'!$G$6-M6)*2693/1000</f>
        <v>80.790000000000006</v>
      </c>
      <c r="P6" s="941" t="s">
        <v>9</v>
      </c>
      <c r="Q6" s="1501">
        <f>'XM.FILE GOC'!P6</f>
        <v>0</v>
      </c>
      <c r="R6" s="982" t="s">
        <v>8</v>
      </c>
      <c r="S6" s="983">
        <f>'XM.FILE GOC'!S6</f>
        <v>80.790000000000006</v>
      </c>
      <c r="T6" s="984" t="s">
        <v>9</v>
      </c>
      <c r="U6" s="939"/>
      <c r="V6" s="940" t="s">
        <v>8</v>
      </c>
      <c r="W6" s="1682">
        <f>('XM.FILE GOC'!$G$6-U6)*2693/1000</f>
        <v>80.790000000000006</v>
      </c>
      <c r="X6" s="941" t="s">
        <v>9</v>
      </c>
      <c r="Y6" s="1501">
        <f>'XM.FILE GOC'!W6</f>
        <v>0</v>
      </c>
      <c r="Z6" s="982" t="s">
        <v>8</v>
      </c>
      <c r="AA6" s="983">
        <f>'XM.FILE GOC'!Z6</f>
        <v>80.790000000000006</v>
      </c>
      <c r="AB6" s="984" t="s">
        <v>9</v>
      </c>
      <c r="AC6" s="939"/>
      <c r="AD6" s="940" t="s">
        <v>8</v>
      </c>
      <c r="AE6" s="1682">
        <f>('XM.FILE GOC'!$G$6-AC6)*2693/1000</f>
        <v>80.790000000000006</v>
      </c>
      <c r="AF6" s="941" t="s">
        <v>9</v>
      </c>
      <c r="AG6" s="84" t="s">
        <v>40</v>
      </c>
    </row>
    <row r="7" spans="1:33" ht="48" customHeight="1">
      <c r="A7" s="2918"/>
      <c r="B7" s="2892"/>
      <c r="C7" s="2893"/>
      <c r="D7" s="2871" t="s">
        <v>102</v>
      </c>
      <c r="E7" s="2873"/>
      <c r="F7" s="49" t="s">
        <v>56</v>
      </c>
      <c r="G7" s="929" t="s">
        <v>103</v>
      </c>
      <c r="H7" s="2427"/>
      <c r="I7" s="2416"/>
      <c r="J7" s="57" t="s">
        <v>8</v>
      </c>
      <c r="K7" s="60">
        <f>K6/25*840/1000</f>
        <v>2.7145440000000005</v>
      </c>
      <c r="L7" s="59" t="s">
        <v>10</v>
      </c>
      <c r="M7" s="939"/>
      <c r="N7" s="942" t="s">
        <v>8</v>
      </c>
      <c r="O7" s="1684">
        <f>O6/25*840/1000</f>
        <v>2.7145440000000005</v>
      </c>
      <c r="P7" s="943" t="s">
        <v>10</v>
      </c>
      <c r="Q7" s="1783"/>
      <c r="R7" s="61" t="s">
        <v>8</v>
      </c>
      <c r="S7" s="985">
        <f>S6/25*840/1000</f>
        <v>2.7145440000000005</v>
      </c>
      <c r="T7" s="614" t="s">
        <v>10</v>
      </c>
      <c r="U7" s="939"/>
      <c r="V7" s="942" t="s">
        <v>8</v>
      </c>
      <c r="W7" s="1684">
        <f>W6/25*840/1000</f>
        <v>2.7145440000000005</v>
      </c>
      <c r="X7" s="943" t="s">
        <v>10</v>
      </c>
      <c r="Y7" s="1783"/>
      <c r="Z7" s="61" t="s">
        <v>8</v>
      </c>
      <c r="AA7" s="985">
        <f>AA6/25*840/1000</f>
        <v>2.7145440000000005</v>
      </c>
      <c r="AB7" s="614" t="s">
        <v>10</v>
      </c>
      <c r="AC7" s="939"/>
      <c r="AD7" s="942" t="s">
        <v>8</v>
      </c>
      <c r="AE7" s="1684">
        <f>AE6/25*840/1000</f>
        <v>2.7145440000000005</v>
      </c>
      <c r="AF7" s="943" t="s">
        <v>10</v>
      </c>
      <c r="AG7" s="108"/>
    </row>
    <row r="8" spans="1:33" ht="48" customHeight="1">
      <c r="A8" s="2919"/>
      <c r="B8" s="2894"/>
      <c r="C8" s="2895"/>
      <c r="D8" s="2871" t="s">
        <v>104</v>
      </c>
      <c r="E8" s="2873"/>
      <c r="F8" s="49" t="s">
        <v>56</v>
      </c>
      <c r="G8" s="929" t="s">
        <v>103</v>
      </c>
      <c r="H8" s="2427"/>
      <c r="I8" s="2416"/>
      <c r="J8" s="57" t="s">
        <v>8</v>
      </c>
      <c r="K8" s="60">
        <f>K7*10</f>
        <v>27.145440000000004</v>
      </c>
      <c r="L8" s="59" t="s">
        <v>10</v>
      </c>
      <c r="M8" s="939"/>
      <c r="N8" s="940" t="s">
        <v>8</v>
      </c>
      <c r="O8" s="1684">
        <f>O7*10</f>
        <v>27.145440000000004</v>
      </c>
      <c r="P8" s="941" t="s">
        <v>10</v>
      </c>
      <c r="Q8" s="1783"/>
      <c r="R8" s="61" t="s">
        <v>8</v>
      </c>
      <c r="S8" s="985">
        <f>S7*10</f>
        <v>27.145440000000004</v>
      </c>
      <c r="T8" s="614" t="s">
        <v>10</v>
      </c>
      <c r="U8" s="939"/>
      <c r="V8" s="940" t="s">
        <v>8</v>
      </c>
      <c r="W8" s="1684">
        <f>W7*10</f>
        <v>27.145440000000004</v>
      </c>
      <c r="X8" s="941" t="s">
        <v>10</v>
      </c>
      <c r="Y8" s="1783"/>
      <c r="Z8" s="61" t="s">
        <v>8</v>
      </c>
      <c r="AA8" s="985">
        <f>AA7*10</f>
        <v>27.145440000000004</v>
      </c>
      <c r="AB8" s="614" t="s">
        <v>10</v>
      </c>
      <c r="AC8" s="939"/>
      <c r="AD8" s="940" t="s">
        <v>8</v>
      </c>
      <c r="AE8" s="1684">
        <f>AE7*10</f>
        <v>27.145440000000004</v>
      </c>
      <c r="AF8" s="941" t="s">
        <v>10</v>
      </c>
      <c r="AG8" s="84"/>
    </row>
    <row r="9" spans="1:33" ht="48" customHeight="1">
      <c r="A9" s="2917">
        <v>2</v>
      </c>
      <c r="B9" s="2885" t="s">
        <v>133</v>
      </c>
      <c r="C9" s="2891"/>
      <c r="D9" s="2898" t="s">
        <v>101</v>
      </c>
      <c r="E9" s="2899"/>
      <c r="F9" s="49" t="s">
        <v>4</v>
      </c>
      <c r="G9" s="929" t="str">
        <f>'XM.FILE GOC'!$E$9</f>
        <v>20~40</v>
      </c>
      <c r="H9" s="2427" t="str">
        <f>'XM.FILE GOC'!$F$9</f>
        <v>(30±5)</v>
      </c>
      <c r="I9" s="2415">
        <f>'XM.FILE GOC'!I9</f>
        <v>0</v>
      </c>
      <c r="J9" s="17" t="s">
        <v>8</v>
      </c>
      <c r="K9" s="27">
        <f>'XM.FILE GOC'!L9</f>
        <v>99.15</v>
      </c>
      <c r="L9" s="18" t="s">
        <v>9</v>
      </c>
      <c r="M9" s="939"/>
      <c r="N9" s="942" t="s">
        <v>8</v>
      </c>
      <c r="O9" s="1682">
        <f>('XM.FILE GOC'!$G$9-M9)*3305/1000</f>
        <v>99.15</v>
      </c>
      <c r="P9" s="943" t="s">
        <v>9</v>
      </c>
      <c r="Q9" s="1501">
        <f>'XM.FILE GOC'!P9</f>
        <v>0</v>
      </c>
      <c r="R9" s="982" t="s">
        <v>8</v>
      </c>
      <c r="S9" s="983">
        <f>'XM.FILE GOC'!S9</f>
        <v>99.15</v>
      </c>
      <c r="T9" s="984" t="s">
        <v>9</v>
      </c>
      <c r="U9" s="939"/>
      <c r="V9" s="942" t="s">
        <v>8</v>
      </c>
      <c r="W9" s="1682">
        <f>('XM.FILE GOC'!$G$9-U9)*3305/1000</f>
        <v>99.15</v>
      </c>
      <c r="X9" s="943" t="s">
        <v>9</v>
      </c>
      <c r="Y9" s="1501">
        <f>'XM.FILE GOC'!W9</f>
        <v>0</v>
      </c>
      <c r="Z9" s="982" t="s">
        <v>8</v>
      </c>
      <c r="AA9" s="983">
        <f>'XM.FILE GOC'!Z9</f>
        <v>99.15</v>
      </c>
      <c r="AB9" s="984" t="s">
        <v>9</v>
      </c>
      <c r="AC9" s="939"/>
      <c r="AD9" s="942" t="s">
        <v>8</v>
      </c>
      <c r="AE9" s="1682">
        <f>('XM.FILE GOC'!$G$9-AC9)*3305/1000</f>
        <v>99.15</v>
      </c>
      <c r="AF9" s="943" t="s">
        <v>9</v>
      </c>
      <c r="AG9" s="84" t="s">
        <v>40</v>
      </c>
    </row>
    <row r="10" spans="1:33" ht="48" customHeight="1">
      <c r="A10" s="2918"/>
      <c r="B10" s="2892"/>
      <c r="C10" s="2893"/>
      <c r="D10" s="2871" t="s">
        <v>102</v>
      </c>
      <c r="E10" s="2873"/>
      <c r="F10" s="49" t="s">
        <v>56</v>
      </c>
      <c r="G10" s="929" t="s">
        <v>103</v>
      </c>
      <c r="H10" s="2427"/>
      <c r="I10" s="2416"/>
      <c r="J10" s="57" t="s">
        <v>8</v>
      </c>
      <c r="K10" s="60">
        <f>K9/25*840/1000</f>
        <v>3.3314400000000002</v>
      </c>
      <c r="L10" s="59" t="s">
        <v>10</v>
      </c>
      <c r="M10" s="939"/>
      <c r="N10" s="940" t="s">
        <v>8</v>
      </c>
      <c r="O10" s="1684">
        <f>O9/25*840/1000</f>
        <v>3.3314400000000002</v>
      </c>
      <c r="P10" s="941" t="s">
        <v>10</v>
      </c>
      <c r="Q10" s="1783"/>
      <c r="R10" s="61" t="s">
        <v>8</v>
      </c>
      <c r="S10" s="985">
        <f>S9/25*840/1000</f>
        <v>3.3314400000000002</v>
      </c>
      <c r="T10" s="614" t="s">
        <v>10</v>
      </c>
      <c r="U10" s="939"/>
      <c r="V10" s="942" t="s">
        <v>8</v>
      </c>
      <c r="W10" s="1684">
        <f>W9/25*840/1000</f>
        <v>3.3314400000000002</v>
      </c>
      <c r="X10" s="943" t="s">
        <v>10</v>
      </c>
      <c r="Y10" s="1783"/>
      <c r="Z10" s="61" t="s">
        <v>8</v>
      </c>
      <c r="AA10" s="985">
        <f>AA9/25*840/1000</f>
        <v>3.3314400000000002</v>
      </c>
      <c r="AB10" s="614" t="s">
        <v>10</v>
      </c>
      <c r="AC10" s="939"/>
      <c r="AD10" s="942" t="s">
        <v>8</v>
      </c>
      <c r="AE10" s="1684">
        <f>AE9/25*840/1000</f>
        <v>3.3314400000000002</v>
      </c>
      <c r="AF10" s="943" t="s">
        <v>10</v>
      </c>
      <c r="AG10" s="108"/>
    </row>
    <row r="11" spans="1:33" ht="48" customHeight="1">
      <c r="A11" s="2919"/>
      <c r="B11" s="2894"/>
      <c r="C11" s="2895"/>
      <c r="D11" s="2871" t="s">
        <v>104</v>
      </c>
      <c r="E11" s="2873"/>
      <c r="F11" s="49" t="s">
        <v>56</v>
      </c>
      <c r="G11" s="929" t="s">
        <v>103</v>
      </c>
      <c r="H11" s="2427"/>
      <c r="I11" s="2416"/>
      <c r="J11" s="57" t="s">
        <v>8</v>
      </c>
      <c r="K11" s="60">
        <f>K10*10</f>
        <v>33.314399999999999</v>
      </c>
      <c r="L11" s="59" t="s">
        <v>10</v>
      </c>
      <c r="M11" s="939"/>
      <c r="N11" s="942" t="s">
        <v>8</v>
      </c>
      <c r="O11" s="1684">
        <f>O10*10</f>
        <v>33.314399999999999</v>
      </c>
      <c r="P11" s="943" t="s">
        <v>10</v>
      </c>
      <c r="Q11" s="1783"/>
      <c r="R11" s="61" t="s">
        <v>8</v>
      </c>
      <c r="S11" s="985">
        <f>S10*10</f>
        <v>33.314399999999999</v>
      </c>
      <c r="T11" s="614" t="s">
        <v>10</v>
      </c>
      <c r="U11" s="939"/>
      <c r="V11" s="940" t="s">
        <v>8</v>
      </c>
      <c r="W11" s="1684">
        <f>W10*10</f>
        <v>33.314399999999999</v>
      </c>
      <c r="X11" s="941" t="s">
        <v>10</v>
      </c>
      <c r="Y11" s="1783"/>
      <c r="Z11" s="61" t="s">
        <v>8</v>
      </c>
      <c r="AA11" s="985">
        <f>AA10*10</f>
        <v>33.314399999999999</v>
      </c>
      <c r="AB11" s="614" t="s">
        <v>10</v>
      </c>
      <c r="AC11" s="939"/>
      <c r="AD11" s="940" t="s">
        <v>8</v>
      </c>
      <c r="AE11" s="1684">
        <f>AE10*10</f>
        <v>33.314399999999999</v>
      </c>
      <c r="AF11" s="941" t="s">
        <v>10</v>
      </c>
      <c r="AG11" s="108"/>
    </row>
    <row r="12" spans="1:33" ht="48" customHeight="1">
      <c r="A12" s="2917">
        <v>3</v>
      </c>
      <c r="B12" s="2896" t="s">
        <v>134</v>
      </c>
      <c r="C12" s="2897"/>
      <c r="D12" s="2898" t="s">
        <v>101</v>
      </c>
      <c r="E12" s="2899"/>
      <c r="F12" s="49" t="s">
        <v>4</v>
      </c>
      <c r="G12" s="929" t="str">
        <f>'XM.FILE GOC'!$E$12</f>
        <v>60~80</v>
      </c>
      <c r="H12" s="2427" t="str">
        <f>'XM.FILE GOC'!$F$12</f>
        <v>(70±10)</v>
      </c>
      <c r="I12" s="2417">
        <f>'XM.FILE GOC'!I12</f>
        <v>0</v>
      </c>
      <c r="J12" s="17" t="s">
        <v>8</v>
      </c>
      <c r="K12" s="27">
        <f>'XM.FILE GOC'!L12</f>
        <v>80.92</v>
      </c>
      <c r="L12" s="18" t="s">
        <v>9</v>
      </c>
      <c r="M12" s="939"/>
      <c r="N12" s="940" t="s">
        <v>8</v>
      </c>
      <c r="O12" s="1682">
        <f>('XM.FILE GOC'!$G$12-M12)*1156/1000</f>
        <v>80.92</v>
      </c>
      <c r="P12" s="941" t="s">
        <v>9</v>
      </c>
      <c r="Q12" s="1477">
        <f>'XM.FILE GOC'!P12</f>
        <v>0</v>
      </c>
      <c r="R12" s="982" t="s">
        <v>8</v>
      </c>
      <c r="S12" s="983">
        <f>'XM.FILE GOC'!S12</f>
        <v>80.92</v>
      </c>
      <c r="T12" s="984" t="s">
        <v>9</v>
      </c>
      <c r="U12" s="939"/>
      <c r="V12" s="940" t="s">
        <v>8</v>
      </c>
      <c r="W12" s="1682">
        <f>('XM.FILE GOC'!$G$12-U12)*1156/1000</f>
        <v>80.92</v>
      </c>
      <c r="X12" s="941" t="s">
        <v>9</v>
      </c>
      <c r="Y12" s="1477">
        <f>'XM.FILE GOC'!W12</f>
        <v>0</v>
      </c>
      <c r="Z12" s="982" t="s">
        <v>8</v>
      </c>
      <c r="AA12" s="983">
        <f>'XM.FILE GOC'!Z12</f>
        <v>80.92</v>
      </c>
      <c r="AB12" s="984" t="s">
        <v>9</v>
      </c>
      <c r="AC12" s="939"/>
      <c r="AD12" s="940" t="s">
        <v>8</v>
      </c>
      <c r="AE12" s="1682">
        <f>('XM.FILE GOC'!$G$12-AC12)*1156/1000</f>
        <v>80.92</v>
      </c>
      <c r="AF12" s="941" t="s">
        <v>9</v>
      </c>
      <c r="AG12" s="84" t="s">
        <v>40</v>
      </c>
    </row>
    <row r="13" spans="1:33" ht="48" customHeight="1">
      <c r="A13" s="2919"/>
      <c r="B13" s="2897"/>
      <c r="C13" s="2897"/>
      <c r="D13" s="2871" t="s">
        <v>105</v>
      </c>
      <c r="E13" s="2873"/>
      <c r="F13" s="49" t="s">
        <v>56</v>
      </c>
      <c r="G13" s="929" t="s">
        <v>103</v>
      </c>
      <c r="H13" s="2427"/>
      <c r="I13" s="2418"/>
      <c r="J13" s="57" t="s">
        <v>8</v>
      </c>
      <c r="K13" s="60">
        <f>K12/25*7.5</f>
        <v>24.276</v>
      </c>
      <c r="L13" s="59" t="s">
        <v>10</v>
      </c>
      <c r="M13" s="939"/>
      <c r="N13" s="942" t="s">
        <v>8</v>
      </c>
      <c r="O13" s="1684">
        <f>O12/25*7.5</f>
        <v>24.276</v>
      </c>
      <c r="P13" s="943" t="s">
        <v>10</v>
      </c>
      <c r="Q13" s="1780"/>
      <c r="R13" s="61" t="s">
        <v>8</v>
      </c>
      <c r="S13" s="985">
        <f>S12/25*7.5</f>
        <v>24.276</v>
      </c>
      <c r="T13" s="614" t="s">
        <v>10</v>
      </c>
      <c r="U13" s="939"/>
      <c r="V13" s="942" t="s">
        <v>8</v>
      </c>
      <c r="W13" s="1684">
        <f>W12/25*7.5</f>
        <v>24.276</v>
      </c>
      <c r="X13" s="943" t="s">
        <v>10</v>
      </c>
      <c r="Y13" s="1780"/>
      <c r="Z13" s="61" t="s">
        <v>8</v>
      </c>
      <c r="AA13" s="985">
        <f>AA12/25*7.5</f>
        <v>24.276</v>
      </c>
      <c r="AB13" s="614" t="s">
        <v>10</v>
      </c>
      <c r="AC13" s="939"/>
      <c r="AD13" s="942" t="s">
        <v>8</v>
      </c>
      <c r="AE13" s="1684">
        <f>AE12/25*7.5</f>
        <v>24.276</v>
      </c>
      <c r="AF13" s="943" t="s">
        <v>10</v>
      </c>
      <c r="AG13" s="84"/>
    </row>
    <row r="14" spans="1:33" ht="48" customHeight="1">
      <c r="A14" s="2917">
        <v>4</v>
      </c>
      <c r="B14" s="2896" t="s">
        <v>135</v>
      </c>
      <c r="C14" s="2897"/>
      <c r="D14" s="2898" t="s">
        <v>101</v>
      </c>
      <c r="E14" s="2899"/>
      <c r="F14" s="49" t="s">
        <v>4</v>
      </c>
      <c r="G14" s="929" t="str">
        <f>'XM.FILE GOC'!$E$14</f>
        <v>60~80</v>
      </c>
      <c r="H14" s="2427" t="str">
        <f>'XM.FILE GOC'!$F$14</f>
        <v>(70±10)</v>
      </c>
      <c r="I14" s="2417">
        <f>'XM.FILE GOC'!I14</f>
        <v>0</v>
      </c>
      <c r="J14" s="17" t="s">
        <v>8</v>
      </c>
      <c r="K14" s="27">
        <f>'XM.FILE GOC'!L14</f>
        <v>102.13</v>
      </c>
      <c r="L14" s="18" t="s">
        <v>9</v>
      </c>
      <c r="M14" s="939"/>
      <c r="N14" s="940" t="s">
        <v>8</v>
      </c>
      <c r="O14" s="1682">
        <f>('XM.FILE GOC'!$G$14-M14)*1459/1000</f>
        <v>102.13</v>
      </c>
      <c r="P14" s="941" t="s">
        <v>9</v>
      </c>
      <c r="Q14" s="1477">
        <f>'XM.FILE GOC'!P14</f>
        <v>0</v>
      </c>
      <c r="R14" s="982" t="s">
        <v>8</v>
      </c>
      <c r="S14" s="983">
        <f>'XM.FILE GOC'!S14</f>
        <v>102.13</v>
      </c>
      <c r="T14" s="984" t="s">
        <v>9</v>
      </c>
      <c r="U14" s="939"/>
      <c r="V14" s="940" t="s">
        <v>8</v>
      </c>
      <c r="W14" s="1682">
        <f>('XM.FILE GOC'!$G$14-U14)*1459/1000</f>
        <v>102.13</v>
      </c>
      <c r="X14" s="941" t="s">
        <v>9</v>
      </c>
      <c r="Y14" s="1477">
        <f>'XM.FILE GOC'!W14</f>
        <v>0</v>
      </c>
      <c r="Z14" s="982" t="s">
        <v>8</v>
      </c>
      <c r="AA14" s="983">
        <f>'XM.FILE GOC'!Z14</f>
        <v>102.13</v>
      </c>
      <c r="AB14" s="984" t="s">
        <v>9</v>
      </c>
      <c r="AC14" s="939"/>
      <c r="AD14" s="940" t="s">
        <v>8</v>
      </c>
      <c r="AE14" s="1682">
        <f>('XM.FILE GOC'!$G$14-AC14)*1459/1000</f>
        <v>102.13</v>
      </c>
      <c r="AF14" s="941" t="s">
        <v>9</v>
      </c>
      <c r="AG14" s="84" t="s">
        <v>40</v>
      </c>
    </row>
    <row r="15" spans="1:33" ht="48" customHeight="1">
      <c r="A15" s="2919"/>
      <c r="B15" s="2897"/>
      <c r="C15" s="2897"/>
      <c r="D15" s="2871" t="s">
        <v>105</v>
      </c>
      <c r="E15" s="2873"/>
      <c r="F15" s="49" t="s">
        <v>56</v>
      </c>
      <c r="G15" s="929" t="s">
        <v>103</v>
      </c>
      <c r="H15" s="2427"/>
      <c r="I15" s="2416"/>
      <c r="J15" s="57" t="s">
        <v>8</v>
      </c>
      <c r="K15" s="60">
        <f>K14/25*7.5</f>
        <v>30.638999999999996</v>
      </c>
      <c r="L15" s="59" t="s">
        <v>10</v>
      </c>
      <c r="M15" s="939"/>
      <c r="N15" s="940" t="s">
        <v>8</v>
      </c>
      <c r="O15" s="1684">
        <f>O14/25*7.5</f>
        <v>30.638999999999996</v>
      </c>
      <c r="P15" s="941" t="s">
        <v>10</v>
      </c>
      <c r="Q15" s="1783"/>
      <c r="R15" s="61" t="s">
        <v>8</v>
      </c>
      <c r="S15" s="985">
        <f>S14/25*7.5</f>
        <v>30.638999999999996</v>
      </c>
      <c r="T15" s="614" t="s">
        <v>10</v>
      </c>
      <c r="U15" s="939"/>
      <c r="V15" s="942" t="s">
        <v>8</v>
      </c>
      <c r="W15" s="1684">
        <f>W14/25*7.5</f>
        <v>30.638999999999996</v>
      </c>
      <c r="X15" s="943" t="s">
        <v>10</v>
      </c>
      <c r="Y15" s="1783"/>
      <c r="Z15" s="61" t="s">
        <v>8</v>
      </c>
      <c r="AA15" s="985">
        <f>AA14/25*7.5</f>
        <v>30.638999999999996</v>
      </c>
      <c r="AB15" s="614" t="s">
        <v>10</v>
      </c>
      <c r="AC15" s="939"/>
      <c r="AD15" s="942" t="s">
        <v>8</v>
      </c>
      <c r="AE15" s="1684">
        <f>AE14/25*7.5</f>
        <v>30.638999999999996</v>
      </c>
      <c r="AF15" s="943" t="s">
        <v>10</v>
      </c>
      <c r="AG15" s="84"/>
    </row>
    <row r="16" spans="1:33" ht="48" customHeight="1">
      <c r="A16" s="2917">
        <v>5</v>
      </c>
      <c r="B16" s="2871" t="s">
        <v>80</v>
      </c>
      <c r="C16" s="2872"/>
      <c r="D16" s="2872"/>
      <c r="E16" s="2873"/>
      <c r="F16" s="49" t="s">
        <v>4</v>
      </c>
      <c r="G16" s="929" t="str">
        <f>'XM.FILE GOC'!$E$16</f>
        <v>130 - 150</v>
      </c>
      <c r="H16" s="2427" t="str">
        <f>'XM.FILE GOC'!$F$16</f>
        <v>(140±7)</v>
      </c>
      <c r="I16" s="2419">
        <f>'XM.FILE GOC'!I16</f>
        <v>0</v>
      </c>
      <c r="J16" s="17" t="s">
        <v>8</v>
      </c>
      <c r="K16" s="27">
        <f>'XM.FILE GOC'!L16</f>
        <v>2793.14</v>
      </c>
      <c r="L16" s="18" t="s">
        <v>9</v>
      </c>
      <c r="M16" s="939"/>
      <c r="N16" s="942" t="s">
        <v>8</v>
      </c>
      <c r="O16" s="1682">
        <f>('XM.FILE GOC'!$G$16-M16)*19951/1000</f>
        <v>2793.14</v>
      </c>
      <c r="P16" s="943" t="s">
        <v>9</v>
      </c>
      <c r="Q16" s="1862">
        <f>'XM.FILE GOC'!P16</f>
        <v>0</v>
      </c>
      <c r="R16" s="982" t="s">
        <v>8</v>
      </c>
      <c r="S16" s="983">
        <f>'XM.FILE GOC'!S16</f>
        <v>2793.14</v>
      </c>
      <c r="T16" s="984" t="s">
        <v>9</v>
      </c>
      <c r="U16" s="939"/>
      <c r="V16" s="942" t="s">
        <v>8</v>
      </c>
      <c r="W16" s="1682">
        <f>('XM.FILE GOC'!$G$16-U16)*19951/1000</f>
        <v>2793.14</v>
      </c>
      <c r="X16" s="943" t="s">
        <v>9</v>
      </c>
      <c r="Y16" s="1862">
        <f>'XM.FILE GOC'!W16</f>
        <v>0</v>
      </c>
      <c r="Z16" s="982" t="s">
        <v>8</v>
      </c>
      <c r="AA16" s="983">
        <f>'XM.FILE GOC'!Z16</f>
        <v>2793.14</v>
      </c>
      <c r="AB16" s="984" t="s">
        <v>9</v>
      </c>
      <c r="AC16" s="939"/>
      <c r="AD16" s="942" t="s">
        <v>8</v>
      </c>
      <c r="AE16" s="1682">
        <f>('XM.FILE GOC'!$G$16-AC16)*19951/1000</f>
        <v>2793.14</v>
      </c>
      <c r="AF16" s="943" t="s">
        <v>9</v>
      </c>
      <c r="AG16" s="84" t="s">
        <v>41</v>
      </c>
    </row>
    <row r="17" spans="1:33" ht="48" customHeight="1">
      <c r="A17" s="2919"/>
      <c r="B17" s="2871" t="s">
        <v>58</v>
      </c>
      <c r="C17" s="2872"/>
      <c r="D17" s="2872"/>
      <c r="E17" s="2873"/>
      <c r="F17" s="49" t="s">
        <v>4</v>
      </c>
      <c r="G17" s="929" t="str">
        <f>'XM.FILE GOC'!$E$17</f>
        <v>8~12</v>
      </c>
      <c r="H17" s="2427" t="str">
        <f>'XM.FILE GOC'!$F$17</f>
        <v>(10±2)</v>
      </c>
      <c r="I17" s="2420">
        <f>'XM.FILE GOC'!I17</f>
        <v>0</v>
      </c>
      <c r="J17" s="17" t="s">
        <v>8</v>
      </c>
      <c r="K17" s="27">
        <f>'XM.FILE GOC'!L17</f>
        <v>199.51</v>
      </c>
      <c r="L17" s="18" t="s">
        <v>9</v>
      </c>
      <c r="M17" s="939"/>
      <c r="N17" s="944" t="s">
        <v>8</v>
      </c>
      <c r="O17" s="1682">
        <f>('XM.FILE GOC'!$G$17-M17)*19951/1000</f>
        <v>199.51</v>
      </c>
      <c r="P17" s="945" t="s">
        <v>47</v>
      </c>
      <c r="Q17" s="1869">
        <f>'XM.FILE GOC'!P17</f>
        <v>0</v>
      </c>
      <c r="R17" s="982" t="s">
        <v>8</v>
      </c>
      <c r="S17" s="983">
        <f>'XM.FILE GOC'!S17</f>
        <v>199.51</v>
      </c>
      <c r="T17" s="18" t="s">
        <v>9</v>
      </c>
      <c r="U17" s="939"/>
      <c r="V17" s="944" t="s">
        <v>8</v>
      </c>
      <c r="W17" s="1682">
        <f>('XM.FILE GOC'!$G$17-U17)*19951/1000</f>
        <v>199.51</v>
      </c>
      <c r="X17" s="945" t="s">
        <v>47</v>
      </c>
      <c r="Y17" s="1869">
        <f>'XM.FILE GOC'!W17</f>
        <v>0</v>
      </c>
      <c r="Z17" s="982" t="s">
        <v>8</v>
      </c>
      <c r="AA17" s="983">
        <f>'XM.FILE GOC'!Z17</f>
        <v>199.51</v>
      </c>
      <c r="AB17" s="18" t="s">
        <v>9</v>
      </c>
      <c r="AC17" s="939"/>
      <c r="AD17" s="944" t="s">
        <v>8</v>
      </c>
      <c r="AE17" s="1682">
        <f>('XM.FILE GOC'!$G$17-AC17)*19951/1000</f>
        <v>199.51</v>
      </c>
      <c r="AF17" s="945" t="s">
        <v>47</v>
      </c>
      <c r="AG17" s="84" t="s">
        <v>42</v>
      </c>
    </row>
    <row r="18" spans="1:33" ht="48" customHeight="1">
      <c r="A18" s="2917">
        <v>6</v>
      </c>
      <c r="B18" s="2885" t="s">
        <v>947</v>
      </c>
      <c r="C18" s="2886"/>
      <c r="D18" s="2886"/>
      <c r="E18" s="2887"/>
      <c r="F18" s="49" t="s">
        <v>3</v>
      </c>
      <c r="G18" s="929" t="str">
        <f>'XM.FILE GOC'!$E$18</f>
        <v xml:space="preserve">12~18 </v>
      </c>
      <c r="H18" s="2427" t="str">
        <f>'XM.FILE GOC'!$F$18</f>
        <v>(14±2)</v>
      </c>
      <c r="I18" s="2421">
        <f>'XM.FILE GOC'!I18</f>
        <v>0</v>
      </c>
      <c r="J18" s="57" t="s">
        <v>8</v>
      </c>
      <c r="K18" s="58">
        <f>'XM.FILE GOC'!L18</f>
        <v>80.5</v>
      </c>
      <c r="L18" s="59" t="s">
        <v>10</v>
      </c>
      <c r="M18" s="939"/>
      <c r="N18" s="940" t="s">
        <v>8</v>
      </c>
      <c r="O18" s="968">
        <f>('XM.FILE GOC'!$G$18-M18)*575/99</f>
        <v>81.313131313131308</v>
      </c>
      <c r="P18" s="941" t="s">
        <v>10</v>
      </c>
      <c r="Q18" s="1838">
        <f>'XM.FILE GOC'!P18</f>
        <v>0</v>
      </c>
      <c r="R18" s="61" t="s">
        <v>8</v>
      </c>
      <c r="S18" s="613">
        <f>'XM.FILE GOC'!S18</f>
        <v>80.5</v>
      </c>
      <c r="T18" s="614" t="s">
        <v>10</v>
      </c>
      <c r="U18" s="939"/>
      <c r="V18" s="940" t="s">
        <v>8</v>
      </c>
      <c r="W18" s="968">
        <f>('XM.FILE GOC'!$G$18-U18)*575/99</f>
        <v>81.313131313131308</v>
      </c>
      <c r="X18" s="941" t="s">
        <v>10</v>
      </c>
      <c r="Y18" s="1838">
        <f>'XM.FILE GOC'!W18</f>
        <v>0</v>
      </c>
      <c r="Z18" s="61" t="s">
        <v>8</v>
      </c>
      <c r="AA18" s="613">
        <f>'XM.FILE GOC'!Z18</f>
        <v>80.5</v>
      </c>
      <c r="AB18" s="614" t="s">
        <v>10</v>
      </c>
      <c r="AC18" s="939"/>
      <c r="AD18" s="940" t="s">
        <v>8</v>
      </c>
      <c r="AE18" s="968">
        <f>('XM.FILE GOC'!$G$18-AC18)*575/99</f>
        <v>81.313131313131308</v>
      </c>
      <c r="AF18" s="941" t="s">
        <v>10</v>
      </c>
      <c r="AG18" s="84" t="s">
        <v>43</v>
      </c>
    </row>
    <row r="19" spans="1:33" ht="48" customHeight="1">
      <c r="A19" s="2919"/>
      <c r="B19" s="2888"/>
      <c r="C19" s="2889"/>
      <c r="D19" s="2889"/>
      <c r="E19" s="2890"/>
      <c r="F19" s="49" t="s">
        <v>5</v>
      </c>
      <c r="G19" s="929" t="str">
        <f>'XM.FILE GOC'!$E$19</f>
        <v>1.6~2.2</v>
      </c>
      <c r="H19" s="2427" t="str">
        <f>'XM.FILE GOC'!$F$19</f>
        <v>(2±0.2 )</v>
      </c>
      <c r="I19" s="2420">
        <f>'XM.FILE GOC'!I19</f>
        <v>0</v>
      </c>
      <c r="J19" s="5"/>
      <c r="K19" s="27">
        <f>'XM.FILE GOC'!L19</f>
        <v>0</v>
      </c>
      <c r="L19" s="6"/>
      <c r="M19" s="939"/>
      <c r="N19" s="942"/>
      <c r="O19" s="1682"/>
      <c r="P19" s="943"/>
      <c r="Q19" s="1869">
        <f>'XM.FILE GOC'!P19</f>
        <v>0</v>
      </c>
      <c r="R19" s="986"/>
      <c r="S19" s="983">
        <f>'XM.FILE GOC'!S19</f>
        <v>0</v>
      </c>
      <c r="T19" s="987"/>
      <c r="U19" s="939"/>
      <c r="V19" s="942"/>
      <c r="W19" s="1682"/>
      <c r="X19" s="943"/>
      <c r="Y19" s="1869">
        <f>'XM.FILE GOC'!W19</f>
        <v>0</v>
      </c>
      <c r="Z19" s="986"/>
      <c r="AA19" s="983">
        <f>'XM.FILE GOC'!Z19</f>
        <v>0</v>
      </c>
      <c r="AB19" s="987"/>
      <c r="AC19" s="939"/>
      <c r="AD19" s="942"/>
      <c r="AE19" s="1682"/>
      <c r="AF19" s="943"/>
      <c r="AG19" s="84"/>
    </row>
    <row r="20" spans="1:33" ht="48" customHeight="1">
      <c r="A20" s="990">
        <v>7</v>
      </c>
      <c r="B20" s="2871" t="s">
        <v>59</v>
      </c>
      <c r="C20" s="2872"/>
      <c r="D20" s="2872"/>
      <c r="E20" s="2873"/>
      <c r="F20" s="991" t="s">
        <v>6</v>
      </c>
      <c r="G20" s="929" t="str">
        <f>'XM.FILE GOC'!$E$20</f>
        <v xml:space="preserve">40~50 </v>
      </c>
      <c r="H20" s="2427" t="str">
        <f>'XM.FILE GOC'!$F$20</f>
        <v>(45±5)</v>
      </c>
      <c r="I20" s="2422">
        <f>'XM.FILE GOC'!I20</f>
        <v>0</v>
      </c>
      <c r="J20" s="17" t="s">
        <v>8</v>
      </c>
      <c r="K20" s="27">
        <f>'XM.FILE GOC'!L20</f>
        <v>954.9</v>
      </c>
      <c r="L20" s="18" t="s">
        <v>10</v>
      </c>
      <c r="M20" s="946"/>
      <c r="N20" s="940" t="s">
        <v>8</v>
      </c>
      <c r="O20" s="1682">
        <f>('XM.FILE GOC'!$G$20-M20)*2122</f>
        <v>954.9</v>
      </c>
      <c r="P20" s="941" t="s">
        <v>10</v>
      </c>
      <c r="Q20" s="1843">
        <f>'XM.FILE GOC'!P20</f>
        <v>0</v>
      </c>
      <c r="R20" s="982" t="s">
        <v>8</v>
      </c>
      <c r="S20" s="983">
        <f>'XM.FILE GOC'!S20</f>
        <v>954.9</v>
      </c>
      <c r="T20" s="984" t="s">
        <v>10</v>
      </c>
      <c r="U20" s="946"/>
      <c r="V20" s="940" t="s">
        <v>8</v>
      </c>
      <c r="W20" s="1682">
        <f>('XM.FILE GOC'!$G$20-U20)*2122</f>
        <v>954.9</v>
      </c>
      <c r="X20" s="941" t="s">
        <v>10</v>
      </c>
      <c r="Y20" s="1843">
        <f>'XM.FILE GOC'!W20</f>
        <v>0</v>
      </c>
      <c r="Z20" s="982" t="s">
        <v>8</v>
      </c>
      <c r="AA20" s="983">
        <f>'XM.FILE GOC'!Z20</f>
        <v>954.9</v>
      </c>
      <c r="AB20" s="984" t="s">
        <v>10</v>
      </c>
      <c r="AC20" s="946"/>
      <c r="AD20" s="940" t="s">
        <v>8</v>
      </c>
      <c r="AE20" s="1682">
        <f>('XM.FILE GOC'!$G$20-AC20)*2122</f>
        <v>954.9</v>
      </c>
      <c r="AF20" s="941" t="s">
        <v>10</v>
      </c>
      <c r="AG20" s="84" t="s">
        <v>44</v>
      </c>
    </row>
    <row r="21" spans="1:33" ht="48" hidden="1" customHeight="1">
      <c r="A21" s="990">
        <v>8</v>
      </c>
      <c r="B21" s="2871" t="s">
        <v>60</v>
      </c>
      <c r="C21" s="2872"/>
      <c r="D21" s="2872"/>
      <c r="E21" s="2873"/>
      <c r="F21" s="991" t="s">
        <v>6</v>
      </c>
      <c r="G21" s="929" t="str">
        <f>'XM.FILE GOC'!$E$21</f>
        <v>(22±5) =17~27</v>
      </c>
      <c r="H21" s="2427" t="str">
        <f>'XM.FILE GOC'!$F$21</f>
        <v>(22±5)</v>
      </c>
      <c r="I21" s="2423">
        <f>'XM.FILE GOC'!I21</f>
        <v>0</v>
      </c>
      <c r="J21" s="61" t="s">
        <v>8</v>
      </c>
      <c r="K21" s="58">
        <f>'XM.FILE GOC'!L21</f>
        <v>134.64000000000001</v>
      </c>
      <c r="L21" s="59" t="s">
        <v>10</v>
      </c>
      <c r="M21" s="946"/>
      <c r="N21" s="940" t="s">
        <v>8</v>
      </c>
      <c r="O21" s="968">
        <f>('XM.FILE GOC'!$G$21-M21)*612</f>
        <v>134.64000000000001</v>
      </c>
      <c r="P21" s="941" t="s">
        <v>10</v>
      </c>
      <c r="Q21" s="1873">
        <f>'XM.FILE GOC'!P21</f>
        <v>0</v>
      </c>
      <c r="R21" s="61" t="s">
        <v>8</v>
      </c>
      <c r="S21" s="613">
        <f>'XM.FILE GOC'!S21</f>
        <v>134.64000000000001</v>
      </c>
      <c r="T21" s="614" t="s">
        <v>10</v>
      </c>
      <c r="U21" s="946"/>
      <c r="V21" s="940" t="s">
        <v>8</v>
      </c>
      <c r="W21" s="968">
        <f>('XM.FILE GOC'!$G$21-U21)*612</f>
        <v>134.64000000000001</v>
      </c>
      <c r="X21" s="941" t="s">
        <v>10</v>
      </c>
      <c r="Y21" s="1873">
        <f>'XM.FILE GOC'!W21</f>
        <v>0</v>
      </c>
      <c r="Z21" s="61" t="s">
        <v>8</v>
      </c>
      <c r="AA21" s="613">
        <f>'XM.FILE GOC'!Z21</f>
        <v>134.64000000000001</v>
      </c>
      <c r="AB21" s="984" t="s">
        <v>10</v>
      </c>
      <c r="AC21" s="946"/>
      <c r="AD21" s="940" t="s">
        <v>8</v>
      </c>
      <c r="AE21" s="968">
        <f>('XM.FILE GOC'!$G$21-AC21)*612</f>
        <v>134.64000000000001</v>
      </c>
      <c r="AF21" s="941" t="s">
        <v>10</v>
      </c>
      <c r="AG21" s="84" t="s">
        <v>44</v>
      </c>
    </row>
    <row r="22" spans="1:33" ht="48" hidden="1" customHeight="1">
      <c r="A22" s="990">
        <v>9</v>
      </c>
      <c r="B22" s="2871" t="s">
        <v>109</v>
      </c>
      <c r="C22" s="2872"/>
      <c r="D22" s="2872"/>
      <c r="E22" s="2873"/>
      <c r="F22" s="991" t="s">
        <v>6</v>
      </c>
      <c r="G22" s="929" t="str">
        <f>'XM.FILE GOC'!$E$22</f>
        <v>5~15</v>
      </c>
      <c r="H22" s="2427" t="str">
        <f>'XM.FILE GOC'!$F$22</f>
        <v>(30±4)</v>
      </c>
      <c r="I22" s="2423">
        <f>'XM.FILE GOC'!I22</f>
        <v>0</v>
      </c>
      <c r="J22" s="17" t="s">
        <v>8</v>
      </c>
      <c r="K22" s="27">
        <f>'XM.FILE GOC'!L22</f>
        <v>57.5</v>
      </c>
      <c r="L22" s="18" t="s">
        <v>10</v>
      </c>
      <c r="M22" s="946"/>
      <c r="N22" s="940" t="s">
        <v>8</v>
      </c>
      <c r="O22" s="1682">
        <f>('XM.FILE GOC'!$G$22-M22)*575</f>
        <v>57.5</v>
      </c>
      <c r="P22" s="941" t="s">
        <v>10</v>
      </c>
      <c r="Q22" s="1873">
        <f>'XM.FILE GOC'!P22</f>
        <v>0</v>
      </c>
      <c r="R22" s="982" t="s">
        <v>8</v>
      </c>
      <c r="S22" s="983">
        <f>'XM.FILE GOC'!S22</f>
        <v>57.5</v>
      </c>
      <c r="T22" s="984" t="s">
        <v>10</v>
      </c>
      <c r="U22" s="946"/>
      <c r="V22" s="940" t="s">
        <v>8</v>
      </c>
      <c r="W22" s="1682">
        <f>('XM.FILE GOC'!$G$22-U22)*575</f>
        <v>57.5</v>
      </c>
      <c r="X22" s="941" t="s">
        <v>10</v>
      </c>
      <c r="Y22" s="1873">
        <f>'XM.FILE GOC'!W22</f>
        <v>0</v>
      </c>
      <c r="Z22" s="982" t="s">
        <v>8</v>
      </c>
      <c r="AA22" s="983">
        <f>'XM.FILE GOC'!Z22</f>
        <v>57.5</v>
      </c>
      <c r="AB22" s="984" t="s">
        <v>10</v>
      </c>
      <c r="AC22" s="946"/>
      <c r="AD22" s="940" t="s">
        <v>8</v>
      </c>
      <c r="AE22" s="1682">
        <f>('XM.FILE GOC'!$G$22-AC22)*575</f>
        <v>57.5</v>
      </c>
      <c r="AF22" s="941" t="s">
        <v>10</v>
      </c>
      <c r="AG22" s="84" t="s">
        <v>45</v>
      </c>
    </row>
    <row r="23" spans="1:33" ht="48" customHeight="1">
      <c r="A23" s="990">
        <v>10</v>
      </c>
      <c r="B23" s="2871" t="s">
        <v>948</v>
      </c>
      <c r="C23" s="2872"/>
      <c r="D23" s="2872"/>
      <c r="E23" s="2873"/>
      <c r="F23" s="991" t="s">
        <v>3</v>
      </c>
      <c r="G23" s="929" t="str">
        <f>'XM.FILE GOC'!$E$23</f>
        <v>0.5~1.5</v>
      </c>
      <c r="H23" s="2427" t="str">
        <f>'XM.FILE GOC'!$F$23</f>
        <v>(1±0.4)</v>
      </c>
      <c r="I23" s="2424">
        <f>'XM.FILE GOC'!I23</f>
        <v>0</v>
      </c>
      <c r="J23" s="17" t="s">
        <v>8</v>
      </c>
      <c r="K23" s="46">
        <f>'XM.FILE GOC'!L23</f>
        <v>5.3998981151299033</v>
      </c>
      <c r="L23" s="18" t="s">
        <v>10</v>
      </c>
      <c r="M23" s="946"/>
      <c r="N23" s="940" t="s">
        <v>8</v>
      </c>
      <c r="O23" s="968">
        <f>('XM.FILE GOC'!$G$23-M23)*530/65%</f>
        <v>8.1538461538461533</v>
      </c>
      <c r="P23" s="941" t="s">
        <v>10</v>
      </c>
      <c r="Q23" s="1876">
        <f>'XM.FILE GOC'!P23</f>
        <v>0</v>
      </c>
      <c r="R23" s="982" t="s">
        <v>8</v>
      </c>
      <c r="S23" s="988">
        <f>'XM.FILE GOC'!S23</f>
        <v>5.3998981151299033</v>
      </c>
      <c r="T23" s="984" t="s">
        <v>10</v>
      </c>
      <c r="U23" s="946"/>
      <c r="V23" s="940" t="s">
        <v>8</v>
      </c>
      <c r="W23" s="968">
        <f>('XM.FILE GOC'!$G$23-U23)*530/65%</f>
        <v>8.1538461538461533</v>
      </c>
      <c r="X23" s="941" t="s">
        <v>10</v>
      </c>
      <c r="Y23" s="1876">
        <f>'XM.FILE GOC'!W23</f>
        <v>0</v>
      </c>
      <c r="Z23" s="982" t="s">
        <v>8</v>
      </c>
      <c r="AA23" s="988">
        <f>'XM.FILE GOC'!Z23</f>
        <v>5.3998981151299033</v>
      </c>
      <c r="AB23" s="984" t="s">
        <v>10</v>
      </c>
      <c r="AC23" s="946"/>
      <c r="AD23" s="940" t="s">
        <v>8</v>
      </c>
      <c r="AE23" s="968">
        <f>('XM.FILE GOC'!$G$23-AC23)*530/65%</f>
        <v>8.1538461538461533</v>
      </c>
      <c r="AF23" s="941" t="s">
        <v>10</v>
      </c>
      <c r="AG23" s="84" t="s">
        <v>45</v>
      </c>
    </row>
    <row r="24" spans="1:33" ht="48" customHeight="1">
      <c r="A24" s="2393"/>
      <c r="B24" s="2877" t="s">
        <v>75</v>
      </c>
      <c r="C24" s="2878"/>
      <c r="D24" s="2878"/>
      <c r="E24" s="2879"/>
      <c r="F24" s="2383" t="s">
        <v>3</v>
      </c>
      <c r="G24" s="1042" t="str">
        <f>'XM.GUI MAIL'!$E$24</f>
        <v>5~10</v>
      </c>
      <c r="H24" s="2428" t="str">
        <f>'XM.GUI MAIL'!$F$24</f>
        <v>(7.5±1)</v>
      </c>
      <c r="I24" s="2425">
        <f>'XM.FILE GOC'!I24</f>
        <v>0</v>
      </c>
      <c r="J24" s="17" t="s">
        <v>8</v>
      </c>
      <c r="K24" s="27">
        <f>'XM.FILE GOC'!L24</f>
        <v>45.39473684210526</v>
      </c>
      <c r="L24" s="18" t="s">
        <v>10</v>
      </c>
      <c r="M24" s="2466"/>
      <c r="N24" s="940" t="s">
        <v>8</v>
      </c>
      <c r="O24" s="1682">
        <f>('XM.FILE GOC'!$G$24-M24)*575/95*1.13</f>
        <v>51.296052631578938</v>
      </c>
      <c r="P24" s="941" t="s">
        <v>10</v>
      </c>
      <c r="Q24" s="1952">
        <f>'XM.FILE GOC'!P24</f>
        <v>0</v>
      </c>
      <c r="R24" s="982" t="s">
        <v>8</v>
      </c>
      <c r="S24" s="983">
        <f>'XM.FILE GOC'!S24</f>
        <v>45.39473684210526</v>
      </c>
      <c r="T24" s="984" t="s">
        <v>10</v>
      </c>
      <c r="U24" s="2466"/>
      <c r="V24" s="940" t="s">
        <v>8</v>
      </c>
      <c r="W24" s="1682">
        <f>('XM.FILE GOC'!$G$24-U24)*575/95*1.13</f>
        <v>51.296052631578938</v>
      </c>
      <c r="X24" s="941" t="s">
        <v>10</v>
      </c>
      <c r="Y24" s="1952">
        <f>'XM.FILE GOC'!W24</f>
        <v>0</v>
      </c>
      <c r="Z24" s="982" t="s">
        <v>8</v>
      </c>
      <c r="AA24" s="983">
        <f>'XM.FILE GOC'!Z24</f>
        <v>45.39473684210526</v>
      </c>
      <c r="AB24" s="984" t="s">
        <v>10</v>
      </c>
      <c r="AC24" s="2466"/>
      <c r="AD24" s="940" t="s">
        <v>8</v>
      </c>
      <c r="AE24" s="1682">
        <f>('XM.FILE GOC'!$G$24-AC24)*575/95*1.13</f>
        <v>51.296052631578938</v>
      </c>
      <c r="AF24" s="941" t="s">
        <v>10</v>
      </c>
      <c r="AG24" s="2388" t="s">
        <v>1564</v>
      </c>
    </row>
    <row r="25" spans="1:33" ht="48" customHeight="1">
      <c r="A25" s="2393"/>
      <c r="B25" s="2880"/>
      <c r="C25" s="2881"/>
      <c r="D25" s="2881"/>
      <c r="E25" s="2882"/>
      <c r="F25" s="2383" t="s">
        <v>5</v>
      </c>
      <c r="G25" s="1042" t="str">
        <f>'XM.GUI MAIL'!$E$25</f>
        <v>1.8~2.2</v>
      </c>
      <c r="H25" s="2428" t="str">
        <f>'XM.GUI MAIL'!$F$25</f>
        <v>(2±0.1)</v>
      </c>
      <c r="I25" s="2459">
        <f>'XM.FILE GOC'!I25</f>
        <v>0</v>
      </c>
      <c r="J25" s="2394"/>
      <c r="K25" s="46"/>
      <c r="L25" s="2395"/>
      <c r="M25" s="947"/>
      <c r="N25" s="948"/>
      <c r="O25" s="1683"/>
      <c r="P25" s="949"/>
      <c r="Q25" s="2460">
        <f>'XM.FILE GOC'!P25</f>
        <v>0</v>
      </c>
      <c r="R25" s="982"/>
      <c r="S25" s="988"/>
      <c r="T25" s="984"/>
      <c r="U25" s="947"/>
      <c r="V25" s="948"/>
      <c r="W25" s="1683"/>
      <c r="X25" s="949"/>
      <c r="Y25" s="2460">
        <f>'XM.FILE GOC'!W25</f>
        <v>0</v>
      </c>
      <c r="Z25" s="982"/>
      <c r="AA25" s="988"/>
      <c r="AB25" s="984"/>
      <c r="AC25" s="947"/>
      <c r="AD25" s="948"/>
      <c r="AE25" s="1683"/>
      <c r="AF25" s="949"/>
      <c r="AG25" s="2388" t="s">
        <v>1565</v>
      </c>
    </row>
    <row r="26" spans="1:33" ht="48" customHeight="1">
      <c r="A26" s="2863" t="s">
        <v>74</v>
      </c>
      <c r="B26" s="2915"/>
      <c r="C26" s="2915"/>
      <c r="D26" s="2915"/>
      <c r="E26" s="2915"/>
      <c r="F26" s="2915"/>
      <c r="G26" s="2915"/>
      <c r="H26" s="2915"/>
      <c r="I26" s="2915"/>
      <c r="J26" s="2915"/>
      <c r="K26" s="2915"/>
      <c r="L26" s="2915"/>
      <c r="M26" s="2936"/>
      <c r="N26" s="2936"/>
      <c r="O26" s="2936"/>
      <c r="P26" s="2936"/>
      <c r="Q26" s="2915"/>
      <c r="R26" s="2915"/>
      <c r="S26" s="2915"/>
      <c r="T26" s="2915"/>
      <c r="U26" s="2915"/>
      <c r="V26" s="2915"/>
      <c r="W26" s="2915"/>
      <c r="X26" s="2915"/>
      <c r="Y26" s="2915"/>
      <c r="Z26" s="2915"/>
      <c r="AA26" s="2915"/>
      <c r="AB26" s="2915"/>
      <c r="AC26" s="2915"/>
      <c r="AD26" s="2915"/>
      <c r="AE26" s="2915"/>
      <c r="AF26" s="2915"/>
      <c r="AG26" s="2864"/>
    </row>
    <row r="27" spans="1:33" ht="48" customHeight="1">
      <c r="A27" s="990" t="s">
        <v>7</v>
      </c>
      <c r="B27" s="2871" t="s">
        <v>62</v>
      </c>
      <c r="C27" s="2872"/>
      <c r="D27" s="2872"/>
      <c r="E27" s="2873"/>
      <c r="F27" s="257" t="s">
        <v>64</v>
      </c>
      <c r="G27" s="2413" t="s">
        <v>1325</v>
      </c>
      <c r="H27" s="2429" t="s">
        <v>1317</v>
      </c>
      <c r="I27" s="2933" t="s">
        <v>46</v>
      </c>
      <c r="J27" s="2868"/>
      <c r="K27" s="2868" t="s">
        <v>63</v>
      </c>
      <c r="L27" s="2931"/>
      <c r="M27" s="950"/>
      <c r="N27" s="951"/>
      <c r="O27" s="951"/>
      <c r="P27" s="952"/>
      <c r="Q27" s="2870" t="s">
        <v>46</v>
      </c>
      <c r="R27" s="2916"/>
      <c r="S27" s="2916" t="s">
        <v>63</v>
      </c>
      <c r="T27" s="2916"/>
      <c r="U27" s="950"/>
      <c r="V27" s="951"/>
      <c r="W27" s="951"/>
      <c r="X27" s="952"/>
      <c r="Y27" s="2916" t="s">
        <v>46</v>
      </c>
      <c r="Z27" s="2916"/>
      <c r="AA27" s="2916" t="s">
        <v>63</v>
      </c>
      <c r="AB27" s="2916"/>
      <c r="AC27" s="950"/>
      <c r="AD27" s="951"/>
      <c r="AE27" s="951"/>
      <c r="AF27" s="952"/>
      <c r="AG27" s="83"/>
    </row>
    <row r="28" spans="1:33" ht="48" customHeight="1">
      <c r="A28" s="990">
        <v>1</v>
      </c>
      <c r="B28" s="2871" t="s">
        <v>66</v>
      </c>
      <c r="C28" s="2872"/>
      <c r="D28" s="2872"/>
      <c r="E28" s="2873"/>
      <c r="F28" s="256" t="s">
        <v>196</v>
      </c>
      <c r="G28" s="929" t="str">
        <f>'XM.FILE GOC'!$E$28</f>
        <v>50~70</v>
      </c>
      <c r="H28" s="2427" t="str">
        <f>'XM.FILE GOC'!$F$28</f>
        <v>(60±5)</v>
      </c>
      <c r="I28" s="2934">
        <f>'XM.FILE GOC'!I28</f>
        <v>0</v>
      </c>
      <c r="J28" s="2867"/>
      <c r="K28" s="2867">
        <f>'XM.FILE GOC'!L28</f>
        <v>0</v>
      </c>
      <c r="L28" s="2867"/>
      <c r="M28" s="953"/>
      <c r="N28" s="954"/>
      <c r="O28" s="954"/>
      <c r="P28" s="955"/>
      <c r="Q28" s="2867">
        <f>'XM.FILE GOC'!P28</f>
        <v>0</v>
      </c>
      <c r="R28" s="2867"/>
      <c r="S28" s="2867">
        <f>'XM.FILE GOC'!S28</f>
        <v>0</v>
      </c>
      <c r="T28" s="2867"/>
      <c r="U28" s="953"/>
      <c r="V28" s="954"/>
      <c r="W28" s="954"/>
      <c r="X28" s="955"/>
      <c r="Y28" s="2867">
        <f>'XM.FILE GOC'!W28</f>
        <v>0</v>
      </c>
      <c r="Z28" s="2867"/>
      <c r="AA28" s="2867">
        <f>'XM.FILE GOC'!Z28</f>
        <v>0</v>
      </c>
      <c r="AB28" s="2867"/>
      <c r="AC28" s="953"/>
      <c r="AD28" s="954"/>
      <c r="AE28" s="954"/>
      <c r="AF28" s="955"/>
      <c r="AG28" s="84"/>
    </row>
    <row r="29" spans="1:33" ht="48" customHeight="1">
      <c r="A29" s="990">
        <v>2</v>
      </c>
      <c r="B29" s="2871" t="s">
        <v>67</v>
      </c>
      <c r="C29" s="2872" t="s">
        <v>67</v>
      </c>
      <c r="D29" s="2872" t="s">
        <v>67</v>
      </c>
      <c r="E29" s="2873" t="s">
        <v>67</v>
      </c>
      <c r="F29" s="256" t="s">
        <v>196</v>
      </c>
      <c r="G29" s="929" t="str">
        <f>'XM.FILE GOC'!$E$29</f>
        <v>50~70</v>
      </c>
      <c r="H29" s="2427" t="str">
        <f>'XM.FILE GOC'!$F$29</f>
        <v>(60±5)</v>
      </c>
      <c r="I29" s="2934">
        <f>'XM.FILE GOC'!I29</f>
        <v>0</v>
      </c>
      <c r="J29" s="2867"/>
      <c r="K29" s="2867">
        <f>'XM.FILE GOC'!L29</f>
        <v>0</v>
      </c>
      <c r="L29" s="2867"/>
      <c r="M29" s="953"/>
      <c r="N29" s="954"/>
      <c r="O29" s="954"/>
      <c r="P29" s="955"/>
      <c r="Q29" s="2867">
        <f>'XM.FILE GOC'!P29</f>
        <v>0</v>
      </c>
      <c r="R29" s="2867"/>
      <c r="S29" s="2867">
        <f>'XM.FILE GOC'!S29</f>
        <v>0</v>
      </c>
      <c r="T29" s="2867"/>
      <c r="U29" s="953"/>
      <c r="V29" s="954"/>
      <c r="W29" s="954"/>
      <c r="X29" s="955"/>
      <c r="Y29" s="2867">
        <f>'XM.FILE GOC'!W29</f>
        <v>0</v>
      </c>
      <c r="Z29" s="2867"/>
      <c r="AA29" s="2867">
        <f>'XM.FILE GOC'!Z29</f>
        <v>0</v>
      </c>
      <c r="AB29" s="2867"/>
      <c r="AC29" s="953"/>
      <c r="AD29" s="954"/>
      <c r="AE29" s="954"/>
      <c r="AF29" s="955"/>
      <c r="AG29" s="84"/>
    </row>
    <row r="30" spans="1:33" ht="48" customHeight="1">
      <c r="A30" s="990">
        <v>3</v>
      </c>
      <c r="B30" s="2871" t="s">
        <v>69</v>
      </c>
      <c r="C30" s="2872" t="s">
        <v>69</v>
      </c>
      <c r="D30" s="2872" t="s">
        <v>69</v>
      </c>
      <c r="E30" s="2873" t="s">
        <v>69</v>
      </c>
      <c r="F30" s="256" t="s">
        <v>196</v>
      </c>
      <c r="G30" s="929" t="str">
        <f>'XM.FILE GOC'!$E$30</f>
        <v>40~60</v>
      </c>
      <c r="H30" s="2427" t="str">
        <f>'XM.FILE GOC'!$F$30</f>
        <v>(50±5)</v>
      </c>
      <c r="I30" s="2829">
        <f>'XM.FILE GOC'!I30</f>
        <v>0</v>
      </c>
      <c r="J30" s="2819"/>
      <c r="K30" s="2828">
        <f>'XM.FILE GOC'!L30</f>
        <v>0</v>
      </c>
      <c r="L30" s="2819"/>
      <c r="M30" s="953"/>
      <c r="N30" s="954"/>
      <c r="O30" s="954"/>
      <c r="P30" s="955"/>
      <c r="Q30" s="2828">
        <f>'XM.FILE GOC'!P30</f>
        <v>0</v>
      </c>
      <c r="R30" s="2819"/>
      <c r="S30" s="2828">
        <f>'XM.FILE GOC'!S30</f>
        <v>0</v>
      </c>
      <c r="T30" s="2819"/>
      <c r="U30" s="953"/>
      <c r="V30" s="954"/>
      <c r="W30" s="954"/>
      <c r="X30" s="955"/>
      <c r="Y30" s="2828">
        <f>'XM.FILE GOC'!W30</f>
        <v>0</v>
      </c>
      <c r="Z30" s="2819"/>
      <c r="AA30" s="2828">
        <f>'XM.FILE GOC'!Z30</f>
        <v>0</v>
      </c>
      <c r="AB30" s="2819"/>
      <c r="AC30" s="953"/>
      <c r="AD30" s="954"/>
      <c r="AE30" s="954"/>
      <c r="AF30" s="955"/>
      <c r="AG30" s="84"/>
    </row>
    <row r="31" spans="1:33" ht="48" customHeight="1">
      <c r="A31" s="990">
        <v>4</v>
      </c>
      <c r="B31" s="2871" t="s">
        <v>68</v>
      </c>
      <c r="C31" s="2872" t="s">
        <v>68</v>
      </c>
      <c r="D31" s="2872" t="s">
        <v>68</v>
      </c>
      <c r="E31" s="2873" t="s">
        <v>68</v>
      </c>
      <c r="F31" s="256" t="s">
        <v>196</v>
      </c>
      <c r="G31" s="929" t="str">
        <f>'XM.FILE GOC'!$E$31</f>
        <v>40~60</v>
      </c>
      <c r="H31" s="2427" t="str">
        <f>'XM.FILE GOC'!$F$31</f>
        <v>(50±5)</v>
      </c>
      <c r="I31" s="2829">
        <f>'XM.FILE GOC'!I31</f>
        <v>0</v>
      </c>
      <c r="J31" s="2819"/>
      <c r="K31" s="2828">
        <f>'XM.FILE GOC'!L31</f>
        <v>0</v>
      </c>
      <c r="L31" s="2819"/>
      <c r="M31" s="953"/>
      <c r="N31" s="954"/>
      <c r="O31" s="954"/>
      <c r="P31" s="955"/>
      <c r="Q31" s="2828">
        <f>'XM.FILE GOC'!P31</f>
        <v>0</v>
      </c>
      <c r="R31" s="2819"/>
      <c r="S31" s="2828">
        <f>'XM.FILE GOC'!S31</f>
        <v>0</v>
      </c>
      <c r="T31" s="2819"/>
      <c r="U31" s="953"/>
      <c r="V31" s="954"/>
      <c r="W31" s="954"/>
      <c r="X31" s="955"/>
      <c r="Y31" s="2828">
        <f>'XM.FILE GOC'!W31</f>
        <v>0</v>
      </c>
      <c r="Z31" s="2819"/>
      <c r="AA31" s="2828">
        <f>'XM.FILE GOC'!Z31</f>
        <v>0</v>
      </c>
      <c r="AB31" s="2819"/>
      <c r="AC31" s="953"/>
      <c r="AD31" s="954"/>
      <c r="AE31" s="954"/>
      <c r="AF31" s="955"/>
      <c r="AG31" s="84"/>
    </row>
    <row r="32" spans="1:33" ht="48" customHeight="1">
      <c r="A32" s="990">
        <v>5</v>
      </c>
      <c r="B32" s="2871" t="s">
        <v>70</v>
      </c>
      <c r="C32" s="2872" t="s">
        <v>70</v>
      </c>
      <c r="D32" s="2872" t="s">
        <v>70</v>
      </c>
      <c r="E32" s="2873" t="s">
        <v>70</v>
      </c>
      <c r="F32" s="256" t="s">
        <v>196</v>
      </c>
      <c r="G32" s="929" t="str">
        <f>'XM.FILE GOC'!$E$32</f>
        <v>20~35</v>
      </c>
      <c r="H32" s="2427" t="str">
        <f>'XM.FILE GOC'!$F$32</f>
        <v>(30±4)</v>
      </c>
      <c r="I32" s="2934">
        <f>'XM.FILE GOC'!I32</f>
        <v>0</v>
      </c>
      <c r="J32" s="2867"/>
      <c r="K32" s="2867">
        <f>'XM.FILE GOC'!L32</f>
        <v>0</v>
      </c>
      <c r="L32" s="2867"/>
      <c r="M32" s="953"/>
      <c r="N32" s="954"/>
      <c r="O32" s="954"/>
      <c r="P32" s="955"/>
      <c r="Q32" s="2867">
        <f>'XM.FILE GOC'!P32</f>
        <v>0</v>
      </c>
      <c r="R32" s="2867"/>
      <c r="S32" s="2867">
        <f>'XM.FILE GOC'!S32</f>
        <v>0</v>
      </c>
      <c r="T32" s="2867"/>
      <c r="U32" s="953"/>
      <c r="V32" s="954"/>
      <c r="W32" s="954"/>
      <c r="X32" s="955"/>
      <c r="Y32" s="2867">
        <f>'XM.FILE GOC'!W32</f>
        <v>0</v>
      </c>
      <c r="Z32" s="2867"/>
      <c r="AA32" s="2867">
        <f>'XM.FILE GOC'!Z32</f>
        <v>0</v>
      </c>
      <c r="AB32" s="2867"/>
      <c r="AC32" s="953"/>
      <c r="AD32" s="954"/>
      <c r="AE32" s="954"/>
      <c r="AF32" s="955"/>
      <c r="AG32" s="84"/>
    </row>
    <row r="33" spans="1:33" ht="48" customHeight="1">
      <c r="A33" s="990">
        <v>6</v>
      </c>
      <c r="B33" s="2871" t="s">
        <v>949</v>
      </c>
      <c r="C33" s="2872" t="s">
        <v>949</v>
      </c>
      <c r="D33" s="2872" t="s">
        <v>949</v>
      </c>
      <c r="E33" s="2873" t="s">
        <v>949</v>
      </c>
      <c r="F33" s="256" t="s">
        <v>196</v>
      </c>
      <c r="G33" s="929" t="str">
        <f>'XM.FILE GOC'!$E$33</f>
        <v>30~40</v>
      </c>
      <c r="H33" s="2427" t="str">
        <f>'XM.FILE GOC'!$F$33</f>
        <v>(34±3)</v>
      </c>
      <c r="I33" s="2934">
        <f>'XM.FILE GOC'!I33</f>
        <v>0</v>
      </c>
      <c r="J33" s="2867"/>
      <c r="K33" s="2867">
        <f>'XM.FILE GOC'!L33</f>
        <v>0</v>
      </c>
      <c r="L33" s="2867"/>
      <c r="M33" s="953"/>
      <c r="N33" s="954"/>
      <c r="O33" s="954"/>
      <c r="P33" s="955"/>
      <c r="Q33" s="2867">
        <f>'XM.FILE GOC'!P33</f>
        <v>0</v>
      </c>
      <c r="R33" s="2867"/>
      <c r="S33" s="2867">
        <f>'XM.FILE GOC'!S33</f>
        <v>0</v>
      </c>
      <c r="T33" s="2867"/>
      <c r="U33" s="953"/>
      <c r="V33" s="954"/>
      <c r="W33" s="954"/>
      <c r="X33" s="955"/>
      <c r="Y33" s="2867">
        <f>'XM.FILE GOC'!W33</f>
        <v>0</v>
      </c>
      <c r="Z33" s="2867"/>
      <c r="AA33" s="2867">
        <f>'XM.FILE GOC'!Z33</f>
        <v>0</v>
      </c>
      <c r="AB33" s="2867"/>
      <c r="AC33" s="953"/>
      <c r="AD33" s="954"/>
      <c r="AE33" s="954"/>
      <c r="AF33" s="955"/>
      <c r="AG33" s="84"/>
    </row>
    <row r="34" spans="1:33" ht="48" customHeight="1">
      <c r="A34" s="990">
        <v>7</v>
      </c>
      <c r="B34" s="2871" t="s">
        <v>71</v>
      </c>
      <c r="C34" s="2872" t="s">
        <v>71</v>
      </c>
      <c r="D34" s="2872" t="s">
        <v>71</v>
      </c>
      <c r="E34" s="2873" t="s">
        <v>71</v>
      </c>
      <c r="F34" s="256" t="s">
        <v>196</v>
      </c>
      <c r="G34" s="929" t="str">
        <f>'XM.FILE GOC'!$E$34</f>
        <v>50~70</v>
      </c>
      <c r="H34" s="2427" t="str">
        <f>'XM.FILE GOC'!$F$34</f>
        <v>(60±10)</v>
      </c>
      <c r="I34" s="2934">
        <f>'XM.FILE GOC'!I34</f>
        <v>0</v>
      </c>
      <c r="J34" s="2867"/>
      <c r="K34" s="2867">
        <f>'XM.FILE GOC'!L34</f>
        <v>0</v>
      </c>
      <c r="L34" s="2867"/>
      <c r="M34" s="953"/>
      <c r="N34" s="954"/>
      <c r="O34" s="954"/>
      <c r="P34" s="955"/>
      <c r="Q34" s="2867">
        <f>'XM.FILE GOC'!P34</f>
        <v>0</v>
      </c>
      <c r="R34" s="2867"/>
      <c r="S34" s="2867">
        <f>'XM.FILE GOC'!S34</f>
        <v>0</v>
      </c>
      <c r="T34" s="2867"/>
      <c r="U34" s="953"/>
      <c r="V34" s="954"/>
      <c r="W34" s="954"/>
      <c r="X34" s="955"/>
      <c r="Y34" s="2867">
        <f>'XM.FILE GOC'!W34</f>
        <v>0</v>
      </c>
      <c r="Z34" s="2867"/>
      <c r="AA34" s="2867">
        <f>'XM.FILE GOC'!Z34</f>
        <v>0</v>
      </c>
      <c r="AB34" s="2867"/>
      <c r="AC34" s="953"/>
      <c r="AD34" s="954"/>
      <c r="AE34" s="954"/>
      <c r="AF34" s="955"/>
      <c r="AG34" s="84"/>
    </row>
    <row r="35" spans="1:33" ht="48" customHeight="1">
      <c r="A35" s="990">
        <v>8</v>
      </c>
      <c r="B35" s="2874" t="s">
        <v>72</v>
      </c>
      <c r="C35" s="2875" t="s">
        <v>72</v>
      </c>
      <c r="D35" s="2875" t="s">
        <v>72</v>
      </c>
      <c r="E35" s="2876" t="s">
        <v>72</v>
      </c>
      <c r="F35" s="256" t="s">
        <v>196</v>
      </c>
      <c r="G35" s="929" t="str">
        <f>'XM.FILE GOC'!$E$35</f>
        <v>80~100</v>
      </c>
      <c r="H35" s="2427" t="str">
        <f>'XM.FILE GOC'!$F$35</f>
        <v>(90±5)</v>
      </c>
      <c r="I35" s="2933" t="str">
        <f>'XM.FILE GOC'!I35</f>
        <v>\</v>
      </c>
      <c r="J35" s="2868"/>
      <c r="K35" s="2867">
        <f>'XM.FILE GOC'!L35</f>
        <v>0</v>
      </c>
      <c r="L35" s="2867"/>
      <c r="M35" s="956"/>
      <c r="N35" s="957"/>
      <c r="O35" s="957"/>
      <c r="P35" s="958"/>
      <c r="Q35" s="2868" t="str">
        <f>'XM.FILE GOC'!P35</f>
        <v>\</v>
      </c>
      <c r="R35" s="2868"/>
      <c r="S35" s="2867">
        <f>'XM.FILE GOC'!S35</f>
        <v>0</v>
      </c>
      <c r="T35" s="2867"/>
      <c r="U35" s="956"/>
      <c r="V35" s="957"/>
      <c r="W35" s="957"/>
      <c r="X35" s="958"/>
      <c r="Y35" s="2868" t="str">
        <f>'XM.FILE GOC'!W35</f>
        <v>\</v>
      </c>
      <c r="Z35" s="2868"/>
      <c r="AA35" s="2867">
        <f>'XM.FILE GOC'!Z35</f>
        <v>0</v>
      </c>
      <c r="AB35" s="2867"/>
      <c r="AC35" s="956"/>
      <c r="AD35" s="957"/>
      <c r="AE35" s="957"/>
      <c r="AF35" s="958"/>
      <c r="AG35" s="84"/>
    </row>
    <row r="36" spans="1:33" ht="41.25" customHeight="1">
      <c r="A36" s="2863" t="s">
        <v>197</v>
      </c>
      <c r="B36" s="2915"/>
      <c r="C36" s="2915"/>
      <c r="D36" s="2915"/>
      <c r="E36" s="2915"/>
      <c r="F36" s="2915"/>
      <c r="G36" s="2915"/>
      <c r="H36" s="2915"/>
      <c r="I36" s="2915"/>
      <c r="J36" s="2915"/>
      <c r="K36" s="2915"/>
      <c r="L36" s="2915"/>
      <c r="M36" s="2935"/>
      <c r="N36" s="2935"/>
      <c r="O36" s="2935"/>
      <c r="P36" s="2935"/>
      <c r="Q36" s="2915"/>
      <c r="R36" s="2915"/>
      <c r="S36" s="2915"/>
      <c r="T36" s="2915"/>
      <c r="U36" s="2915"/>
      <c r="V36" s="2915"/>
      <c r="W36" s="2915"/>
      <c r="X36" s="2915"/>
      <c r="Y36" s="2915"/>
      <c r="Z36" s="2915"/>
      <c r="AA36" s="2915"/>
      <c r="AB36" s="2915"/>
      <c r="AC36" s="2915"/>
      <c r="AD36" s="2915"/>
      <c r="AE36" s="2915"/>
      <c r="AF36" s="2915"/>
      <c r="AG36" s="2864"/>
    </row>
    <row r="37" spans="1:33" ht="52.5" customHeight="1">
      <c r="A37" s="990" t="s">
        <v>7</v>
      </c>
      <c r="B37" s="2871" t="s">
        <v>93</v>
      </c>
      <c r="C37" s="2872"/>
      <c r="D37" s="2872"/>
      <c r="E37" s="2873"/>
      <c r="F37" s="600" t="s">
        <v>94</v>
      </c>
      <c r="G37" s="1010" t="s">
        <v>1325</v>
      </c>
      <c r="H37" s="2429" t="s">
        <v>1317</v>
      </c>
      <c r="I37" s="2932" t="s">
        <v>112</v>
      </c>
      <c r="J37" s="2932"/>
      <c r="K37" s="2932"/>
      <c r="L37" s="2932"/>
      <c r="M37" s="950"/>
      <c r="N37" s="951"/>
      <c r="O37" s="951"/>
      <c r="P37" s="952"/>
      <c r="Q37" s="2869" t="s">
        <v>112</v>
      </c>
      <c r="R37" s="2869"/>
      <c r="S37" s="2869"/>
      <c r="T37" s="2870"/>
      <c r="U37" s="950"/>
      <c r="V37" s="951"/>
      <c r="W37" s="951"/>
      <c r="X37" s="952"/>
      <c r="Y37" s="2930" t="s">
        <v>112</v>
      </c>
      <c r="Z37" s="2869"/>
      <c r="AA37" s="2869"/>
      <c r="AB37" s="2870"/>
      <c r="AC37" s="950"/>
      <c r="AD37" s="951"/>
      <c r="AE37" s="951"/>
      <c r="AF37" s="952"/>
      <c r="AG37" s="83"/>
    </row>
    <row r="38" spans="1:33" ht="56.25" customHeight="1">
      <c r="A38" s="990">
        <v>1</v>
      </c>
      <c r="B38" s="2871" t="s">
        <v>52</v>
      </c>
      <c r="C38" s="2872"/>
      <c r="D38" s="2872"/>
      <c r="E38" s="2873"/>
      <c r="F38" s="992" t="s">
        <v>49</v>
      </c>
      <c r="G38" s="929" t="str">
        <f>'XM.FILE GOC'!$E$37</f>
        <v>300-360</v>
      </c>
      <c r="H38" s="2427" t="str">
        <f>'XM.FILE GOC'!$F$37</f>
        <v>300-360</v>
      </c>
      <c r="I38" s="2833">
        <f>'XM.FILE GOC'!I37</f>
        <v>0</v>
      </c>
      <c r="J38" s="2926"/>
      <c r="K38" s="2926"/>
      <c r="L38" s="2831"/>
      <c r="M38" s="959"/>
      <c r="N38" s="936"/>
      <c r="O38" s="936"/>
      <c r="P38" s="960"/>
      <c r="Q38" s="2924">
        <f>'XM.FILE GOC'!P37</f>
        <v>0</v>
      </c>
      <c r="R38" s="2925"/>
      <c r="S38" s="2925"/>
      <c r="T38" s="2925"/>
      <c r="U38" s="959"/>
      <c r="V38" s="936"/>
      <c r="W38" s="936"/>
      <c r="X38" s="960"/>
      <c r="Y38" s="2925">
        <f>'XM.FILE GOC'!W37</f>
        <v>0</v>
      </c>
      <c r="Z38" s="2925"/>
      <c r="AA38" s="2925"/>
      <c r="AB38" s="2925"/>
      <c r="AC38" s="959"/>
      <c r="AD38" s="936"/>
      <c r="AE38" s="936"/>
      <c r="AF38" s="960"/>
      <c r="AG38" s="84"/>
    </row>
    <row r="39" spans="1:33" ht="56.25" customHeight="1">
      <c r="A39" s="990">
        <v>2</v>
      </c>
      <c r="B39" s="2871" t="s">
        <v>87</v>
      </c>
      <c r="C39" s="2872"/>
      <c r="D39" s="2872"/>
      <c r="E39" s="2873"/>
      <c r="F39" s="992" t="s">
        <v>49</v>
      </c>
      <c r="G39" s="929" t="str">
        <f>'XM.FILE GOC'!$E$38</f>
        <v>30-50</v>
      </c>
      <c r="H39" s="2427" t="str">
        <f>'XM.FILE GOC'!$F$38</f>
        <v>30-50</v>
      </c>
      <c r="I39" s="2833">
        <f>'XM.FILE GOC'!I38</f>
        <v>0</v>
      </c>
      <c r="J39" s="2926"/>
      <c r="K39" s="2926"/>
      <c r="L39" s="2831"/>
      <c r="M39" s="961"/>
      <c r="N39" s="962"/>
      <c r="O39" s="962"/>
      <c r="P39" s="963"/>
      <c r="Q39" s="2924">
        <f>'XM.FILE GOC'!P38</f>
        <v>0</v>
      </c>
      <c r="R39" s="2925"/>
      <c r="S39" s="2925"/>
      <c r="T39" s="2925"/>
      <c r="U39" s="961"/>
      <c r="V39" s="962"/>
      <c r="W39" s="962"/>
      <c r="X39" s="963"/>
      <c r="Y39" s="2925">
        <f>'XM.FILE GOC'!W38</f>
        <v>0</v>
      </c>
      <c r="Z39" s="2925"/>
      <c r="AA39" s="2925"/>
      <c r="AB39" s="2925"/>
      <c r="AC39" s="961"/>
      <c r="AD39" s="962"/>
      <c r="AE39" s="962"/>
      <c r="AF39" s="963"/>
      <c r="AG39" s="84"/>
    </row>
    <row r="40" spans="1:33" ht="34.5" customHeight="1">
      <c r="A40" s="2470"/>
      <c r="B40" s="2471"/>
      <c r="C40" s="2471"/>
      <c r="D40" s="2471"/>
      <c r="E40" s="2471"/>
      <c r="F40" s="2471"/>
      <c r="G40" s="2471"/>
      <c r="H40" s="2471"/>
      <c r="I40" s="2471"/>
      <c r="J40" s="2471"/>
      <c r="K40" s="2471"/>
      <c r="L40" s="2471"/>
      <c r="M40" s="2471"/>
      <c r="N40" s="2471"/>
      <c r="O40" s="2471"/>
      <c r="P40" s="2471"/>
      <c r="Q40" s="2471"/>
      <c r="R40" s="2471"/>
      <c r="S40" s="2471"/>
      <c r="T40" s="2471"/>
      <c r="U40" s="2471"/>
      <c r="V40" s="2471"/>
      <c r="W40" s="2471"/>
      <c r="X40" s="2471"/>
      <c r="Y40" s="2471"/>
      <c r="Z40" s="2471"/>
      <c r="AA40" s="2471"/>
      <c r="AB40" s="2471"/>
      <c r="AC40" s="2471"/>
      <c r="AD40" s="2471"/>
      <c r="AE40" s="2471"/>
      <c r="AF40" s="2471"/>
      <c r="AG40" s="2471"/>
    </row>
    <row r="41" spans="1:33" ht="40.5" customHeight="1">
      <c r="A41" s="2927" t="s">
        <v>131</v>
      </c>
      <c r="B41" s="2927"/>
      <c r="C41" s="2927"/>
      <c r="D41" s="2927"/>
      <c r="E41" s="2927"/>
      <c r="F41" s="2927"/>
      <c r="G41" s="2927"/>
      <c r="H41" s="2927"/>
      <c r="I41" s="2927"/>
      <c r="J41" s="2927"/>
      <c r="K41" s="2927"/>
      <c r="L41" s="2927"/>
      <c r="M41" s="2927"/>
      <c r="N41" s="2927"/>
      <c r="O41" s="2927"/>
      <c r="P41" s="2927"/>
      <c r="Q41" s="2927"/>
      <c r="R41" s="2927"/>
      <c r="S41" s="2927"/>
      <c r="T41" s="2927"/>
      <c r="U41" s="2927"/>
      <c r="V41" s="2927"/>
      <c r="W41" s="2927"/>
      <c r="X41" s="2927"/>
      <c r="Y41" s="2927"/>
      <c r="Z41" s="2927"/>
      <c r="AA41" s="86"/>
      <c r="AB41" s="86"/>
      <c r="AC41" s="965"/>
      <c r="AD41" s="965"/>
      <c r="AE41" s="965"/>
      <c r="AF41" s="965"/>
      <c r="AG41" s="934"/>
    </row>
    <row r="42" spans="1:33" ht="60.75" customHeight="1">
      <c r="A42" s="2865" t="s">
        <v>220</v>
      </c>
      <c r="B42" s="2865"/>
      <c r="C42" s="2865"/>
      <c r="D42" s="2865"/>
      <c r="E42" s="2865"/>
      <c r="F42" s="2865"/>
      <c r="G42" s="2865"/>
      <c r="H42" s="2865"/>
      <c r="I42" s="2865"/>
      <c r="J42" s="2865"/>
      <c r="K42" s="2865"/>
      <c r="L42" s="2865"/>
      <c r="M42" s="2865"/>
      <c r="N42" s="2865"/>
      <c r="O42" s="2865"/>
      <c r="P42" s="2865"/>
      <c r="Q42" s="2865"/>
      <c r="R42" s="2865"/>
      <c r="S42" s="2865"/>
      <c r="T42" s="2865"/>
      <c r="U42" s="2865"/>
      <c r="V42" s="2865"/>
      <c r="W42" s="2865"/>
      <c r="X42" s="2865"/>
      <c r="Y42" s="2865"/>
      <c r="Z42" s="2865"/>
      <c r="AA42" s="2865"/>
      <c r="AB42" s="2865"/>
      <c r="AC42" s="2866"/>
      <c r="AD42" s="2861" t="s">
        <v>89</v>
      </c>
      <c r="AE42" s="2861"/>
      <c r="AF42" s="2863" t="s">
        <v>90</v>
      </c>
      <c r="AG42" s="2864"/>
    </row>
    <row r="43" spans="1:33" ht="45" customHeight="1">
      <c r="B43" s="2900" t="s">
        <v>214</v>
      </c>
      <c r="C43" s="2900"/>
      <c r="D43" s="2900"/>
      <c r="E43" s="2900"/>
      <c r="F43" s="1461"/>
      <c r="G43" s="1462"/>
      <c r="H43" s="1930" t="str">
        <f>MENU!$AC$9</f>
        <v>Thứ 3,</v>
      </c>
      <c r="I43" s="2901" t="str">
        <f>MENU!$AD$9</f>
        <v>2024/01/09</v>
      </c>
      <c r="J43" s="2902"/>
      <c r="K43" s="2902"/>
      <c r="L43" s="2902"/>
      <c r="M43" s="937"/>
      <c r="N43" s="937"/>
      <c r="O43" s="937"/>
      <c r="P43" s="937"/>
      <c r="Q43" s="980"/>
      <c r="R43" s="980"/>
      <c r="S43" s="980"/>
      <c r="T43" s="980"/>
      <c r="U43" s="937"/>
      <c r="V43" s="937"/>
      <c r="W43" s="937"/>
      <c r="X43" s="937"/>
      <c r="Y43" s="980"/>
      <c r="Z43" s="980"/>
      <c r="AD43" s="2862" t="str">
        <f>MENU!AE7</f>
        <v>L.Yen</v>
      </c>
      <c r="AE43" s="2862"/>
      <c r="AF43" s="2854" t="s">
        <v>11</v>
      </c>
      <c r="AG43" s="2855"/>
    </row>
    <row r="44" spans="1:33" s="16" customFormat="1" ht="45" customHeight="1">
      <c r="A44" s="2917" t="s">
        <v>7</v>
      </c>
      <c r="B44" s="2885" t="s">
        <v>77</v>
      </c>
      <c r="C44" s="2886"/>
      <c r="D44" s="2886"/>
      <c r="E44" s="2887"/>
      <c r="F44" s="2883" t="s">
        <v>125</v>
      </c>
      <c r="G44" s="2922" t="s">
        <v>1325</v>
      </c>
      <c r="H44" s="2920" t="s">
        <v>1317</v>
      </c>
      <c r="I44" s="2903">
        <v>0.80208333333333337</v>
      </c>
      <c r="J44" s="2904"/>
      <c r="K44" s="2904"/>
      <c r="L44" s="2905"/>
      <c r="M44" s="2856" t="s">
        <v>942</v>
      </c>
      <c r="N44" s="2857"/>
      <c r="O44" s="2857"/>
      <c r="P44" s="2858"/>
      <c r="Q44" s="2906">
        <v>0.96875</v>
      </c>
      <c r="R44" s="2907"/>
      <c r="S44" s="2907"/>
      <c r="T44" s="2908"/>
      <c r="U44" s="2856" t="s">
        <v>942</v>
      </c>
      <c r="V44" s="2857"/>
      <c r="W44" s="2857"/>
      <c r="X44" s="2858"/>
      <c r="Y44" s="2906">
        <v>0.13541666666666666</v>
      </c>
      <c r="Z44" s="2907"/>
      <c r="AA44" s="2907"/>
      <c r="AB44" s="2908"/>
      <c r="AC44" s="2856" t="s">
        <v>945</v>
      </c>
      <c r="AD44" s="2857"/>
      <c r="AE44" s="2857"/>
      <c r="AF44" s="2858"/>
      <c r="AG44" s="85" t="s">
        <v>91</v>
      </c>
    </row>
    <row r="45" spans="1:33" s="16" customFormat="1" ht="45" customHeight="1">
      <c r="A45" s="2919"/>
      <c r="B45" s="2888"/>
      <c r="C45" s="2889"/>
      <c r="D45" s="2889"/>
      <c r="E45" s="2890"/>
      <c r="F45" s="2884"/>
      <c r="G45" s="2923"/>
      <c r="H45" s="2921"/>
      <c r="I45" s="981" t="s">
        <v>130</v>
      </c>
      <c r="J45" s="2909" t="s">
        <v>1</v>
      </c>
      <c r="K45" s="2910"/>
      <c r="L45" s="2911"/>
      <c r="M45" s="938" t="s">
        <v>943</v>
      </c>
      <c r="N45" s="2859" t="s">
        <v>1</v>
      </c>
      <c r="O45" s="2859"/>
      <c r="P45" s="2860"/>
      <c r="Q45" s="981" t="s">
        <v>130</v>
      </c>
      <c r="R45" s="2912" t="s">
        <v>1</v>
      </c>
      <c r="S45" s="2913"/>
      <c r="T45" s="2914"/>
      <c r="U45" s="938" t="s">
        <v>943</v>
      </c>
      <c r="V45" s="2859" t="s">
        <v>1</v>
      </c>
      <c r="W45" s="2859"/>
      <c r="X45" s="2860"/>
      <c r="Y45" s="981" t="s">
        <v>130</v>
      </c>
      <c r="Z45" s="2912" t="s">
        <v>1</v>
      </c>
      <c r="AA45" s="2913"/>
      <c r="AB45" s="2914"/>
      <c r="AC45" s="938" t="s">
        <v>946</v>
      </c>
      <c r="AD45" s="2859" t="s">
        <v>1</v>
      </c>
      <c r="AE45" s="2859"/>
      <c r="AF45" s="2860"/>
      <c r="AG45" s="4" t="s">
        <v>92</v>
      </c>
    </row>
    <row r="46" spans="1:33" ht="48" customHeight="1">
      <c r="A46" s="2917">
        <v>1</v>
      </c>
      <c r="B46" s="2885" t="s">
        <v>132</v>
      </c>
      <c r="C46" s="2891"/>
      <c r="D46" s="2898" t="s">
        <v>101</v>
      </c>
      <c r="E46" s="2899"/>
      <c r="F46" s="49" t="s">
        <v>4</v>
      </c>
      <c r="G46" s="929" t="str">
        <f>'XM.FILE GOC'!$E$6</f>
        <v>20~40</v>
      </c>
      <c r="H46" s="2427" t="str">
        <f>'XM.FILE GOC'!$F$6</f>
        <v>(30±5)</v>
      </c>
      <c r="I46" s="1501">
        <f>'XM.FILE GOC'!AD6</f>
        <v>0</v>
      </c>
      <c r="J46" s="17" t="s">
        <v>8</v>
      </c>
      <c r="K46" s="27">
        <f>'XM.FILE GOC'!AG6</f>
        <v>80.790000000000006</v>
      </c>
      <c r="L46" s="18" t="s">
        <v>9</v>
      </c>
      <c r="M46" s="939"/>
      <c r="N46" s="940" t="s">
        <v>8</v>
      </c>
      <c r="O46" s="1682">
        <f>('XM.FILE GOC'!$G$6-M46)*2693/1000</f>
        <v>80.790000000000006</v>
      </c>
      <c r="P46" s="941" t="s">
        <v>9</v>
      </c>
      <c r="Q46" s="1501">
        <f>'XM.FILE GOC'!AK6</f>
        <v>0</v>
      </c>
      <c r="R46" s="982" t="s">
        <v>8</v>
      </c>
      <c r="S46" s="983">
        <f>'XM.FILE GOC'!AN6</f>
        <v>80.790000000000006</v>
      </c>
      <c r="T46" s="984" t="s">
        <v>9</v>
      </c>
      <c r="U46" s="939"/>
      <c r="V46" s="940" t="s">
        <v>8</v>
      </c>
      <c r="W46" s="1682">
        <f>('XM.FILE GOC'!$G$6-U46)*2693/1000</f>
        <v>80.790000000000006</v>
      </c>
      <c r="X46" s="941" t="s">
        <v>9</v>
      </c>
      <c r="Y46" s="1501">
        <f>'XM.FILE GOC'!AR6</f>
        <v>0</v>
      </c>
      <c r="Z46" s="982" t="s">
        <v>8</v>
      </c>
      <c r="AA46" s="983">
        <f>'XM.FILE GOC'!AU6</f>
        <v>80.790000000000006</v>
      </c>
      <c r="AB46" s="984" t="s">
        <v>9</v>
      </c>
      <c r="AC46" s="939"/>
      <c r="AD46" s="940" t="s">
        <v>8</v>
      </c>
      <c r="AE46" s="1682">
        <f>('XM.FILE GOC'!$G$6-AC46)*2693/1000</f>
        <v>80.790000000000006</v>
      </c>
      <c r="AF46" s="941" t="s">
        <v>9</v>
      </c>
      <c r="AG46" s="84" t="s">
        <v>40</v>
      </c>
    </row>
    <row r="47" spans="1:33" ht="48" customHeight="1">
      <c r="A47" s="2918"/>
      <c r="B47" s="2892"/>
      <c r="C47" s="2893"/>
      <c r="D47" s="2871" t="s">
        <v>102</v>
      </c>
      <c r="E47" s="2873"/>
      <c r="F47" s="49" t="s">
        <v>56</v>
      </c>
      <c r="G47" s="929" t="s">
        <v>103</v>
      </c>
      <c r="H47" s="2427"/>
      <c r="I47" s="1783"/>
      <c r="J47" s="57" t="s">
        <v>8</v>
      </c>
      <c r="K47" s="60">
        <f>K46/25*840/1000</f>
        <v>2.7145440000000005</v>
      </c>
      <c r="L47" s="59" t="s">
        <v>10</v>
      </c>
      <c r="M47" s="939"/>
      <c r="N47" s="942" t="s">
        <v>8</v>
      </c>
      <c r="O47" s="1684">
        <f>O46/25*840/1000</f>
        <v>2.7145440000000005</v>
      </c>
      <c r="P47" s="943" t="s">
        <v>10</v>
      </c>
      <c r="Q47" s="1783"/>
      <c r="R47" s="61" t="s">
        <v>8</v>
      </c>
      <c r="S47" s="985">
        <f>S46/25*840/1000</f>
        <v>2.7145440000000005</v>
      </c>
      <c r="T47" s="614" t="s">
        <v>10</v>
      </c>
      <c r="U47" s="939"/>
      <c r="V47" s="942" t="s">
        <v>8</v>
      </c>
      <c r="W47" s="1684">
        <f>W46/25*840/1000</f>
        <v>2.7145440000000005</v>
      </c>
      <c r="X47" s="943" t="s">
        <v>10</v>
      </c>
      <c r="Y47" s="1783"/>
      <c r="Z47" s="61" t="s">
        <v>8</v>
      </c>
      <c r="AA47" s="985">
        <f>AA46/25*840/1000</f>
        <v>2.7145440000000005</v>
      </c>
      <c r="AB47" s="614" t="s">
        <v>10</v>
      </c>
      <c r="AC47" s="939"/>
      <c r="AD47" s="942" t="s">
        <v>8</v>
      </c>
      <c r="AE47" s="1684">
        <f>AE46/25*840/1000</f>
        <v>2.7145440000000005</v>
      </c>
      <c r="AF47" s="943" t="s">
        <v>10</v>
      </c>
      <c r="AG47" s="108"/>
    </row>
    <row r="48" spans="1:33" ht="48" customHeight="1">
      <c r="A48" s="2919"/>
      <c r="B48" s="2894"/>
      <c r="C48" s="2895"/>
      <c r="D48" s="2871" t="s">
        <v>104</v>
      </c>
      <c r="E48" s="2873"/>
      <c r="F48" s="49" t="s">
        <v>56</v>
      </c>
      <c r="G48" s="929" t="s">
        <v>103</v>
      </c>
      <c r="H48" s="2427"/>
      <c r="I48" s="1783"/>
      <c r="J48" s="57" t="s">
        <v>8</v>
      </c>
      <c r="K48" s="60">
        <f>K47*10</f>
        <v>27.145440000000004</v>
      </c>
      <c r="L48" s="59" t="s">
        <v>10</v>
      </c>
      <c r="M48" s="939"/>
      <c r="N48" s="940" t="s">
        <v>8</v>
      </c>
      <c r="O48" s="1684">
        <f>O47*10</f>
        <v>27.145440000000004</v>
      </c>
      <c r="P48" s="941" t="s">
        <v>10</v>
      </c>
      <c r="Q48" s="1783"/>
      <c r="R48" s="61" t="s">
        <v>8</v>
      </c>
      <c r="S48" s="985">
        <f>S47*10</f>
        <v>27.145440000000004</v>
      </c>
      <c r="T48" s="614" t="s">
        <v>10</v>
      </c>
      <c r="U48" s="939"/>
      <c r="V48" s="940" t="s">
        <v>8</v>
      </c>
      <c r="W48" s="1684">
        <f>W47*10</f>
        <v>27.145440000000004</v>
      </c>
      <c r="X48" s="941" t="s">
        <v>10</v>
      </c>
      <c r="Y48" s="1783"/>
      <c r="Z48" s="61" t="s">
        <v>8</v>
      </c>
      <c r="AA48" s="985">
        <f>AA47*10</f>
        <v>27.145440000000004</v>
      </c>
      <c r="AB48" s="614" t="s">
        <v>10</v>
      </c>
      <c r="AC48" s="939"/>
      <c r="AD48" s="940" t="s">
        <v>8</v>
      </c>
      <c r="AE48" s="1684">
        <f>AE47*10</f>
        <v>27.145440000000004</v>
      </c>
      <c r="AF48" s="941" t="s">
        <v>10</v>
      </c>
      <c r="AG48" s="84"/>
    </row>
    <row r="49" spans="1:33" ht="48" customHeight="1">
      <c r="A49" s="2917">
        <v>2</v>
      </c>
      <c r="B49" s="2885" t="s">
        <v>133</v>
      </c>
      <c r="C49" s="2891"/>
      <c r="D49" s="2898" t="s">
        <v>101</v>
      </c>
      <c r="E49" s="2899"/>
      <c r="F49" s="49" t="s">
        <v>4</v>
      </c>
      <c r="G49" s="929" t="str">
        <f>'XM.FILE GOC'!$E$9</f>
        <v>20~40</v>
      </c>
      <c r="H49" s="2427" t="str">
        <f>'XM.FILE GOC'!$F$9</f>
        <v>(30±5)</v>
      </c>
      <c r="I49" s="1501">
        <f>'XM.FILE GOC'!AD9</f>
        <v>0</v>
      </c>
      <c r="J49" s="17" t="s">
        <v>8</v>
      </c>
      <c r="K49" s="27">
        <f>'XM.FILE GOC'!AG9</f>
        <v>99.15</v>
      </c>
      <c r="L49" s="18" t="s">
        <v>9</v>
      </c>
      <c r="M49" s="939"/>
      <c r="N49" s="942" t="s">
        <v>8</v>
      </c>
      <c r="O49" s="1682">
        <f>('XM.FILE GOC'!$G$9-M49)*3305/1000</f>
        <v>99.15</v>
      </c>
      <c r="P49" s="943" t="s">
        <v>9</v>
      </c>
      <c r="Q49" s="1501">
        <f>'XM.FILE GOC'!AK9</f>
        <v>0</v>
      </c>
      <c r="R49" s="982" t="s">
        <v>8</v>
      </c>
      <c r="S49" s="983">
        <f>'XM.FILE GOC'!AN9</f>
        <v>99.15</v>
      </c>
      <c r="T49" s="984" t="s">
        <v>9</v>
      </c>
      <c r="U49" s="939"/>
      <c r="V49" s="942" t="s">
        <v>8</v>
      </c>
      <c r="W49" s="1682">
        <f>('XM.FILE GOC'!$G$9-U49)*3305/1000</f>
        <v>99.15</v>
      </c>
      <c r="X49" s="943" t="s">
        <v>9</v>
      </c>
      <c r="Y49" s="1501">
        <f>'XM.FILE GOC'!AR9</f>
        <v>0</v>
      </c>
      <c r="Z49" s="982" t="s">
        <v>8</v>
      </c>
      <c r="AA49" s="983">
        <f>'XM.FILE GOC'!AU9</f>
        <v>99.15</v>
      </c>
      <c r="AB49" s="984" t="s">
        <v>9</v>
      </c>
      <c r="AC49" s="939"/>
      <c r="AD49" s="942" t="s">
        <v>8</v>
      </c>
      <c r="AE49" s="1682">
        <f>('XM.FILE GOC'!$G$9-AC49)*3305/1000</f>
        <v>99.15</v>
      </c>
      <c r="AF49" s="943" t="s">
        <v>9</v>
      </c>
      <c r="AG49" s="84" t="s">
        <v>40</v>
      </c>
    </row>
    <row r="50" spans="1:33" ht="48" customHeight="1">
      <c r="A50" s="2918"/>
      <c r="B50" s="2892"/>
      <c r="C50" s="2893"/>
      <c r="D50" s="2871" t="s">
        <v>102</v>
      </c>
      <c r="E50" s="2873"/>
      <c r="F50" s="49" t="s">
        <v>56</v>
      </c>
      <c r="G50" s="929" t="s">
        <v>103</v>
      </c>
      <c r="H50" s="2427"/>
      <c r="I50" s="1783"/>
      <c r="J50" s="57" t="s">
        <v>8</v>
      </c>
      <c r="K50" s="60">
        <f>K49/25*840/1000</f>
        <v>3.3314400000000002</v>
      </c>
      <c r="L50" s="59" t="s">
        <v>10</v>
      </c>
      <c r="M50" s="939"/>
      <c r="N50" s="940" t="s">
        <v>8</v>
      </c>
      <c r="O50" s="1684">
        <f>O49/25*840/1000</f>
        <v>3.3314400000000002</v>
      </c>
      <c r="P50" s="941" t="s">
        <v>10</v>
      </c>
      <c r="Q50" s="1783"/>
      <c r="R50" s="61" t="s">
        <v>8</v>
      </c>
      <c r="S50" s="985">
        <f>S49/25*840/1000</f>
        <v>3.3314400000000002</v>
      </c>
      <c r="T50" s="614" t="s">
        <v>10</v>
      </c>
      <c r="U50" s="939"/>
      <c r="V50" s="942" t="s">
        <v>8</v>
      </c>
      <c r="W50" s="1684">
        <f>W49/25*840/1000</f>
        <v>3.3314400000000002</v>
      </c>
      <c r="X50" s="943" t="s">
        <v>10</v>
      </c>
      <c r="Y50" s="1783"/>
      <c r="Z50" s="61" t="s">
        <v>8</v>
      </c>
      <c r="AA50" s="985">
        <f>AA49/25*840/1000</f>
        <v>3.3314400000000002</v>
      </c>
      <c r="AB50" s="614" t="s">
        <v>10</v>
      </c>
      <c r="AC50" s="939"/>
      <c r="AD50" s="942" t="s">
        <v>8</v>
      </c>
      <c r="AE50" s="1684">
        <f>AE49/25*840/1000</f>
        <v>3.3314400000000002</v>
      </c>
      <c r="AF50" s="943" t="s">
        <v>10</v>
      </c>
      <c r="AG50" s="108"/>
    </row>
    <row r="51" spans="1:33" ht="48" customHeight="1">
      <c r="A51" s="2919"/>
      <c r="B51" s="2894"/>
      <c r="C51" s="2895"/>
      <c r="D51" s="2871" t="s">
        <v>104</v>
      </c>
      <c r="E51" s="2873"/>
      <c r="F51" s="49" t="s">
        <v>56</v>
      </c>
      <c r="G51" s="929" t="s">
        <v>103</v>
      </c>
      <c r="H51" s="2427"/>
      <c r="I51" s="1783"/>
      <c r="J51" s="57" t="s">
        <v>8</v>
      </c>
      <c r="K51" s="60">
        <f>K50*10</f>
        <v>33.314399999999999</v>
      </c>
      <c r="L51" s="59" t="s">
        <v>10</v>
      </c>
      <c r="M51" s="939"/>
      <c r="N51" s="942" t="s">
        <v>8</v>
      </c>
      <c r="O51" s="1684">
        <f>O50*10</f>
        <v>33.314399999999999</v>
      </c>
      <c r="P51" s="943" t="s">
        <v>10</v>
      </c>
      <c r="Q51" s="1783"/>
      <c r="R51" s="61" t="s">
        <v>8</v>
      </c>
      <c r="S51" s="985">
        <f>S50*10</f>
        <v>33.314399999999999</v>
      </c>
      <c r="T51" s="614" t="s">
        <v>10</v>
      </c>
      <c r="U51" s="939"/>
      <c r="V51" s="940" t="s">
        <v>8</v>
      </c>
      <c r="W51" s="1684">
        <f>W50*10</f>
        <v>33.314399999999999</v>
      </c>
      <c r="X51" s="941" t="s">
        <v>10</v>
      </c>
      <c r="Y51" s="1783"/>
      <c r="Z51" s="61" t="s">
        <v>8</v>
      </c>
      <c r="AA51" s="985">
        <f>AA50*10</f>
        <v>33.314399999999999</v>
      </c>
      <c r="AB51" s="614" t="s">
        <v>10</v>
      </c>
      <c r="AC51" s="939"/>
      <c r="AD51" s="940" t="s">
        <v>8</v>
      </c>
      <c r="AE51" s="1684">
        <f>AE50*10</f>
        <v>33.314399999999999</v>
      </c>
      <c r="AF51" s="941" t="s">
        <v>10</v>
      </c>
      <c r="AG51" s="84"/>
    </row>
    <row r="52" spans="1:33" ht="48" customHeight="1">
      <c r="A52" s="2917">
        <v>3</v>
      </c>
      <c r="B52" s="2896" t="s">
        <v>134</v>
      </c>
      <c r="C52" s="2897"/>
      <c r="D52" s="2898" t="s">
        <v>101</v>
      </c>
      <c r="E52" s="2899"/>
      <c r="F52" s="49" t="s">
        <v>4</v>
      </c>
      <c r="G52" s="929" t="str">
        <f>'XM.FILE GOC'!$E$12</f>
        <v>60~80</v>
      </c>
      <c r="H52" s="2427" t="str">
        <f>'XM.FILE GOC'!$F$12</f>
        <v>(70±10)</v>
      </c>
      <c r="I52" s="1477">
        <f>'XM.FILE GOC'!AD12</f>
        <v>0</v>
      </c>
      <c r="J52" s="17" t="s">
        <v>8</v>
      </c>
      <c r="K52" s="27">
        <f>'XM.FILE GOC'!AG12</f>
        <v>80.92</v>
      </c>
      <c r="L52" s="18" t="s">
        <v>9</v>
      </c>
      <c r="M52" s="939"/>
      <c r="N52" s="940" t="s">
        <v>8</v>
      </c>
      <c r="O52" s="1682">
        <f>('XM.FILE GOC'!$G$12-M52)*1156/1000</f>
        <v>80.92</v>
      </c>
      <c r="P52" s="941" t="s">
        <v>9</v>
      </c>
      <c r="Q52" s="1477">
        <f>'XM.FILE GOC'!AK12</f>
        <v>0</v>
      </c>
      <c r="R52" s="982" t="s">
        <v>8</v>
      </c>
      <c r="S52" s="983">
        <f>'XM.FILE GOC'!AN12</f>
        <v>80.92</v>
      </c>
      <c r="T52" s="984" t="s">
        <v>9</v>
      </c>
      <c r="U52" s="939"/>
      <c r="V52" s="940" t="s">
        <v>8</v>
      </c>
      <c r="W52" s="1682">
        <f>('XM.FILE GOC'!$G$12-U52)*1156/1000</f>
        <v>80.92</v>
      </c>
      <c r="X52" s="941" t="s">
        <v>9</v>
      </c>
      <c r="Y52" s="1477">
        <f>'XM.FILE GOC'!AR12</f>
        <v>0</v>
      </c>
      <c r="Z52" s="982" t="s">
        <v>8</v>
      </c>
      <c r="AA52" s="983">
        <f>'XM.FILE GOC'!AU12</f>
        <v>80.92</v>
      </c>
      <c r="AB52" s="984" t="s">
        <v>9</v>
      </c>
      <c r="AC52" s="939"/>
      <c r="AD52" s="940" t="s">
        <v>8</v>
      </c>
      <c r="AE52" s="1682">
        <f>('XM.FILE GOC'!$G$12-AC52)*1156/1000</f>
        <v>80.92</v>
      </c>
      <c r="AF52" s="941" t="s">
        <v>9</v>
      </c>
      <c r="AG52" s="84" t="s">
        <v>40</v>
      </c>
    </row>
    <row r="53" spans="1:33" ht="48" customHeight="1">
      <c r="A53" s="2919"/>
      <c r="B53" s="2897"/>
      <c r="C53" s="2897"/>
      <c r="D53" s="2871" t="s">
        <v>105</v>
      </c>
      <c r="E53" s="2873"/>
      <c r="F53" s="49" t="s">
        <v>56</v>
      </c>
      <c r="G53" s="929" t="s">
        <v>103</v>
      </c>
      <c r="H53" s="2427"/>
      <c r="I53" s="1780"/>
      <c r="J53" s="57" t="s">
        <v>8</v>
      </c>
      <c r="K53" s="60">
        <f>K52/25*7.5</f>
        <v>24.276</v>
      </c>
      <c r="L53" s="59" t="s">
        <v>10</v>
      </c>
      <c r="M53" s="939"/>
      <c r="N53" s="942" t="s">
        <v>8</v>
      </c>
      <c r="O53" s="1684">
        <f>O52/25*7.5</f>
        <v>24.276</v>
      </c>
      <c r="P53" s="943" t="s">
        <v>10</v>
      </c>
      <c r="Q53" s="1780"/>
      <c r="R53" s="61" t="s">
        <v>8</v>
      </c>
      <c r="S53" s="985">
        <f>S52/25*7.5</f>
        <v>24.276</v>
      </c>
      <c r="T53" s="614" t="s">
        <v>10</v>
      </c>
      <c r="U53" s="939"/>
      <c r="V53" s="942" t="s">
        <v>8</v>
      </c>
      <c r="W53" s="1684">
        <f>W52/25*7.5</f>
        <v>24.276</v>
      </c>
      <c r="X53" s="943" t="s">
        <v>10</v>
      </c>
      <c r="Y53" s="1780"/>
      <c r="Z53" s="61" t="s">
        <v>8</v>
      </c>
      <c r="AA53" s="985">
        <f>AA52/25*7.5</f>
        <v>24.276</v>
      </c>
      <c r="AB53" s="614" t="s">
        <v>10</v>
      </c>
      <c r="AC53" s="939"/>
      <c r="AD53" s="942" t="s">
        <v>8</v>
      </c>
      <c r="AE53" s="1684">
        <f>AE52/25*7.5</f>
        <v>24.276</v>
      </c>
      <c r="AF53" s="943" t="s">
        <v>10</v>
      </c>
      <c r="AG53" s="84"/>
    </row>
    <row r="54" spans="1:33" ht="48" customHeight="1">
      <c r="A54" s="2917">
        <v>4</v>
      </c>
      <c r="B54" s="2896" t="s">
        <v>135</v>
      </c>
      <c r="C54" s="2897"/>
      <c r="D54" s="2898" t="s">
        <v>101</v>
      </c>
      <c r="E54" s="2899"/>
      <c r="F54" s="49" t="s">
        <v>4</v>
      </c>
      <c r="G54" s="929" t="str">
        <f>'XM.FILE GOC'!$E$14</f>
        <v>60~80</v>
      </c>
      <c r="H54" s="2427" t="str">
        <f>'XM.FILE GOC'!$F$14</f>
        <v>(70±10)</v>
      </c>
      <c r="I54" s="1477">
        <f>'XM.FILE GOC'!AD14</f>
        <v>0</v>
      </c>
      <c r="J54" s="17" t="s">
        <v>8</v>
      </c>
      <c r="K54" s="27">
        <f>'XM.FILE GOC'!AG14</f>
        <v>102.13</v>
      </c>
      <c r="L54" s="18" t="s">
        <v>9</v>
      </c>
      <c r="M54" s="939"/>
      <c r="N54" s="940" t="s">
        <v>8</v>
      </c>
      <c r="O54" s="1682">
        <f>('XM.FILE GOC'!$G$14-M54)*1459/1000</f>
        <v>102.13</v>
      </c>
      <c r="P54" s="941" t="s">
        <v>9</v>
      </c>
      <c r="Q54" s="1477">
        <f>'XM.FILE GOC'!AK14</f>
        <v>0</v>
      </c>
      <c r="R54" s="982" t="s">
        <v>8</v>
      </c>
      <c r="S54" s="983">
        <f>'XM.FILE GOC'!AN14</f>
        <v>102.13</v>
      </c>
      <c r="T54" s="984" t="s">
        <v>9</v>
      </c>
      <c r="U54" s="939"/>
      <c r="V54" s="940" t="s">
        <v>8</v>
      </c>
      <c r="W54" s="1682">
        <f>('XM.FILE GOC'!$G$14-U54)*1459/1000</f>
        <v>102.13</v>
      </c>
      <c r="X54" s="941" t="s">
        <v>9</v>
      </c>
      <c r="Y54" s="1477">
        <f>'XM.FILE GOC'!AR14</f>
        <v>0</v>
      </c>
      <c r="Z54" s="982" t="s">
        <v>8</v>
      </c>
      <c r="AA54" s="983">
        <f>'XM.FILE GOC'!AU14</f>
        <v>102.13</v>
      </c>
      <c r="AB54" s="984" t="s">
        <v>9</v>
      </c>
      <c r="AC54" s="939"/>
      <c r="AD54" s="940" t="s">
        <v>8</v>
      </c>
      <c r="AE54" s="1682">
        <f>('XM.FILE GOC'!$G$14-AC54)*1459/1000</f>
        <v>102.13</v>
      </c>
      <c r="AF54" s="941" t="s">
        <v>9</v>
      </c>
      <c r="AG54" s="84" t="s">
        <v>40</v>
      </c>
    </row>
    <row r="55" spans="1:33" ht="48" customHeight="1">
      <c r="A55" s="2919"/>
      <c r="B55" s="2897"/>
      <c r="C55" s="2897"/>
      <c r="D55" s="2871" t="s">
        <v>105</v>
      </c>
      <c r="E55" s="2873"/>
      <c r="F55" s="49" t="s">
        <v>56</v>
      </c>
      <c r="G55" s="929" t="s">
        <v>103</v>
      </c>
      <c r="H55" s="2427"/>
      <c r="I55" s="1783"/>
      <c r="J55" s="57" t="s">
        <v>8</v>
      </c>
      <c r="K55" s="60">
        <f>K54/25*7.5</f>
        <v>30.638999999999996</v>
      </c>
      <c r="L55" s="59" t="s">
        <v>10</v>
      </c>
      <c r="M55" s="939"/>
      <c r="N55" s="940" t="s">
        <v>8</v>
      </c>
      <c r="O55" s="1684">
        <f>O54/25*7.5</f>
        <v>30.638999999999996</v>
      </c>
      <c r="P55" s="941" t="s">
        <v>10</v>
      </c>
      <c r="Q55" s="1783"/>
      <c r="R55" s="61" t="s">
        <v>8</v>
      </c>
      <c r="S55" s="985">
        <f>S54/25*7.5</f>
        <v>30.638999999999996</v>
      </c>
      <c r="T55" s="614" t="s">
        <v>10</v>
      </c>
      <c r="U55" s="939"/>
      <c r="V55" s="942" t="s">
        <v>8</v>
      </c>
      <c r="W55" s="1684">
        <f>W54/25*7.5</f>
        <v>30.638999999999996</v>
      </c>
      <c r="X55" s="943" t="s">
        <v>10</v>
      </c>
      <c r="Y55" s="1783"/>
      <c r="Z55" s="61" t="s">
        <v>8</v>
      </c>
      <c r="AA55" s="985">
        <f>AA54/25*7.5</f>
        <v>30.638999999999996</v>
      </c>
      <c r="AB55" s="614" t="s">
        <v>10</v>
      </c>
      <c r="AC55" s="939"/>
      <c r="AD55" s="942" t="s">
        <v>8</v>
      </c>
      <c r="AE55" s="1684">
        <f>AE54/25*7.5</f>
        <v>30.638999999999996</v>
      </c>
      <c r="AF55" s="943" t="s">
        <v>10</v>
      </c>
      <c r="AG55" s="84"/>
    </row>
    <row r="56" spans="1:33" ht="48" customHeight="1">
      <c r="A56" s="2917">
        <v>5</v>
      </c>
      <c r="B56" s="2871" t="s">
        <v>80</v>
      </c>
      <c r="C56" s="2872"/>
      <c r="D56" s="2872"/>
      <c r="E56" s="2873"/>
      <c r="F56" s="49" t="s">
        <v>4</v>
      </c>
      <c r="G56" s="929" t="str">
        <f>'XM.FILE GOC'!$E$16</f>
        <v>130 - 150</v>
      </c>
      <c r="H56" s="2427" t="str">
        <f>'XM.FILE GOC'!$F$16</f>
        <v>(140±7)</v>
      </c>
      <c r="I56" s="1862">
        <f>'XM.FILE GOC'!AD16</f>
        <v>0</v>
      </c>
      <c r="J56" s="17" t="s">
        <v>8</v>
      </c>
      <c r="K56" s="27">
        <f>'XM.FILE GOC'!AG16</f>
        <v>2793.14</v>
      </c>
      <c r="L56" s="18" t="s">
        <v>9</v>
      </c>
      <c r="M56" s="939"/>
      <c r="N56" s="942" t="s">
        <v>8</v>
      </c>
      <c r="O56" s="1682">
        <f>('XM.FILE GOC'!$G$16-M56)*19951/1000</f>
        <v>2793.14</v>
      </c>
      <c r="P56" s="943" t="s">
        <v>9</v>
      </c>
      <c r="Q56" s="1862">
        <f>'XM.FILE GOC'!AK16</f>
        <v>0</v>
      </c>
      <c r="R56" s="982" t="s">
        <v>8</v>
      </c>
      <c r="S56" s="983">
        <f>'XM.FILE GOC'!AN16</f>
        <v>2793.14</v>
      </c>
      <c r="T56" s="984" t="s">
        <v>9</v>
      </c>
      <c r="U56" s="939">
        <v>140</v>
      </c>
      <c r="V56" s="942" t="s">
        <v>8</v>
      </c>
      <c r="W56" s="1682">
        <f>('XM.FILE GOC'!$G$16-U56)*19951/1000</f>
        <v>0</v>
      </c>
      <c r="X56" s="943" t="s">
        <v>9</v>
      </c>
      <c r="Y56" s="1862">
        <f>'XM.FILE GOC'!AR16</f>
        <v>0</v>
      </c>
      <c r="Z56" s="982" t="s">
        <v>8</v>
      </c>
      <c r="AA56" s="983">
        <f>'XM.FILE GOC'!AU16</f>
        <v>2793.14</v>
      </c>
      <c r="AB56" s="984" t="s">
        <v>9</v>
      </c>
      <c r="AC56" s="939"/>
      <c r="AD56" s="942" t="s">
        <v>8</v>
      </c>
      <c r="AE56" s="1682">
        <f>('XM.FILE GOC'!$G$16-AC56)*19951/1000</f>
        <v>2793.14</v>
      </c>
      <c r="AF56" s="943" t="s">
        <v>9</v>
      </c>
      <c r="AG56" s="84" t="s">
        <v>41</v>
      </c>
    </row>
    <row r="57" spans="1:33" ht="48" customHeight="1">
      <c r="A57" s="2919"/>
      <c r="B57" s="2871" t="s">
        <v>58</v>
      </c>
      <c r="C57" s="2872"/>
      <c r="D57" s="2872"/>
      <c r="E57" s="2873"/>
      <c r="F57" s="49" t="s">
        <v>4</v>
      </c>
      <c r="G57" s="929" t="str">
        <f>'XM.FILE GOC'!$E$17</f>
        <v>8~12</v>
      </c>
      <c r="H57" s="2427" t="str">
        <f>'XM.FILE GOC'!$F$17</f>
        <v>(10±2)</v>
      </c>
      <c r="I57" s="1869">
        <f>'XM.FILE GOC'!AD17</f>
        <v>0</v>
      </c>
      <c r="J57" s="17" t="s">
        <v>8</v>
      </c>
      <c r="K57" s="27">
        <f>'XM.FILE GOC'!AG17</f>
        <v>199.51</v>
      </c>
      <c r="L57" s="18" t="s">
        <v>9</v>
      </c>
      <c r="M57" s="939"/>
      <c r="N57" s="944" t="s">
        <v>8</v>
      </c>
      <c r="O57" s="1682">
        <f>('XM.FILE GOC'!$G$17-M57)*19951/1000</f>
        <v>199.51</v>
      </c>
      <c r="P57" s="945" t="s">
        <v>9</v>
      </c>
      <c r="Q57" s="1869">
        <f>'XM.FILE GOC'!AK17</f>
        <v>0</v>
      </c>
      <c r="R57" s="982" t="s">
        <v>8</v>
      </c>
      <c r="S57" s="983">
        <f>'XM.FILE GOC'!AN17</f>
        <v>199.51</v>
      </c>
      <c r="T57" s="18" t="s">
        <v>9</v>
      </c>
      <c r="U57" s="939"/>
      <c r="V57" s="944" t="s">
        <v>8</v>
      </c>
      <c r="W57" s="1682">
        <f>('XM.FILE GOC'!$G$17-U57)*19951/1000</f>
        <v>199.51</v>
      </c>
      <c r="X57" s="945" t="s">
        <v>9</v>
      </c>
      <c r="Y57" s="1869">
        <f>'XM.FILE GOC'!AR17</f>
        <v>0</v>
      </c>
      <c r="Z57" s="982" t="s">
        <v>8</v>
      </c>
      <c r="AA57" s="983">
        <f>'XM.FILE GOC'!AU17</f>
        <v>199.51</v>
      </c>
      <c r="AB57" s="18" t="s">
        <v>9</v>
      </c>
      <c r="AC57" s="939"/>
      <c r="AD57" s="944" t="s">
        <v>8</v>
      </c>
      <c r="AE57" s="1682">
        <f>('XM.FILE GOC'!$G$17-AC57)*19951/1000</f>
        <v>199.51</v>
      </c>
      <c r="AF57" s="18" t="s">
        <v>9</v>
      </c>
      <c r="AG57" s="84" t="s">
        <v>42</v>
      </c>
    </row>
    <row r="58" spans="1:33" ht="48" customHeight="1">
      <c r="A58" s="2917">
        <v>6</v>
      </c>
      <c r="B58" s="2885" t="s">
        <v>947</v>
      </c>
      <c r="C58" s="2886"/>
      <c r="D58" s="2886"/>
      <c r="E58" s="2887"/>
      <c r="F58" s="49" t="s">
        <v>3</v>
      </c>
      <c r="G58" s="929" t="str">
        <f>'XM.FILE GOC'!$E$18</f>
        <v xml:space="preserve">12~18 </v>
      </c>
      <c r="H58" s="2427" t="str">
        <f>'XM.FILE GOC'!$F$18</f>
        <v>(14±2)</v>
      </c>
      <c r="I58" s="1838">
        <f>'XM.FILE GOC'!AD18</f>
        <v>0</v>
      </c>
      <c r="J58" s="57" t="s">
        <v>8</v>
      </c>
      <c r="K58" s="58">
        <f>'XM.FILE GOC'!AG18</f>
        <v>80.5</v>
      </c>
      <c r="L58" s="59" t="s">
        <v>10</v>
      </c>
      <c r="M58" s="939"/>
      <c r="N58" s="940" t="s">
        <v>8</v>
      </c>
      <c r="O58" s="968">
        <f>('XM.FILE GOC'!$G$18-M58)*575/99</f>
        <v>81.313131313131308</v>
      </c>
      <c r="P58" s="941" t="s">
        <v>10</v>
      </c>
      <c r="Q58" s="1838">
        <f>'XM.FILE GOC'!AK18</f>
        <v>0</v>
      </c>
      <c r="R58" s="61" t="s">
        <v>8</v>
      </c>
      <c r="S58" s="613">
        <f>'XM.FILE GOC'!AN18</f>
        <v>80.5</v>
      </c>
      <c r="T58" s="614" t="s">
        <v>10</v>
      </c>
      <c r="U58" s="939"/>
      <c r="V58" s="940" t="s">
        <v>8</v>
      </c>
      <c r="W58" s="968">
        <f>('XM.FILE GOC'!$G$18-U58)*575/99</f>
        <v>81.313131313131308</v>
      </c>
      <c r="X58" s="941" t="s">
        <v>10</v>
      </c>
      <c r="Y58" s="1838">
        <f>'XM.FILE GOC'!AR18</f>
        <v>0</v>
      </c>
      <c r="Z58" s="61" t="s">
        <v>8</v>
      </c>
      <c r="AA58" s="613">
        <f>'XM.FILE GOC'!AU18</f>
        <v>80.5</v>
      </c>
      <c r="AB58" s="614" t="s">
        <v>10</v>
      </c>
      <c r="AC58" s="939"/>
      <c r="AD58" s="940" t="s">
        <v>8</v>
      </c>
      <c r="AE58" s="968">
        <f>('XM.FILE GOC'!$G$18-AC58)*575/99</f>
        <v>81.313131313131308</v>
      </c>
      <c r="AF58" s="941" t="s">
        <v>10</v>
      </c>
      <c r="AG58" s="84" t="s">
        <v>43</v>
      </c>
    </row>
    <row r="59" spans="1:33" ht="48" customHeight="1">
      <c r="A59" s="2919"/>
      <c r="B59" s="2888"/>
      <c r="C59" s="2889"/>
      <c r="D59" s="2889"/>
      <c r="E59" s="2890"/>
      <c r="F59" s="49" t="s">
        <v>5</v>
      </c>
      <c r="G59" s="929" t="str">
        <f>'XM.FILE GOC'!$E$19</f>
        <v>1.6~2.2</v>
      </c>
      <c r="H59" s="2427" t="str">
        <f>'XM.FILE GOC'!$F$19</f>
        <v>(2±0.2 )</v>
      </c>
      <c r="I59" s="1869">
        <f>'XM.FILE GOC'!AD19</f>
        <v>0</v>
      </c>
      <c r="J59" s="5"/>
      <c r="K59" s="27">
        <f>'XM.FILE GOC'!AG19</f>
        <v>0</v>
      </c>
      <c r="L59" s="6"/>
      <c r="M59" s="939"/>
      <c r="N59" s="942"/>
      <c r="O59" s="1682"/>
      <c r="P59" s="943"/>
      <c r="Q59" s="1869">
        <f>'XM.FILE GOC'!AK19</f>
        <v>0</v>
      </c>
      <c r="R59" s="986"/>
      <c r="S59" s="983">
        <f>'XM.FILE GOC'!AN19</f>
        <v>0</v>
      </c>
      <c r="T59" s="987"/>
      <c r="U59" s="939"/>
      <c r="V59" s="942"/>
      <c r="W59" s="1682"/>
      <c r="X59" s="943"/>
      <c r="Y59" s="1869">
        <f>'XM.FILE GOC'!AR19</f>
        <v>0</v>
      </c>
      <c r="Z59" s="986"/>
      <c r="AA59" s="983">
        <f>'XM.FILE GOC'!AU19</f>
        <v>0</v>
      </c>
      <c r="AB59" s="987"/>
      <c r="AC59" s="939"/>
      <c r="AD59" s="942"/>
      <c r="AE59" s="1682"/>
      <c r="AF59" s="943"/>
      <c r="AG59" s="84"/>
    </row>
    <row r="60" spans="1:33" ht="48" customHeight="1">
      <c r="A60" s="990">
        <v>7</v>
      </c>
      <c r="B60" s="2871" t="s">
        <v>59</v>
      </c>
      <c r="C60" s="2872"/>
      <c r="D60" s="2872"/>
      <c r="E60" s="2873"/>
      <c r="F60" s="991" t="s">
        <v>6</v>
      </c>
      <c r="G60" s="929" t="str">
        <f>'XM.FILE GOC'!$E$20</f>
        <v xml:space="preserve">40~50 </v>
      </c>
      <c r="H60" s="2427" t="str">
        <f>'XM.FILE GOC'!$F$20</f>
        <v>(45±5)</v>
      </c>
      <c r="I60" s="1843">
        <f>'XM.FILE GOC'!AD20</f>
        <v>0</v>
      </c>
      <c r="J60" s="17" t="s">
        <v>8</v>
      </c>
      <c r="K60" s="27">
        <f>'XM.FILE GOC'!AG20</f>
        <v>954.9</v>
      </c>
      <c r="L60" s="18" t="s">
        <v>10</v>
      </c>
      <c r="M60" s="946"/>
      <c r="N60" s="940" t="s">
        <v>8</v>
      </c>
      <c r="O60" s="1682">
        <f>('XM.FILE GOC'!$G$20-M60)*2122</f>
        <v>954.9</v>
      </c>
      <c r="P60" s="941" t="s">
        <v>10</v>
      </c>
      <c r="Q60" s="1843">
        <f>'XM.FILE GOC'!AK20</f>
        <v>0</v>
      </c>
      <c r="R60" s="982" t="s">
        <v>8</v>
      </c>
      <c r="S60" s="983">
        <f>'XM.FILE GOC'!AN20</f>
        <v>954.9</v>
      </c>
      <c r="T60" s="984" t="s">
        <v>10</v>
      </c>
      <c r="U60" s="946"/>
      <c r="V60" s="940" t="s">
        <v>8</v>
      </c>
      <c r="W60" s="1682">
        <f>('XM.FILE GOC'!$G$20-U60)*2122</f>
        <v>954.9</v>
      </c>
      <c r="X60" s="941" t="s">
        <v>10</v>
      </c>
      <c r="Y60" s="1843">
        <f>'XM.FILE GOC'!AR20</f>
        <v>0</v>
      </c>
      <c r="Z60" s="982" t="s">
        <v>8</v>
      </c>
      <c r="AA60" s="983">
        <f>'XM.FILE GOC'!AU20</f>
        <v>954.9</v>
      </c>
      <c r="AB60" s="984" t="s">
        <v>10</v>
      </c>
      <c r="AC60" s="946"/>
      <c r="AD60" s="940" t="s">
        <v>8</v>
      </c>
      <c r="AE60" s="1682">
        <f>('XM.FILE GOC'!$G$20-AC60)*2122</f>
        <v>954.9</v>
      </c>
      <c r="AF60" s="941" t="s">
        <v>10</v>
      </c>
      <c r="AG60" s="84" t="s">
        <v>44</v>
      </c>
    </row>
    <row r="61" spans="1:33" ht="48" hidden="1" customHeight="1">
      <c r="A61" s="990">
        <v>8</v>
      </c>
      <c r="B61" s="2871" t="s">
        <v>60</v>
      </c>
      <c r="C61" s="2872"/>
      <c r="D61" s="2872"/>
      <c r="E61" s="2873"/>
      <c r="F61" s="991" t="s">
        <v>6</v>
      </c>
      <c r="G61" s="929" t="str">
        <f>'XM.FILE GOC'!$E$21</f>
        <v>(22±5) =17~27</v>
      </c>
      <c r="H61" s="2427" t="str">
        <f>'XM.FILE GOC'!$F$21</f>
        <v>(22±5)</v>
      </c>
      <c r="I61" s="1873">
        <f>'XM.FILE GOC'!AD21</f>
        <v>0</v>
      </c>
      <c r="J61" s="61" t="s">
        <v>8</v>
      </c>
      <c r="K61" s="58">
        <f>'XM.FILE GOC'!AG21</f>
        <v>134.64000000000001</v>
      </c>
      <c r="L61" s="59" t="s">
        <v>10</v>
      </c>
      <c r="M61" s="946"/>
      <c r="N61" s="940" t="s">
        <v>8</v>
      </c>
      <c r="O61" s="968">
        <f>('XM.FILE GOC'!$G$21-M61)*612</f>
        <v>134.64000000000001</v>
      </c>
      <c r="P61" s="941" t="s">
        <v>10</v>
      </c>
      <c r="Q61" s="1873">
        <f>'XM.FILE GOC'!AK21</f>
        <v>0</v>
      </c>
      <c r="R61" s="61" t="s">
        <v>8</v>
      </c>
      <c r="S61" s="613">
        <f>'XM.FILE GOC'!AN21</f>
        <v>134.64000000000001</v>
      </c>
      <c r="T61" s="614" t="s">
        <v>10</v>
      </c>
      <c r="U61" s="946"/>
      <c r="V61" s="940" t="s">
        <v>8</v>
      </c>
      <c r="W61" s="968">
        <f>('XM.FILE GOC'!$G$21-U61)*612</f>
        <v>134.64000000000001</v>
      </c>
      <c r="X61" s="941" t="s">
        <v>10</v>
      </c>
      <c r="Y61" s="1873">
        <f>'XM.FILE GOC'!AR21</f>
        <v>0</v>
      </c>
      <c r="Z61" s="982" t="s">
        <v>8</v>
      </c>
      <c r="AA61" s="613">
        <f>'XM.FILE GOC'!AU21</f>
        <v>134.64000000000001</v>
      </c>
      <c r="AB61" s="984" t="s">
        <v>10</v>
      </c>
      <c r="AC61" s="946"/>
      <c r="AD61" s="940" t="s">
        <v>8</v>
      </c>
      <c r="AE61" s="968">
        <f>('XM.FILE GOC'!$G$21-AC61)*612</f>
        <v>134.64000000000001</v>
      </c>
      <c r="AF61" s="941" t="s">
        <v>10</v>
      </c>
      <c r="AG61" s="84" t="s">
        <v>44</v>
      </c>
    </row>
    <row r="62" spans="1:33" ht="48" hidden="1" customHeight="1">
      <c r="A62" s="990">
        <v>9</v>
      </c>
      <c r="B62" s="2871" t="s">
        <v>109</v>
      </c>
      <c r="C62" s="2872"/>
      <c r="D62" s="2872"/>
      <c r="E62" s="2873"/>
      <c r="F62" s="991" t="s">
        <v>6</v>
      </c>
      <c r="G62" s="929" t="str">
        <f>'XM.FILE GOC'!$E$22</f>
        <v>5~15</v>
      </c>
      <c r="H62" s="2427" t="str">
        <f>'XM.FILE GOC'!$F$22</f>
        <v>(30±4)</v>
      </c>
      <c r="I62" s="1873">
        <f>'XM.FILE GOC'!AD22</f>
        <v>0</v>
      </c>
      <c r="J62" s="17" t="s">
        <v>8</v>
      </c>
      <c r="K62" s="27">
        <f>'XM.FILE GOC'!AG22</f>
        <v>57.5</v>
      </c>
      <c r="L62" s="18" t="s">
        <v>10</v>
      </c>
      <c r="M62" s="946"/>
      <c r="N62" s="940" t="s">
        <v>8</v>
      </c>
      <c r="O62" s="1682">
        <f>('XM.FILE GOC'!$G$22-M62)*575</f>
        <v>57.5</v>
      </c>
      <c r="P62" s="941" t="s">
        <v>10</v>
      </c>
      <c r="Q62" s="1873">
        <f>'XM.FILE GOC'!AK22</f>
        <v>0</v>
      </c>
      <c r="R62" s="982" t="s">
        <v>8</v>
      </c>
      <c r="S62" s="983">
        <f>'XM.FILE GOC'!AN22</f>
        <v>57.5</v>
      </c>
      <c r="T62" s="984" t="s">
        <v>10</v>
      </c>
      <c r="U62" s="946"/>
      <c r="V62" s="940" t="s">
        <v>8</v>
      </c>
      <c r="W62" s="1682">
        <f>('XM.FILE GOC'!$G$22-U62)*575</f>
        <v>57.5</v>
      </c>
      <c r="X62" s="941" t="s">
        <v>10</v>
      </c>
      <c r="Y62" s="1873">
        <f>'XM.FILE GOC'!AR22</f>
        <v>0</v>
      </c>
      <c r="Z62" s="982" t="s">
        <v>8</v>
      </c>
      <c r="AA62" s="983">
        <f>'XM.FILE GOC'!AU22</f>
        <v>57.5</v>
      </c>
      <c r="AB62" s="984" t="s">
        <v>10</v>
      </c>
      <c r="AC62" s="946"/>
      <c r="AD62" s="940" t="s">
        <v>8</v>
      </c>
      <c r="AE62" s="1682">
        <f>('XM.FILE GOC'!$G$22-AC62)*575</f>
        <v>57.5</v>
      </c>
      <c r="AF62" s="941" t="s">
        <v>10</v>
      </c>
      <c r="AG62" s="84" t="s">
        <v>45</v>
      </c>
    </row>
    <row r="63" spans="1:33" ht="48" customHeight="1">
      <c r="A63" s="990">
        <v>10</v>
      </c>
      <c r="B63" s="2871" t="s">
        <v>948</v>
      </c>
      <c r="C63" s="2872"/>
      <c r="D63" s="2872"/>
      <c r="E63" s="2873"/>
      <c r="F63" s="991" t="s">
        <v>3</v>
      </c>
      <c r="G63" s="929" t="str">
        <f>'XM.FILE GOC'!$E$23</f>
        <v>0.5~1.5</v>
      </c>
      <c r="H63" s="2427" t="str">
        <f>'XM.FILE GOC'!$F$23</f>
        <v>(1±0.4)</v>
      </c>
      <c r="I63" s="1876">
        <f>'XM.FILE GOC'!AD23</f>
        <v>0</v>
      </c>
      <c r="J63" s="17" t="s">
        <v>8</v>
      </c>
      <c r="K63" s="46">
        <f>'XM.FILE GOC'!AG23</f>
        <v>5.3998981151299033</v>
      </c>
      <c r="L63" s="18" t="s">
        <v>10</v>
      </c>
      <c r="M63" s="946"/>
      <c r="N63" s="940" t="s">
        <v>8</v>
      </c>
      <c r="O63" s="968">
        <f>('XM.FILE GOC'!$G$23-M63)*530/65%</f>
        <v>8.1538461538461533</v>
      </c>
      <c r="P63" s="941" t="s">
        <v>10</v>
      </c>
      <c r="Q63" s="1876">
        <f>'XM.FILE GOC'!AK23</f>
        <v>0</v>
      </c>
      <c r="R63" s="982" t="s">
        <v>8</v>
      </c>
      <c r="S63" s="988">
        <f>'XM.FILE GOC'!AN23</f>
        <v>5.3998981151299033</v>
      </c>
      <c r="T63" s="984" t="s">
        <v>10</v>
      </c>
      <c r="U63" s="946"/>
      <c r="V63" s="940" t="s">
        <v>8</v>
      </c>
      <c r="W63" s="968">
        <f>('XM.FILE GOC'!$G$23-U63)*530/65%</f>
        <v>8.1538461538461533</v>
      </c>
      <c r="X63" s="941" t="s">
        <v>10</v>
      </c>
      <c r="Y63" s="1876">
        <f>'XM.FILE GOC'!AR23</f>
        <v>0</v>
      </c>
      <c r="Z63" s="982" t="s">
        <v>8</v>
      </c>
      <c r="AA63" s="988">
        <f>'XM.FILE GOC'!AU23</f>
        <v>5.3998981151299033</v>
      </c>
      <c r="AB63" s="984" t="s">
        <v>10</v>
      </c>
      <c r="AC63" s="946"/>
      <c r="AD63" s="940" t="s">
        <v>8</v>
      </c>
      <c r="AE63" s="968">
        <f>('XM.FILE GOC'!$G$23-AC63)*530/65%</f>
        <v>8.1538461538461533</v>
      </c>
      <c r="AF63" s="941" t="s">
        <v>10</v>
      </c>
      <c r="AG63" s="84" t="s">
        <v>45</v>
      </c>
    </row>
    <row r="64" spans="1:33" ht="48" customHeight="1">
      <c r="A64" s="2393"/>
      <c r="B64" s="2877" t="s">
        <v>75</v>
      </c>
      <c r="C64" s="2878"/>
      <c r="D64" s="2878"/>
      <c r="E64" s="2879"/>
      <c r="F64" s="2383" t="s">
        <v>3</v>
      </c>
      <c r="G64" s="1042" t="str">
        <f>'XM.GUI MAIL'!$E$24</f>
        <v>5~10</v>
      </c>
      <c r="H64" s="2428" t="str">
        <f>'XM.GUI MAIL'!$F$24</f>
        <v>(7.5±1)</v>
      </c>
      <c r="I64" s="1952">
        <f>'XM.FILE GOC'!AD24</f>
        <v>0</v>
      </c>
      <c r="J64" s="17" t="s">
        <v>8</v>
      </c>
      <c r="K64" s="27">
        <f>'XM.FILE GOC'!AG24</f>
        <v>45.39473684210526</v>
      </c>
      <c r="L64" s="18" t="s">
        <v>10</v>
      </c>
      <c r="M64" s="2466"/>
      <c r="N64" s="940" t="s">
        <v>8</v>
      </c>
      <c r="O64" s="1682">
        <f>('XM.FILE GOC'!$G$24-M64)*575/95*1.13</f>
        <v>51.296052631578938</v>
      </c>
      <c r="P64" s="941" t="s">
        <v>10</v>
      </c>
      <c r="Q64" s="1952">
        <f>'XM.FILE GOC'!AK24</f>
        <v>0</v>
      </c>
      <c r="R64" s="982" t="s">
        <v>8</v>
      </c>
      <c r="S64" s="983">
        <f>'XM.FILE GOC'!AN24</f>
        <v>45.39473684210526</v>
      </c>
      <c r="T64" s="984" t="s">
        <v>10</v>
      </c>
      <c r="U64" s="2466"/>
      <c r="V64" s="940" t="s">
        <v>8</v>
      </c>
      <c r="W64" s="1682">
        <f>('XM.FILE GOC'!$G$24-U64)*575/95*1.13</f>
        <v>51.296052631578938</v>
      </c>
      <c r="X64" s="941" t="s">
        <v>10</v>
      </c>
      <c r="Y64" s="1952">
        <f>'XM.FILE GOC'!AR24</f>
        <v>0</v>
      </c>
      <c r="Z64" s="982" t="s">
        <v>8</v>
      </c>
      <c r="AA64" s="983">
        <f>'XM.FILE GOC'!AU24</f>
        <v>45.39473684210526</v>
      </c>
      <c r="AB64" s="984" t="s">
        <v>10</v>
      </c>
      <c r="AC64" s="2466"/>
      <c r="AD64" s="940" t="s">
        <v>8</v>
      </c>
      <c r="AE64" s="1682">
        <f>('XM.FILE GOC'!$G$24-AC64)*575/95*1.13</f>
        <v>51.296052631578938</v>
      </c>
      <c r="AF64" s="941" t="s">
        <v>10</v>
      </c>
      <c r="AG64" s="2384"/>
    </row>
    <row r="65" spans="1:56" ht="48" customHeight="1">
      <c r="A65" s="2393"/>
      <c r="B65" s="2880"/>
      <c r="C65" s="2881"/>
      <c r="D65" s="2881"/>
      <c r="E65" s="2882"/>
      <c r="F65" s="2383" t="s">
        <v>5</v>
      </c>
      <c r="G65" s="1042" t="str">
        <f>'XM.GUI MAIL'!$E$25</f>
        <v>1.8~2.2</v>
      </c>
      <c r="H65" s="2428" t="str">
        <f>'XM.GUI MAIL'!$F$25</f>
        <v>(2±0.1)</v>
      </c>
      <c r="I65" s="2459">
        <f>'XM.FILE GOC'!AD25</f>
        <v>0</v>
      </c>
      <c r="J65" s="2394"/>
      <c r="K65" s="46"/>
      <c r="L65" s="2395"/>
      <c r="M65" s="947"/>
      <c r="N65" s="948"/>
      <c r="O65" s="1683"/>
      <c r="P65" s="949"/>
      <c r="Q65" s="2460">
        <f>'XM.FILE GOC'!AK25</f>
        <v>0</v>
      </c>
      <c r="R65" s="982"/>
      <c r="S65" s="988"/>
      <c r="T65" s="984"/>
      <c r="U65" s="947"/>
      <c r="V65" s="948"/>
      <c r="W65" s="1683"/>
      <c r="X65" s="949"/>
      <c r="Y65" s="2460">
        <f>'XM.FILE GOC'!AR25</f>
        <v>0</v>
      </c>
      <c r="Z65" s="982"/>
      <c r="AA65" s="988"/>
      <c r="AB65" s="984"/>
      <c r="AC65" s="947"/>
      <c r="AD65" s="948"/>
      <c r="AE65" s="1683"/>
      <c r="AF65" s="949"/>
      <c r="AG65" s="2384"/>
    </row>
    <row r="66" spans="1:56" ht="48" customHeight="1">
      <c r="A66" s="2863" t="s">
        <v>74</v>
      </c>
      <c r="B66" s="2915"/>
      <c r="C66" s="2915"/>
      <c r="D66" s="2915"/>
      <c r="E66" s="2915"/>
      <c r="F66" s="2915"/>
      <c r="G66" s="2915"/>
      <c r="H66" s="2915"/>
      <c r="I66" s="2915"/>
      <c r="J66" s="2915"/>
      <c r="K66" s="2915"/>
      <c r="L66" s="2915"/>
      <c r="M66" s="2915"/>
      <c r="N66" s="2915"/>
      <c r="O66" s="2915"/>
      <c r="P66" s="2915"/>
      <c r="Q66" s="2915"/>
      <c r="R66" s="2915"/>
      <c r="S66" s="2915"/>
      <c r="T66" s="2915"/>
      <c r="U66" s="2915"/>
      <c r="V66" s="2915"/>
      <c r="W66" s="2915"/>
      <c r="X66" s="2915"/>
      <c r="Y66" s="2915"/>
      <c r="Z66" s="2915"/>
      <c r="AA66" s="2915"/>
      <c r="AB66" s="2915"/>
      <c r="AC66" s="2915"/>
      <c r="AD66" s="2915"/>
      <c r="AE66" s="2915"/>
      <c r="AF66" s="2915"/>
      <c r="AG66" s="2864"/>
    </row>
    <row r="67" spans="1:56" ht="48" customHeight="1">
      <c r="A67" s="990" t="s">
        <v>7</v>
      </c>
      <c r="B67" s="2871" t="s">
        <v>62</v>
      </c>
      <c r="C67" s="2872"/>
      <c r="D67" s="2872"/>
      <c r="E67" s="2873"/>
      <c r="F67" s="257" t="s">
        <v>64</v>
      </c>
      <c r="G67" s="1010" t="s">
        <v>1325</v>
      </c>
      <c r="H67" s="2429" t="s">
        <v>1317</v>
      </c>
      <c r="I67" s="2868" t="s">
        <v>46</v>
      </c>
      <c r="J67" s="2868"/>
      <c r="K67" s="2868" t="s">
        <v>63</v>
      </c>
      <c r="L67" s="2868"/>
      <c r="M67" s="950"/>
      <c r="N67" s="951"/>
      <c r="O67" s="951"/>
      <c r="P67" s="952"/>
      <c r="Q67" s="2916" t="s">
        <v>46</v>
      </c>
      <c r="R67" s="2916"/>
      <c r="S67" s="2916" t="s">
        <v>63</v>
      </c>
      <c r="T67" s="2916"/>
      <c r="U67" s="950"/>
      <c r="V67" s="951"/>
      <c r="W67" s="951"/>
      <c r="X67" s="952"/>
      <c r="Y67" s="2916" t="s">
        <v>46</v>
      </c>
      <c r="Z67" s="2916"/>
      <c r="AA67" s="2916" t="s">
        <v>63</v>
      </c>
      <c r="AB67" s="2916"/>
      <c r="AC67" s="950"/>
      <c r="AD67" s="951"/>
      <c r="AE67" s="951"/>
      <c r="AF67" s="952"/>
      <c r="AG67" s="83"/>
    </row>
    <row r="68" spans="1:56" ht="48" customHeight="1">
      <c r="A68" s="990">
        <v>1</v>
      </c>
      <c r="B68" s="2871" t="s">
        <v>66</v>
      </c>
      <c r="C68" s="2872"/>
      <c r="D68" s="2872"/>
      <c r="E68" s="2873"/>
      <c r="F68" s="256" t="s">
        <v>196</v>
      </c>
      <c r="G68" s="929" t="str">
        <f>'XM.FILE GOC'!$E$28</f>
        <v>50~70</v>
      </c>
      <c r="H68" s="2427" t="str">
        <f>'XM.FILE GOC'!$F$28</f>
        <v>(60±5)</v>
      </c>
      <c r="I68" s="2867">
        <f>'XM.FILE GOC'!AD28</f>
        <v>0</v>
      </c>
      <c r="J68" s="2867"/>
      <c r="K68" s="2867">
        <f>'XM.FILE GOC'!AG28</f>
        <v>0</v>
      </c>
      <c r="L68" s="2867"/>
      <c r="M68" s="953"/>
      <c r="N68" s="954"/>
      <c r="O68" s="954"/>
      <c r="P68" s="955"/>
      <c r="Q68" s="2867">
        <f>'XM.FILE GOC'!AK28</f>
        <v>0</v>
      </c>
      <c r="R68" s="2867"/>
      <c r="S68" s="2867">
        <f>'XM.FILE GOC'!AN28</f>
        <v>0</v>
      </c>
      <c r="T68" s="2867"/>
      <c r="U68" s="953"/>
      <c r="V68" s="954"/>
      <c r="W68" s="954"/>
      <c r="X68" s="955"/>
      <c r="Y68" s="2867">
        <f>'XM.FILE GOC'!AR28</f>
        <v>0</v>
      </c>
      <c r="Z68" s="2867"/>
      <c r="AA68" s="2867">
        <f>'XM.FILE GOC'!AU28</f>
        <v>0</v>
      </c>
      <c r="AB68" s="2867"/>
      <c r="AC68" s="953"/>
      <c r="AD68" s="954"/>
      <c r="AE68" s="954"/>
      <c r="AF68" s="955"/>
      <c r="AG68" s="84"/>
    </row>
    <row r="69" spans="1:56" ht="48" customHeight="1">
      <c r="A69" s="990">
        <v>2</v>
      </c>
      <c r="B69" s="2871" t="s">
        <v>67</v>
      </c>
      <c r="C69" s="2872" t="s">
        <v>67</v>
      </c>
      <c r="D69" s="2872" t="s">
        <v>67</v>
      </c>
      <c r="E69" s="2873" t="s">
        <v>67</v>
      </c>
      <c r="F69" s="256" t="s">
        <v>196</v>
      </c>
      <c r="G69" s="929" t="str">
        <f>'XM.FILE GOC'!$E$29</f>
        <v>50~70</v>
      </c>
      <c r="H69" s="2427" t="str">
        <f>'XM.FILE GOC'!$F$29</f>
        <v>(60±5)</v>
      </c>
      <c r="I69" s="2867">
        <f>'XM.FILE GOC'!AD29</f>
        <v>0</v>
      </c>
      <c r="J69" s="2867"/>
      <c r="K69" s="2867">
        <f>'XM.FILE GOC'!AG29</f>
        <v>0</v>
      </c>
      <c r="L69" s="2867"/>
      <c r="M69" s="953"/>
      <c r="N69" s="954"/>
      <c r="O69" s="954"/>
      <c r="P69" s="955"/>
      <c r="Q69" s="2867">
        <f>'XM.FILE GOC'!AK29</f>
        <v>0</v>
      </c>
      <c r="R69" s="2867"/>
      <c r="S69" s="2867">
        <f>'XM.FILE GOC'!AN29</f>
        <v>0</v>
      </c>
      <c r="T69" s="2867"/>
      <c r="U69" s="953"/>
      <c r="V69" s="954"/>
      <c r="W69" s="954"/>
      <c r="X69" s="955"/>
      <c r="Y69" s="2867">
        <f>'XM.FILE GOC'!AR29</f>
        <v>0</v>
      </c>
      <c r="Z69" s="2867"/>
      <c r="AA69" s="2867">
        <f>'XM.FILE GOC'!AU29</f>
        <v>0</v>
      </c>
      <c r="AB69" s="2867"/>
      <c r="AC69" s="953"/>
      <c r="AD69" s="954"/>
      <c r="AE69" s="954"/>
      <c r="AF69" s="955"/>
      <c r="AG69" s="84"/>
    </row>
    <row r="70" spans="1:56" ht="48" customHeight="1">
      <c r="A70" s="990">
        <v>3</v>
      </c>
      <c r="B70" s="2871" t="s">
        <v>69</v>
      </c>
      <c r="C70" s="2872" t="s">
        <v>69</v>
      </c>
      <c r="D70" s="2872" t="s">
        <v>69</v>
      </c>
      <c r="E70" s="2873" t="s">
        <v>69</v>
      </c>
      <c r="F70" s="256" t="s">
        <v>196</v>
      </c>
      <c r="G70" s="929" t="str">
        <f>'XM.FILE GOC'!$E$30</f>
        <v>40~60</v>
      </c>
      <c r="H70" s="2427" t="str">
        <f>'XM.FILE GOC'!$F$30</f>
        <v>(50±5)</v>
      </c>
      <c r="I70" s="2828">
        <f>'XM.FILE GOC'!AD30</f>
        <v>0</v>
      </c>
      <c r="J70" s="2819"/>
      <c r="K70" s="2828">
        <f>'XM.FILE GOC'!AG30</f>
        <v>0</v>
      </c>
      <c r="L70" s="2819"/>
      <c r="M70" s="953"/>
      <c r="N70" s="954"/>
      <c r="O70" s="954"/>
      <c r="P70" s="955"/>
      <c r="Q70" s="2828">
        <f>'XM.FILE GOC'!AK30</f>
        <v>0</v>
      </c>
      <c r="R70" s="2819"/>
      <c r="S70" s="2828">
        <f>'XM.FILE GOC'!AN30</f>
        <v>0</v>
      </c>
      <c r="T70" s="2819"/>
      <c r="U70" s="953"/>
      <c r="V70" s="954"/>
      <c r="W70" s="954"/>
      <c r="X70" s="955"/>
      <c r="Y70" s="2828">
        <f>'XM.FILE GOC'!AR30</f>
        <v>0</v>
      </c>
      <c r="Z70" s="2819"/>
      <c r="AA70" s="2828">
        <f>'XM.FILE GOC'!AU30</f>
        <v>0</v>
      </c>
      <c r="AB70" s="2819"/>
      <c r="AC70" s="953"/>
      <c r="AD70" s="954"/>
      <c r="AE70" s="954"/>
      <c r="AF70" s="955"/>
      <c r="AG70" s="84"/>
    </row>
    <row r="71" spans="1:56" ht="48" customHeight="1">
      <c r="A71" s="990">
        <v>4</v>
      </c>
      <c r="B71" s="2871" t="s">
        <v>68</v>
      </c>
      <c r="C71" s="2872" t="s">
        <v>68</v>
      </c>
      <c r="D71" s="2872" t="s">
        <v>68</v>
      </c>
      <c r="E71" s="2873" t="s">
        <v>68</v>
      </c>
      <c r="F71" s="256" t="s">
        <v>196</v>
      </c>
      <c r="G71" s="929" t="str">
        <f>'XM.FILE GOC'!$E$31</f>
        <v>40~60</v>
      </c>
      <c r="H71" s="2427" t="str">
        <f>'XM.FILE GOC'!$F$31</f>
        <v>(50±5)</v>
      </c>
      <c r="I71" s="2828">
        <f>'XM.FILE GOC'!AD31</f>
        <v>0</v>
      </c>
      <c r="J71" s="2819"/>
      <c r="K71" s="2828">
        <f>'XM.FILE GOC'!AG31</f>
        <v>0</v>
      </c>
      <c r="L71" s="2819"/>
      <c r="M71" s="953"/>
      <c r="N71" s="954"/>
      <c r="O71" s="954"/>
      <c r="P71" s="955"/>
      <c r="Q71" s="2828">
        <f>'XM.FILE GOC'!AK31</f>
        <v>0</v>
      </c>
      <c r="R71" s="2819"/>
      <c r="S71" s="2828">
        <f>'XM.FILE GOC'!AN31</f>
        <v>0</v>
      </c>
      <c r="T71" s="2819"/>
      <c r="U71" s="953"/>
      <c r="V71" s="954"/>
      <c r="W71" s="954"/>
      <c r="X71" s="955"/>
      <c r="Y71" s="2828">
        <f>'XM.FILE GOC'!AR31</f>
        <v>0</v>
      </c>
      <c r="Z71" s="2819"/>
      <c r="AA71" s="2828">
        <f>'XM.FILE GOC'!AU31</f>
        <v>0</v>
      </c>
      <c r="AB71" s="2819"/>
      <c r="AC71" s="953"/>
      <c r="AD71" s="954"/>
      <c r="AE71" s="954"/>
      <c r="AF71" s="955"/>
      <c r="AG71" s="84"/>
    </row>
    <row r="72" spans="1:56" ht="48" customHeight="1">
      <c r="A72" s="990">
        <v>5</v>
      </c>
      <c r="B72" s="2871" t="s">
        <v>70</v>
      </c>
      <c r="C72" s="2872" t="s">
        <v>70</v>
      </c>
      <c r="D72" s="2872" t="s">
        <v>70</v>
      </c>
      <c r="E72" s="2873" t="s">
        <v>70</v>
      </c>
      <c r="F72" s="256" t="s">
        <v>196</v>
      </c>
      <c r="G72" s="929" t="str">
        <f>'XM.FILE GOC'!$E$32</f>
        <v>20~35</v>
      </c>
      <c r="H72" s="2427" t="str">
        <f>'XM.FILE GOC'!$F$32</f>
        <v>(30±4)</v>
      </c>
      <c r="I72" s="2867">
        <f>'XM.FILE GOC'!AD32</f>
        <v>0</v>
      </c>
      <c r="J72" s="2867"/>
      <c r="K72" s="2867">
        <f>'XM.FILE GOC'!AG32</f>
        <v>0</v>
      </c>
      <c r="L72" s="2867"/>
      <c r="M72" s="953"/>
      <c r="N72" s="954"/>
      <c r="O72" s="954"/>
      <c r="P72" s="955"/>
      <c r="Q72" s="2867">
        <f>'XM.FILE GOC'!AK32</f>
        <v>0</v>
      </c>
      <c r="R72" s="2867"/>
      <c r="S72" s="2867">
        <f>'XM.FILE GOC'!AN32</f>
        <v>0</v>
      </c>
      <c r="T72" s="2867"/>
      <c r="U72" s="953"/>
      <c r="V72" s="954"/>
      <c r="W72" s="954"/>
      <c r="X72" s="955"/>
      <c r="Y72" s="2867">
        <f>'XM.FILE GOC'!AR32</f>
        <v>0</v>
      </c>
      <c r="Z72" s="2867"/>
      <c r="AA72" s="2867">
        <f>'XM.FILE GOC'!AU32</f>
        <v>0</v>
      </c>
      <c r="AB72" s="2867"/>
      <c r="AC72" s="953"/>
      <c r="AD72" s="954"/>
      <c r="AE72" s="954"/>
      <c r="AF72" s="955"/>
      <c r="AG72" s="84"/>
    </row>
    <row r="73" spans="1:56" ht="48" customHeight="1">
      <c r="A73" s="990">
        <v>6</v>
      </c>
      <c r="B73" s="2871" t="s">
        <v>949</v>
      </c>
      <c r="C73" s="2872" t="s">
        <v>949</v>
      </c>
      <c r="D73" s="2872" t="s">
        <v>949</v>
      </c>
      <c r="E73" s="2873" t="s">
        <v>949</v>
      </c>
      <c r="F73" s="256" t="s">
        <v>196</v>
      </c>
      <c r="G73" s="929" t="str">
        <f>'XM.FILE GOC'!$E$33</f>
        <v>30~40</v>
      </c>
      <c r="H73" s="2427" t="str">
        <f>'XM.FILE GOC'!$F$33</f>
        <v>(34±3)</v>
      </c>
      <c r="I73" s="2867">
        <f>'XM.FILE GOC'!AD33</f>
        <v>0</v>
      </c>
      <c r="J73" s="2867"/>
      <c r="K73" s="2867">
        <f>'XM.FILE GOC'!AG33</f>
        <v>0</v>
      </c>
      <c r="L73" s="2867"/>
      <c r="M73" s="953"/>
      <c r="N73" s="954"/>
      <c r="O73" s="954"/>
      <c r="P73" s="955"/>
      <c r="Q73" s="2867">
        <f>'XM.FILE GOC'!AK33</f>
        <v>0</v>
      </c>
      <c r="R73" s="2867"/>
      <c r="S73" s="2867">
        <f>'XM.FILE GOC'!AN33</f>
        <v>0</v>
      </c>
      <c r="T73" s="2867"/>
      <c r="U73" s="953"/>
      <c r="V73" s="954"/>
      <c r="W73" s="954"/>
      <c r="X73" s="955"/>
      <c r="Y73" s="2867">
        <f>'XM.FILE GOC'!AR33</f>
        <v>0</v>
      </c>
      <c r="Z73" s="2867"/>
      <c r="AA73" s="2867">
        <f>'XM.FILE GOC'!AU33</f>
        <v>0</v>
      </c>
      <c r="AB73" s="2867"/>
      <c r="AC73" s="953"/>
      <c r="AD73" s="954"/>
      <c r="AE73" s="954"/>
      <c r="AF73" s="955"/>
      <c r="AG73" s="84"/>
    </row>
    <row r="74" spans="1:56" ht="48" customHeight="1">
      <c r="A74" s="990">
        <v>7</v>
      </c>
      <c r="B74" s="2871" t="s">
        <v>71</v>
      </c>
      <c r="C74" s="2872" t="s">
        <v>71</v>
      </c>
      <c r="D74" s="2872" t="s">
        <v>71</v>
      </c>
      <c r="E74" s="2873" t="s">
        <v>71</v>
      </c>
      <c r="F74" s="256" t="s">
        <v>196</v>
      </c>
      <c r="G74" s="929" t="str">
        <f>'XM.FILE GOC'!$E$34</f>
        <v>50~70</v>
      </c>
      <c r="H74" s="2427" t="str">
        <f>'XM.FILE GOC'!$F$34</f>
        <v>(60±10)</v>
      </c>
      <c r="I74" s="2867">
        <f>'XM.FILE GOC'!AD34</f>
        <v>0</v>
      </c>
      <c r="J74" s="2867"/>
      <c r="K74" s="2867">
        <f>'XM.FILE GOC'!AG34</f>
        <v>0</v>
      </c>
      <c r="L74" s="2867"/>
      <c r="M74" s="953"/>
      <c r="N74" s="954"/>
      <c r="O74" s="954"/>
      <c r="P74" s="955"/>
      <c r="Q74" s="2867">
        <f>'XM.FILE GOC'!AK34</f>
        <v>0</v>
      </c>
      <c r="R74" s="2867"/>
      <c r="S74" s="2867">
        <f>'XM.FILE GOC'!AN34</f>
        <v>0</v>
      </c>
      <c r="T74" s="2867"/>
      <c r="U74" s="953"/>
      <c r="V74" s="954"/>
      <c r="W74" s="954"/>
      <c r="X74" s="955"/>
      <c r="Y74" s="2867">
        <f>'XM.FILE GOC'!AR34</f>
        <v>0</v>
      </c>
      <c r="Z74" s="2867"/>
      <c r="AA74" s="2867">
        <f>'XM.FILE GOC'!AU34</f>
        <v>0</v>
      </c>
      <c r="AB74" s="2867"/>
      <c r="AC74" s="953"/>
      <c r="AD74" s="954"/>
      <c r="AE74" s="954"/>
      <c r="AF74" s="955"/>
      <c r="AG74" s="84"/>
      <c r="AP74" s="954"/>
      <c r="AQ74" s="954"/>
      <c r="AR74" s="955"/>
      <c r="AS74" s="2831"/>
      <c r="AT74" s="2832"/>
      <c r="AU74" s="2831"/>
      <c r="AV74" s="2832"/>
      <c r="AW74" s="1455"/>
      <c r="AX74" s="954"/>
      <c r="AY74" s="954"/>
      <c r="AZ74" s="955"/>
      <c r="BA74" s="2831"/>
      <c r="BB74" s="2832"/>
      <c r="BC74" s="2831"/>
      <c r="BD74" s="2832"/>
    </row>
    <row r="75" spans="1:56" ht="48" customHeight="1">
      <c r="A75" s="990">
        <v>8</v>
      </c>
      <c r="B75" s="2874" t="s">
        <v>72</v>
      </c>
      <c r="C75" s="2875" t="s">
        <v>72</v>
      </c>
      <c r="D75" s="2875" t="s">
        <v>72</v>
      </c>
      <c r="E75" s="2876" t="s">
        <v>72</v>
      </c>
      <c r="F75" s="256" t="s">
        <v>196</v>
      </c>
      <c r="G75" s="929" t="str">
        <f>'XM.FILE GOC'!$E$35</f>
        <v>80~100</v>
      </c>
      <c r="H75" s="2427" t="str">
        <f>'XM.FILE GOC'!$F$35</f>
        <v>(90±5)</v>
      </c>
      <c r="I75" s="2868" t="str">
        <f>'XM.FILE GOC'!AD35</f>
        <v>\</v>
      </c>
      <c r="J75" s="2868"/>
      <c r="K75" s="2867">
        <f>'XM.FILE GOC'!AG35</f>
        <v>0</v>
      </c>
      <c r="L75" s="2867"/>
      <c r="M75" s="956"/>
      <c r="N75" s="957"/>
      <c r="O75" s="957"/>
      <c r="P75" s="958"/>
      <c r="Q75" s="2868" t="str">
        <f>'XM.FILE GOC'!AK35</f>
        <v>\</v>
      </c>
      <c r="R75" s="2868"/>
      <c r="S75" s="2867">
        <f>'XM.FILE GOC'!AN35</f>
        <v>0</v>
      </c>
      <c r="T75" s="2867"/>
      <c r="U75" s="956"/>
      <c r="V75" s="957"/>
      <c r="W75" s="957"/>
      <c r="X75" s="958"/>
      <c r="Y75" s="2868" t="str">
        <f>'XM.FILE GOC'!AR35</f>
        <v>\</v>
      </c>
      <c r="Z75" s="2868"/>
      <c r="AA75" s="2867">
        <f>'XM.FILE GOC'!AU35</f>
        <v>0</v>
      </c>
      <c r="AB75" s="2867"/>
      <c r="AC75" s="956"/>
      <c r="AD75" s="957"/>
      <c r="AE75" s="957"/>
      <c r="AF75" s="958"/>
      <c r="AG75" s="84"/>
    </row>
    <row r="76" spans="1:56" ht="48" customHeight="1">
      <c r="A76" s="2863" t="s">
        <v>76</v>
      </c>
      <c r="B76" s="2915"/>
      <c r="C76" s="2915"/>
      <c r="D76" s="2915"/>
      <c r="E76" s="2915"/>
      <c r="F76" s="2915"/>
      <c r="G76" s="2915"/>
      <c r="H76" s="2915"/>
      <c r="I76" s="2915"/>
      <c r="J76" s="2915"/>
      <c r="K76" s="2915"/>
      <c r="L76" s="2915"/>
      <c r="M76" s="2915"/>
      <c r="N76" s="2915"/>
      <c r="O76" s="2915"/>
      <c r="P76" s="2915"/>
      <c r="Q76" s="2915"/>
      <c r="R76" s="2915"/>
      <c r="S76" s="2915"/>
      <c r="T76" s="2915"/>
      <c r="U76" s="2915"/>
      <c r="V76" s="2915"/>
      <c r="W76" s="2915"/>
      <c r="X76" s="2915"/>
      <c r="Y76" s="2915"/>
      <c r="Z76" s="2915"/>
      <c r="AA76" s="2915"/>
      <c r="AB76" s="2915"/>
      <c r="AC76" s="2915"/>
      <c r="AD76" s="2915"/>
      <c r="AE76" s="2915"/>
      <c r="AF76" s="2915"/>
      <c r="AG76" s="2864"/>
    </row>
    <row r="77" spans="1:56" ht="48" customHeight="1">
      <c r="A77" s="990" t="s">
        <v>7</v>
      </c>
      <c r="B77" s="2871" t="s">
        <v>93</v>
      </c>
      <c r="C77" s="2872"/>
      <c r="D77" s="2872"/>
      <c r="E77" s="2873"/>
      <c r="F77" s="600" t="s">
        <v>94</v>
      </c>
      <c r="G77" s="1010" t="s">
        <v>1325</v>
      </c>
      <c r="H77" s="2429" t="s">
        <v>1317</v>
      </c>
      <c r="I77" s="2931" t="s">
        <v>112</v>
      </c>
      <c r="J77" s="2932"/>
      <c r="K77" s="2932"/>
      <c r="L77" s="2933"/>
      <c r="M77" s="950"/>
      <c r="N77" s="951"/>
      <c r="O77" s="951"/>
      <c r="P77" s="952"/>
      <c r="Q77" s="2930" t="s">
        <v>112</v>
      </c>
      <c r="R77" s="2869"/>
      <c r="S77" s="2869"/>
      <c r="T77" s="2870"/>
      <c r="U77" s="950"/>
      <c r="V77" s="951"/>
      <c r="W77" s="951"/>
      <c r="X77" s="952"/>
      <c r="Y77" s="2930" t="s">
        <v>112</v>
      </c>
      <c r="Z77" s="2869"/>
      <c r="AA77" s="2869"/>
      <c r="AB77" s="2870"/>
      <c r="AC77" s="950"/>
      <c r="AD77" s="951"/>
      <c r="AE77" s="951"/>
      <c r="AF77" s="952"/>
      <c r="AG77" s="83"/>
    </row>
    <row r="78" spans="1:56" ht="48" customHeight="1">
      <c r="A78" s="990">
        <v>1</v>
      </c>
      <c r="B78" s="2871" t="s">
        <v>52</v>
      </c>
      <c r="C78" s="2872"/>
      <c r="D78" s="2872"/>
      <c r="E78" s="2873"/>
      <c r="F78" s="992" t="s">
        <v>49</v>
      </c>
      <c r="G78" s="929" t="str">
        <f>'XM.FILE GOC'!$E$37</f>
        <v>300-360</v>
      </c>
      <c r="H78" s="2427" t="str">
        <f>'XM.FILE GOC'!$F$37</f>
        <v>300-360</v>
      </c>
      <c r="I78" s="2831">
        <f>'XM.FILE GOC'!AD37</f>
        <v>0</v>
      </c>
      <c r="J78" s="2832"/>
      <c r="K78" s="2832"/>
      <c r="L78" s="2832"/>
      <c r="M78" s="959"/>
      <c r="N78" s="936"/>
      <c r="O78" s="936"/>
      <c r="P78" s="960"/>
      <c r="Q78" s="2928">
        <f>'XM.FILE GOC'!AK37</f>
        <v>0</v>
      </c>
      <c r="R78" s="2929"/>
      <c r="S78" s="2929"/>
      <c r="T78" s="2929"/>
      <c r="U78" s="959"/>
      <c r="V78" s="936"/>
      <c r="W78" s="936"/>
      <c r="X78" s="960"/>
      <c r="Y78" s="2928">
        <f>'XM.FILE GOC'!AR37</f>
        <v>0</v>
      </c>
      <c r="Z78" s="2929"/>
      <c r="AA78" s="2929"/>
      <c r="AB78" s="2929"/>
      <c r="AC78" s="959"/>
      <c r="AD78" s="936"/>
      <c r="AE78" s="936"/>
      <c r="AF78" s="960"/>
      <c r="AG78" s="84"/>
    </row>
    <row r="79" spans="1:56" ht="48" customHeight="1">
      <c r="A79" s="990">
        <v>2</v>
      </c>
      <c r="B79" s="2871" t="s">
        <v>87</v>
      </c>
      <c r="C79" s="2872"/>
      <c r="D79" s="2872"/>
      <c r="E79" s="2873"/>
      <c r="F79" s="992" t="s">
        <v>49</v>
      </c>
      <c r="G79" s="929" t="str">
        <f>'XM.FILE GOC'!$E$38</f>
        <v>30-50</v>
      </c>
      <c r="H79" s="2427" t="str">
        <f>'XM.FILE GOC'!$F$38</f>
        <v>30-50</v>
      </c>
      <c r="I79" s="2831">
        <f>'XM.FILE GOC'!AD38</f>
        <v>0</v>
      </c>
      <c r="J79" s="2832"/>
      <c r="K79" s="2832"/>
      <c r="L79" s="2832"/>
      <c r="M79" s="961"/>
      <c r="N79" s="962"/>
      <c r="O79" s="962"/>
      <c r="P79" s="963"/>
      <c r="Q79" s="2928">
        <f>'XM.FILE GOC'!AK38</f>
        <v>0</v>
      </c>
      <c r="R79" s="2929"/>
      <c r="S79" s="2929"/>
      <c r="T79" s="2929"/>
      <c r="U79" s="961"/>
      <c r="V79" s="962"/>
      <c r="W79" s="962"/>
      <c r="X79" s="963"/>
      <c r="Y79" s="2928">
        <f>'XM.FILE GOC'!AR38</f>
        <v>0</v>
      </c>
      <c r="Z79" s="2929"/>
      <c r="AA79" s="2929"/>
      <c r="AB79" s="2929"/>
      <c r="AC79" s="961"/>
      <c r="AD79" s="962"/>
      <c r="AE79" s="962"/>
      <c r="AF79" s="963"/>
      <c r="AG79" s="84"/>
    </row>
  </sheetData>
  <sheetProtection selectLockedCells="1"/>
  <mergeCells count="264">
    <mergeCell ref="AS74:AT74"/>
    <mergeCell ref="AU74:AV74"/>
    <mergeCell ref="BA74:BB74"/>
    <mergeCell ref="BC74:BD74"/>
    <mergeCell ref="A4:A5"/>
    <mergeCell ref="G4:G5"/>
    <mergeCell ref="A1:Z1"/>
    <mergeCell ref="A14:A15"/>
    <mergeCell ref="I4:L4"/>
    <mergeCell ref="Q4:T4"/>
    <mergeCell ref="Y4:AB4"/>
    <mergeCell ref="J5:L5"/>
    <mergeCell ref="R5:T5"/>
    <mergeCell ref="Z5:AB5"/>
    <mergeCell ref="I3:L3"/>
    <mergeCell ref="B12:C13"/>
    <mergeCell ref="D12:E12"/>
    <mergeCell ref="D13:E13"/>
    <mergeCell ref="B14:C15"/>
    <mergeCell ref="D14:E14"/>
    <mergeCell ref="D15:E15"/>
    <mergeCell ref="B4:E5"/>
    <mergeCell ref="B3:E3"/>
    <mergeCell ref="M4:P4"/>
    <mergeCell ref="N5:P5"/>
    <mergeCell ref="A6:A8"/>
    <mergeCell ref="A9:A11"/>
    <mergeCell ref="A12:A13"/>
    <mergeCell ref="AA27:AB27"/>
    <mergeCell ref="A26:AG26"/>
    <mergeCell ref="A16:A17"/>
    <mergeCell ref="B6:C8"/>
    <mergeCell ref="D6:E6"/>
    <mergeCell ref="D7:E7"/>
    <mergeCell ref="D8:E8"/>
    <mergeCell ref="B9:C11"/>
    <mergeCell ref="D9:E9"/>
    <mergeCell ref="D10:E10"/>
    <mergeCell ref="D11:E11"/>
    <mergeCell ref="I27:J27"/>
    <mergeCell ref="K27:L27"/>
    <mergeCell ref="A18:A19"/>
    <mergeCell ref="H4:H5"/>
    <mergeCell ref="B24:E25"/>
    <mergeCell ref="Q27:R27"/>
    <mergeCell ref="S27:T27"/>
    <mergeCell ref="Y27:Z27"/>
    <mergeCell ref="Q33:R33"/>
    <mergeCell ref="S33:T33"/>
    <mergeCell ref="I31:J31"/>
    <mergeCell ref="K31:L31"/>
    <mergeCell ref="I32:J32"/>
    <mergeCell ref="Q32:R32"/>
    <mergeCell ref="S32:T32"/>
    <mergeCell ref="K32:L32"/>
    <mergeCell ref="I30:J30"/>
    <mergeCell ref="S31:T31"/>
    <mergeCell ref="Q30:R30"/>
    <mergeCell ref="S30:T30"/>
    <mergeCell ref="Q31:R31"/>
    <mergeCell ref="Q28:R28"/>
    <mergeCell ref="S28:T28"/>
    <mergeCell ref="I28:J28"/>
    <mergeCell ref="Y37:AB37"/>
    <mergeCell ref="I37:L37"/>
    <mergeCell ref="I34:J34"/>
    <mergeCell ref="K34:L34"/>
    <mergeCell ref="S34:T34"/>
    <mergeCell ref="Y34:Z34"/>
    <mergeCell ref="AA34:AB34"/>
    <mergeCell ref="I35:J35"/>
    <mergeCell ref="K35:L35"/>
    <mergeCell ref="A36:AG36"/>
    <mergeCell ref="Y35:Z35"/>
    <mergeCell ref="I33:J33"/>
    <mergeCell ref="K33:L33"/>
    <mergeCell ref="Y33:Z33"/>
    <mergeCell ref="AA33:AB33"/>
    <mergeCell ref="I29:J29"/>
    <mergeCell ref="K29:L29"/>
    <mergeCell ref="Q29:R29"/>
    <mergeCell ref="S29:T29"/>
    <mergeCell ref="Y29:Z29"/>
    <mergeCell ref="AA29:AB29"/>
    <mergeCell ref="I79:L79"/>
    <mergeCell ref="I72:J72"/>
    <mergeCell ref="AA75:AB75"/>
    <mergeCell ref="AA73:AB73"/>
    <mergeCell ref="A76:AG76"/>
    <mergeCell ref="Q79:T79"/>
    <mergeCell ref="A54:A55"/>
    <mergeCell ref="A56:A57"/>
    <mergeCell ref="A58:A59"/>
    <mergeCell ref="B60:E60"/>
    <mergeCell ref="B61:E61"/>
    <mergeCell ref="B57:E57"/>
    <mergeCell ref="B58:E59"/>
    <mergeCell ref="B62:E62"/>
    <mergeCell ref="B63:E63"/>
    <mergeCell ref="S74:T74"/>
    <mergeCell ref="I78:L78"/>
    <mergeCell ref="Y73:Z73"/>
    <mergeCell ref="K72:L72"/>
    <mergeCell ref="I74:J74"/>
    <mergeCell ref="K74:L74"/>
    <mergeCell ref="I75:J75"/>
    <mergeCell ref="K75:L75"/>
    <mergeCell ref="Q75:R75"/>
    <mergeCell ref="S75:T75"/>
    <mergeCell ref="Y75:Z75"/>
    <mergeCell ref="AA72:AB72"/>
    <mergeCell ref="Q74:R74"/>
    <mergeCell ref="S69:T69"/>
    <mergeCell ref="Y69:Z69"/>
    <mergeCell ref="AA69:AB69"/>
    <mergeCell ref="Y70:Z70"/>
    <mergeCell ref="AA70:AB70"/>
    <mergeCell ref="Y71:Z71"/>
    <mergeCell ref="AA71:AB71"/>
    <mergeCell ref="Y72:Z72"/>
    <mergeCell ref="Y79:AB79"/>
    <mergeCell ref="Q78:T78"/>
    <mergeCell ref="Y78:AB78"/>
    <mergeCell ref="AD42:AE42"/>
    <mergeCell ref="AF42:AG42"/>
    <mergeCell ref="Q77:T77"/>
    <mergeCell ref="Y77:AB77"/>
    <mergeCell ref="I77:L77"/>
    <mergeCell ref="Q72:R72"/>
    <mergeCell ref="K73:L73"/>
    <mergeCell ref="I70:J70"/>
    <mergeCell ref="K70:L70"/>
    <mergeCell ref="I71:J71"/>
    <mergeCell ref="K71:L71"/>
    <mergeCell ref="Q70:R70"/>
    <mergeCell ref="S70:T70"/>
    <mergeCell ref="Q71:R71"/>
    <mergeCell ref="S71:T71"/>
    <mergeCell ref="Q73:R73"/>
    <mergeCell ref="S73:T73"/>
    <mergeCell ref="I73:J73"/>
    <mergeCell ref="S72:T72"/>
    <mergeCell ref="Y74:Z74"/>
    <mergeCell ref="AA74:AB74"/>
    <mergeCell ref="A49:A51"/>
    <mergeCell ref="A52:A53"/>
    <mergeCell ref="A44:A45"/>
    <mergeCell ref="G44:G45"/>
    <mergeCell ref="D47:E47"/>
    <mergeCell ref="Q38:T38"/>
    <mergeCell ref="Q39:T39"/>
    <mergeCell ref="Y38:AB38"/>
    <mergeCell ref="Y39:AB39"/>
    <mergeCell ref="D51:E51"/>
    <mergeCell ref="B52:C53"/>
    <mergeCell ref="D52:E52"/>
    <mergeCell ref="D53:E53"/>
    <mergeCell ref="I38:L38"/>
    <mergeCell ref="A41:Z41"/>
    <mergeCell ref="I39:L39"/>
    <mergeCell ref="M44:P44"/>
    <mergeCell ref="N45:P45"/>
    <mergeCell ref="U44:X44"/>
    <mergeCell ref="V45:X45"/>
    <mergeCell ref="A42:AC42"/>
    <mergeCell ref="AC44:AF44"/>
    <mergeCell ref="AD45:AF45"/>
    <mergeCell ref="AD43:AE43"/>
    <mergeCell ref="I68:J68"/>
    <mergeCell ref="K68:L68"/>
    <mergeCell ref="I43:L43"/>
    <mergeCell ref="I44:L44"/>
    <mergeCell ref="Q44:T44"/>
    <mergeCell ref="Y44:AB44"/>
    <mergeCell ref="J45:L45"/>
    <mergeCell ref="R45:T45"/>
    <mergeCell ref="Z45:AB45"/>
    <mergeCell ref="Q68:R68"/>
    <mergeCell ref="S68:T68"/>
    <mergeCell ref="Y68:Z68"/>
    <mergeCell ref="AA68:AB68"/>
    <mergeCell ref="A66:AG66"/>
    <mergeCell ref="I67:J67"/>
    <mergeCell ref="K67:L67"/>
    <mergeCell ref="AA67:AB67"/>
    <mergeCell ref="Q67:R67"/>
    <mergeCell ref="S67:T67"/>
    <mergeCell ref="Y67:Z67"/>
    <mergeCell ref="A46:A48"/>
    <mergeCell ref="D48:E48"/>
    <mergeCell ref="H44:H45"/>
    <mergeCell ref="D49:E49"/>
    <mergeCell ref="B75:E75"/>
    <mergeCell ref="Q69:R69"/>
    <mergeCell ref="F4:F5"/>
    <mergeCell ref="B44:E45"/>
    <mergeCell ref="F44:F45"/>
    <mergeCell ref="B46:C48"/>
    <mergeCell ref="B49:C51"/>
    <mergeCell ref="B54:C55"/>
    <mergeCell ref="D54:E54"/>
    <mergeCell ref="D55:E55"/>
    <mergeCell ref="B56:E56"/>
    <mergeCell ref="B16:E16"/>
    <mergeCell ref="B17:E17"/>
    <mergeCell ref="B18:E19"/>
    <mergeCell ref="B20:E20"/>
    <mergeCell ref="B21:E21"/>
    <mergeCell ref="B22:E22"/>
    <mergeCell ref="B23:E23"/>
    <mergeCell ref="D46:E46"/>
    <mergeCell ref="B43:E43"/>
    <mergeCell ref="Q34:R34"/>
    <mergeCell ref="I69:J69"/>
    <mergeCell ref="K69:L69"/>
    <mergeCell ref="D50:E50"/>
    <mergeCell ref="B77:E77"/>
    <mergeCell ref="B78:E78"/>
    <mergeCell ref="B79:E79"/>
    <mergeCell ref="B37:E37"/>
    <mergeCell ref="B38:E38"/>
    <mergeCell ref="B39:E39"/>
    <mergeCell ref="B27:E27"/>
    <mergeCell ref="B28:E28"/>
    <mergeCell ref="B29:E29"/>
    <mergeCell ref="B30:E30"/>
    <mergeCell ref="B31:E31"/>
    <mergeCell ref="B32:E32"/>
    <mergeCell ref="B33:E33"/>
    <mergeCell ref="B34:E34"/>
    <mergeCell ref="B35:E35"/>
    <mergeCell ref="B67:E67"/>
    <mergeCell ref="B68:E68"/>
    <mergeCell ref="B69:E69"/>
    <mergeCell ref="B70:E70"/>
    <mergeCell ref="B71:E71"/>
    <mergeCell ref="B72:E72"/>
    <mergeCell ref="B73:E73"/>
    <mergeCell ref="B64:E65"/>
    <mergeCell ref="B74:E74"/>
    <mergeCell ref="AF43:AG43"/>
    <mergeCell ref="AC4:AF4"/>
    <mergeCell ref="V5:X5"/>
    <mergeCell ref="AD5:AF5"/>
    <mergeCell ref="AD2:AE2"/>
    <mergeCell ref="AD3:AE3"/>
    <mergeCell ref="AF2:AG2"/>
    <mergeCell ref="AF3:AG3"/>
    <mergeCell ref="U4:X4"/>
    <mergeCell ref="A2:AC2"/>
    <mergeCell ref="AA30:AB30"/>
    <mergeCell ref="Y31:Z31"/>
    <mergeCell ref="AA31:AB31"/>
    <mergeCell ref="Y32:Z32"/>
    <mergeCell ref="AA32:AB32"/>
    <mergeCell ref="K30:L30"/>
    <mergeCell ref="K28:L28"/>
    <mergeCell ref="Y28:Z28"/>
    <mergeCell ref="Q35:R35"/>
    <mergeCell ref="S35:T35"/>
    <mergeCell ref="Y30:Z30"/>
    <mergeCell ref="AA35:AB35"/>
    <mergeCell ref="Q37:T37"/>
    <mergeCell ref="AA28:AB28"/>
  </mergeCells>
  <phoneticPr fontId="7" type="noConversion"/>
  <conditionalFormatting sqref="I78 Q78 Y78 I38 Q38 Y38">
    <cfRule type="expression" dxfId="5421" priority="1881">
      <formula>I38&lt;300</formula>
    </cfRule>
    <cfRule type="expression" dxfId="5420" priority="1882">
      <formula>I38&gt;360</formula>
    </cfRule>
  </conditionalFormatting>
  <conditionalFormatting sqref="I79 Q79 Y79 Y39 I39 Q39">
    <cfRule type="expression" dxfId="5419" priority="1879">
      <formula>I39&lt;30</formula>
    </cfRule>
    <cfRule type="expression" dxfId="5418" priority="1880">
      <formula>I39&gt;50</formula>
    </cfRule>
  </conditionalFormatting>
  <conditionalFormatting sqref="AS74">
    <cfRule type="expression" dxfId="5417" priority="1445">
      <formula>AS74&lt;20</formula>
    </cfRule>
    <cfRule type="expression" dxfId="5416" priority="1446">
      <formula>AS74&gt;35</formula>
    </cfRule>
  </conditionalFormatting>
  <conditionalFormatting sqref="AU74">
    <cfRule type="expression" dxfId="5415" priority="1443">
      <formula>AU74&lt;20</formula>
    </cfRule>
    <cfRule type="expression" dxfId="5414" priority="1444">
      <formula>AU74&gt;35</formula>
    </cfRule>
  </conditionalFormatting>
  <conditionalFormatting sqref="BA74">
    <cfRule type="expression" dxfId="5413" priority="1441">
      <formula>BA74&lt;20</formula>
    </cfRule>
    <cfRule type="expression" dxfId="5412" priority="1442">
      <formula>BA74&gt;35</formula>
    </cfRule>
  </conditionalFormatting>
  <conditionalFormatting sqref="BC74">
    <cfRule type="expression" dxfId="5411" priority="1439">
      <formula>BC74&lt;20</formula>
    </cfRule>
    <cfRule type="expression" dxfId="5410" priority="1440">
      <formula>BC74&gt;35</formula>
    </cfRule>
  </conditionalFormatting>
  <conditionalFormatting sqref="K72:L72 I32:L32 Q32:T32 Y32:AB32">
    <cfRule type="cellIs" dxfId="5409" priority="573" operator="between">
      <formula>20</formula>
      <formula>25.9</formula>
    </cfRule>
    <cfRule type="cellIs" dxfId="5408" priority="574" operator="between">
      <formula>34.1</formula>
      <formula>35</formula>
    </cfRule>
    <cfRule type="expression" dxfId="5407" priority="575">
      <formula>I32&lt;20</formula>
    </cfRule>
    <cfRule type="expression" dxfId="5406" priority="576">
      <formula>I32&gt;35</formula>
    </cfRule>
  </conditionalFormatting>
  <conditionalFormatting sqref="K68:L69 I28:L29 Q28:T29 Y28:AB29">
    <cfRule type="cellIs" dxfId="5405" priority="569" operator="between">
      <formula>50</formula>
      <formula>54.9</formula>
    </cfRule>
    <cfRule type="cellIs" dxfId="5404" priority="570" operator="between">
      <formula>65.1</formula>
      <formula>70</formula>
    </cfRule>
    <cfRule type="expression" dxfId="5403" priority="571">
      <formula>I28&lt;50</formula>
    </cfRule>
    <cfRule type="expression" dxfId="5402" priority="572">
      <formula>I28&gt;70</formula>
    </cfRule>
  </conditionalFormatting>
  <conditionalFormatting sqref="K73 K33 I33 S33 Q33 AA33 Y33">
    <cfRule type="cellIs" dxfId="5401" priority="560" operator="between">
      <formula>30</formula>
      <formula>30.9</formula>
    </cfRule>
    <cfRule type="cellIs" dxfId="5400" priority="561" operator="between">
      <formula>37.1</formula>
      <formula>40</formula>
    </cfRule>
    <cfRule type="expression" dxfId="5399" priority="562">
      <formula>I33&lt;30</formula>
    </cfRule>
    <cfRule type="expression" dxfId="5398" priority="563">
      <formula>I33&gt;40</formula>
    </cfRule>
  </conditionalFormatting>
  <conditionalFormatting sqref="K75 K35 S35 AA35">
    <cfRule type="cellIs" dxfId="5397" priority="556" operator="between">
      <formula>80</formula>
      <formula>84.9</formula>
    </cfRule>
    <cfRule type="cellIs" dxfId="5396" priority="557" operator="between">
      <formula>95.1</formula>
      <formula>100</formula>
    </cfRule>
    <cfRule type="expression" dxfId="5395" priority="558">
      <formula>K35&lt;80</formula>
    </cfRule>
    <cfRule type="expression" dxfId="5394" priority="559">
      <formula>K35&gt;100</formula>
    </cfRule>
  </conditionalFormatting>
  <conditionalFormatting sqref="K74 K34 I34 S34 Q34 AA34 Y34">
    <cfRule type="expression" dxfId="5393" priority="554">
      <formula>I34&lt;50</formula>
    </cfRule>
    <cfRule type="expression" dxfId="5392" priority="555">
      <formula>I34&gt;70</formula>
    </cfRule>
  </conditionalFormatting>
  <conditionalFormatting sqref="I72:J72">
    <cfRule type="cellIs" dxfId="5391" priority="550" operator="between">
      <formula>20</formula>
      <formula>25.9</formula>
    </cfRule>
    <cfRule type="cellIs" dxfId="5390" priority="551" operator="between">
      <formula>34.1</formula>
      <formula>35</formula>
    </cfRule>
    <cfRule type="expression" dxfId="5389" priority="552">
      <formula>I72&lt;20</formula>
    </cfRule>
    <cfRule type="expression" dxfId="5388" priority="553">
      <formula>I72&gt;35</formula>
    </cfRule>
  </conditionalFormatting>
  <conditionalFormatting sqref="I68:J69">
    <cfRule type="cellIs" dxfId="5387" priority="546" operator="between">
      <formula>50</formula>
      <formula>54.9</formula>
    </cfRule>
    <cfRule type="cellIs" dxfId="5386" priority="547" operator="between">
      <formula>65.1</formula>
      <formula>70</formula>
    </cfRule>
    <cfRule type="expression" dxfId="5385" priority="548">
      <formula>I68&lt;50</formula>
    </cfRule>
    <cfRule type="expression" dxfId="5384" priority="549">
      <formula>I68&gt;70</formula>
    </cfRule>
  </conditionalFormatting>
  <conditionalFormatting sqref="I73">
    <cfRule type="cellIs" dxfId="5383" priority="537" operator="between">
      <formula>30</formula>
      <formula>30.9</formula>
    </cfRule>
    <cfRule type="cellIs" dxfId="5382" priority="538" operator="between">
      <formula>37.1</formula>
      <formula>40</formula>
    </cfRule>
    <cfRule type="expression" dxfId="5381" priority="539">
      <formula>I73&lt;30</formula>
    </cfRule>
    <cfRule type="expression" dxfId="5380" priority="540">
      <formula>I73&gt;40</formula>
    </cfRule>
  </conditionalFormatting>
  <conditionalFormatting sqref="I74">
    <cfRule type="expression" dxfId="5379" priority="535">
      <formula>I74&lt;50</formula>
    </cfRule>
    <cfRule type="expression" dxfId="5378" priority="536">
      <formula>I74&gt;70</formula>
    </cfRule>
  </conditionalFormatting>
  <conditionalFormatting sqref="S72:T72">
    <cfRule type="cellIs" dxfId="5377" priority="531" operator="between">
      <formula>20</formula>
      <formula>25.9</formula>
    </cfRule>
    <cfRule type="cellIs" dxfId="5376" priority="532" operator="between">
      <formula>34.1</formula>
      <formula>35</formula>
    </cfRule>
    <cfRule type="expression" dxfId="5375" priority="533">
      <formula>S72&lt;20</formula>
    </cfRule>
    <cfRule type="expression" dxfId="5374" priority="534">
      <formula>S72&gt;35</formula>
    </cfRule>
  </conditionalFormatting>
  <conditionalFormatting sqref="S68:T69">
    <cfRule type="cellIs" dxfId="5373" priority="527" operator="between">
      <formula>50</formula>
      <formula>54.9</formula>
    </cfRule>
    <cfRule type="cellIs" dxfId="5372" priority="528" operator="between">
      <formula>65.1</formula>
      <formula>70</formula>
    </cfRule>
    <cfRule type="expression" dxfId="5371" priority="529">
      <formula>S68&lt;50</formula>
    </cfRule>
    <cfRule type="expression" dxfId="5370" priority="530">
      <formula>S68&gt;70</formula>
    </cfRule>
  </conditionalFormatting>
  <conditionalFormatting sqref="S73">
    <cfRule type="cellIs" dxfId="5369" priority="518" operator="between">
      <formula>30</formula>
      <formula>30.9</formula>
    </cfRule>
    <cfRule type="cellIs" dxfId="5368" priority="519" operator="between">
      <formula>37.1</formula>
      <formula>40</formula>
    </cfRule>
    <cfRule type="expression" dxfId="5367" priority="520">
      <formula>S73&lt;30</formula>
    </cfRule>
    <cfRule type="expression" dxfId="5366" priority="521">
      <formula>S73&gt;40</formula>
    </cfRule>
  </conditionalFormatting>
  <conditionalFormatting sqref="S75">
    <cfRule type="cellIs" dxfId="5365" priority="514" operator="between">
      <formula>80</formula>
      <formula>84.9</formula>
    </cfRule>
    <cfRule type="cellIs" dxfId="5364" priority="515" operator="between">
      <formula>95.1</formula>
      <formula>100</formula>
    </cfRule>
    <cfRule type="expression" dxfId="5363" priority="516">
      <formula>S75&lt;80</formula>
    </cfRule>
    <cfRule type="expression" dxfId="5362" priority="517">
      <formula>S75&gt;100</formula>
    </cfRule>
  </conditionalFormatting>
  <conditionalFormatting sqref="S74">
    <cfRule type="expression" dxfId="5361" priority="512">
      <formula>S74&lt;50</formula>
    </cfRule>
    <cfRule type="expression" dxfId="5360" priority="513">
      <formula>S74&gt;70</formula>
    </cfRule>
  </conditionalFormatting>
  <conditionalFormatting sqref="Q72:R72">
    <cfRule type="cellIs" dxfId="5359" priority="508" operator="between">
      <formula>20</formula>
      <formula>25.9</formula>
    </cfRule>
    <cfRule type="cellIs" dxfId="5358" priority="509" operator="between">
      <formula>34.1</formula>
      <formula>35</formula>
    </cfRule>
    <cfRule type="expression" dxfId="5357" priority="510">
      <formula>Q72&lt;20</formula>
    </cfRule>
    <cfRule type="expression" dxfId="5356" priority="511">
      <formula>Q72&gt;35</formula>
    </cfRule>
  </conditionalFormatting>
  <conditionalFormatting sqref="Q68:R69">
    <cfRule type="cellIs" dxfId="5355" priority="504" operator="between">
      <formula>50</formula>
      <formula>54.9</formula>
    </cfRule>
    <cfRule type="cellIs" dxfId="5354" priority="505" operator="between">
      <formula>65.1</formula>
      <formula>70</formula>
    </cfRule>
    <cfRule type="expression" dxfId="5353" priority="506">
      <formula>Q68&lt;50</formula>
    </cfRule>
    <cfRule type="expression" dxfId="5352" priority="507">
      <formula>Q68&gt;70</formula>
    </cfRule>
  </conditionalFormatting>
  <conditionalFormatting sqref="Q73">
    <cfRule type="cellIs" dxfId="5351" priority="495" operator="between">
      <formula>30</formula>
      <formula>30.9</formula>
    </cfRule>
    <cfRule type="cellIs" dxfId="5350" priority="496" operator="between">
      <formula>37.1</formula>
      <formula>40</formula>
    </cfRule>
    <cfRule type="expression" dxfId="5349" priority="497">
      <formula>Q73&lt;30</formula>
    </cfRule>
    <cfRule type="expression" dxfId="5348" priority="498">
      <formula>Q73&gt;40</formula>
    </cfRule>
  </conditionalFormatting>
  <conditionalFormatting sqref="Q74">
    <cfRule type="expression" dxfId="5347" priority="493">
      <formula>Q74&lt;50</formula>
    </cfRule>
    <cfRule type="expression" dxfId="5346" priority="494">
      <formula>Q74&gt;70</formula>
    </cfRule>
  </conditionalFormatting>
  <conditionalFormatting sqref="AA72:AB72">
    <cfRule type="cellIs" dxfId="5345" priority="489" operator="between">
      <formula>20</formula>
      <formula>25.9</formula>
    </cfRule>
    <cfRule type="cellIs" dxfId="5344" priority="490" operator="between">
      <formula>34.1</formula>
      <formula>35</formula>
    </cfRule>
    <cfRule type="expression" dxfId="5343" priority="491">
      <formula>AA72&lt;20</formula>
    </cfRule>
    <cfRule type="expression" dxfId="5342" priority="492">
      <formula>AA72&gt;35</formula>
    </cfRule>
  </conditionalFormatting>
  <conditionalFormatting sqref="AA68:AB69">
    <cfRule type="cellIs" dxfId="5341" priority="485" operator="between">
      <formula>50</formula>
      <formula>54.9</formula>
    </cfRule>
    <cfRule type="cellIs" dxfId="5340" priority="486" operator="between">
      <formula>65.1</formula>
      <formula>70</formula>
    </cfRule>
    <cfRule type="expression" dxfId="5339" priority="487">
      <formula>AA68&lt;50</formula>
    </cfRule>
    <cfRule type="expression" dxfId="5338" priority="488">
      <formula>AA68&gt;70</formula>
    </cfRule>
  </conditionalFormatting>
  <conditionalFormatting sqref="AA73">
    <cfRule type="cellIs" dxfId="5337" priority="476" operator="between">
      <formula>30</formula>
      <formula>30.9</formula>
    </cfRule>
    <cfRule type="cellIs" dxfId="5336" priority="477" operator="between">
      <formula>37.1</formula>
      <formula>40</formula>
    </cfRule>
    <cfRule type="expression" dxfId="5335" priority="478">
      <formula>AA73&lt;30</formula>
    </cfRule>
    <cfRule type="expression" dxfId="5334" priority="479">
      <formula>AA73&gt;40</formula>
    </cfRule>
  </conditionalFormatting>
  <conditionalFormatting sqref="AA75">
    <cfRule type="cellIs" dxfId="5333" priority="472" operator="between">
      <formula>80</formula>
      <formula>84.9</formula>
    </cfRule>
    <cfRule type="cellIs" dxfId="5332" priority="473" operator="between">
      <formula>95.1</formula>
      <formula>100</formula>
    </cfRule>
    <cfRule type="expression" dxfId="5331" priority="474">
      <formula>AA75&lt;80</formula>
    </cfRule>
    <cfRule type="expression" dxfId="5330" priority="475">
      <formula>AA75&gt;100</formula>
    </cfRule>
  </conditionalFormatting>
  <conditionalFormatting sqref="AA74">
    <cfRule type="expression" dxfId="5329" priority="470">
      <formula>AA74&lt;50</formula>
    </cfRule>
    <cfRule type="expression" dxfId="5328" priority="471">
      <formula>AA74&gt;70</formula>
    </cfRule>
  </conditionalFormatting>
  <conditionalFormatting sqref="Y72:Z72">
    <cfRule type="cellIs" dxfId="5327" priority="466" operator="between">
      <formula>20</formula>
      <formula>25.9</formula>
    </cfRule>
    <cfRule type="cellIs" dxfId="5326" priority="467" operator="between">
      <formula>34.1</formula>
      <formula>35</formula>
    </cfRule>
    <cfRule type="expression" dxfId="5325" priority="468">
      <formula>Y72&lt;20</formula>
    </cfRule>
    <cfRule type="expression" dxfId="5324" priority="469">
      <formula>Y72&gt;35</formula>
    </cfRule>
  </conditionalFormatting>
  <conditionalFormatting sqref="Y68:Z69">
    <cfRule type="cellIs" dxfId="5323" priority="462" operator="between">
      <formula>50</formula>
      <formula>54.9</formula>
    </cfRule>
    <cfRule type="cellIs" dxfId="5322" priority="463" operator="between">
      <formula>65.1</formula>
      <formula>70</formula>
    </cfRule>
    <cfRule type="expression" dxfId="5321" priority="464">
      <formula>Y68&lt;50</formula>
    </cfRule>
    <cfRule type="expression" dxfId="5320" priority="465">
      <formula>Y68&gt;70</formula>
    </cfRule>
  </conditionalFormatting>
  <conditionalFormatting sqref="Y73">
    <cfRule type="cellIs" dxfId="5319" priority="453" operator="between">
      <formula>30</formula>
      <formula>30.9</formula>
    </cfRule>
    <cfRule type="cellIs" dxfId="5318" priority="454" operator="between">
      <formula>37.1</formula>
      <formula>40</formula>
    </cfRule>
    <cfRule type="expression" dxfId="5317" priority="455">
      <formula>Y73&lt;30</formula>
    </cfRule>
    <cfRule type="expression" dxfId="5316" priority="456">
      <formula>Y73&gt;40</formula>
    </cfRule>
  </conditionalFormatting>
  <conditionalFormatting sqref="Y74">
    <cfRule type="expression" dxfId="5315" priority="451">
      <formula>Y74&lt;50</formula>
    </cfRule>
    <cfRule type="expression" dxfId="5314" priority="452">
      <formula>Y74&gt;70</formula>
    </cfRule>
  </conditionalFormatting>
  <conditionalFormatting sqref="I16 Q16 Y16">
    <cfRule type="cellIs" dxfId="5313" priority="321" operator="between">
      <formula>130</formula>
      <formula>132.99</formula>
    </cfRule>
    <cfRule type="cellIs" dxfId="5312" priority="322" operator="between">
      <formula>147.1</formula>
      <formula>150</formula>
    </cfRule>
    <cfRule type="expression" dxfId="5311" priority="323">
      <formula>I16&lt;130</formula>
    </cfRule>
    <cfRule type="expression" dxfId="5310" priority="324">
      <formula>I16&gt;150</formula>
    </cfRule>
  </conditionalFormatting>
  <conditionalFormatting sqref="I17 Q17 Y17">
    <cfRule type="expression" dxfId="5309" priority="319">
      <formula>I17&lt;8</formula>
    </cfRule>
    <cfRule type="expression" dxfId="5308" priority="320">
      <formula>I17&gt;12</formula>
    </cfRule>
  </conditionalFormatting>
  <conditionalFormatting sqref="I19 Q19 Y19">
    <cfRule type="cellIs" dxfId="5307" priority="316" operator="between">
      <formula>1.6</formula>
      <formula>1.799</formula>
    </cfRule>
    <cfRule type="expression" dxfId="5306" priority="317">
      <formula>I19&lt;1.6</formula>
    </cfRule>
    <cfRule type="expression" dxfId="5305" priority="318">
      <formula>I19&gt;2.2</formula>
    </cfRule>
  </conditionalFormatting>
  <conditionalFormatting sqref="I21 Q21 Y21">
    <cfRule type="cellIs" dxfId="5304" priority="312" operator="between">
      <formula>15%</formula>
      <formula>16.99%</formula>
    </cfRule>
    <cfRule type="cellIs" dxfId="5303" priority="313" operator="between">
      <formula>27.01%</formula>
      <formula>30%</formula>
    </cfRule>
    <cfRule type="expression" dxfId="5302" priority="314">
      <formula>I21&lt;15%</formula>
    </cfRule>
    <cfRule type="expression" dxfId="5301" priority="315">
      <formula>I21&gt;30%</formula>
    </cfRule>
  </conditionalFormatting>
  <conditionalFormatting sqref="I22 Q22 Y22">
    <cfRule type="cellIs" dxfId="5300" priority="308" operator="between">
      <formula>5%</formula>
      <formula>6.99%</formula>
    </cfRule>
    <cfRule type="cellIs" dxfId="5299" priority="309" operator="between">
      <formula>12.99%</formula>
      <formula>15%</formula>
    </cfRule>
    <cfRule type="expression" dxfId="5298" priority="310">
      <formula>I22&lt;5%</formula>
    </cfRule>
    <cfRule type="expression" dxfId="5297" priority="311">
      <formula>I22&gt;15%</formula>
    </cfRule>
  </conditionalFormatting>
  <conditionalFormatting sqref="I6 I9 Q6 Q9 Y6 Y9">
    <cfRule type="cellIs" dxfId="5296" priority="304" operator="between">
      <formula>20</formula>
      <formula>24.99</formula>
    </cfRule>
    <cfRule type="cellIs" dxfId="5295" priority="305" operator="between">
      <formula>35.1</formula>
      <formula>40</formula>
    </cfRule>
    <cfRule type="expression" dxfId="5294" priority="306">
      <formula>I6&lt;20</formula>
    </cfRule>
    <cfRule type="expression" dxfId="5293" priority="307">
      <formula>I6&gt;40</formula>
    </cfRule>
  </conditionalFormatting>
  <conditionalFormatting sqref="I12 I14 Q12 Q14 Y12 Y14">
    <cfRule type="expression" dxfId="5292" priority="302" stopIfTrue="1">
      <formula>I12&gt;80</formula>
    </cfRule>
    <cfRule type="expression" dxfId="5291" priority="303" stopIfTrue="1">
      <formula>I12&lt;60</formula>
    </cfRule>
  </conditionalFormatting>
  <conditionalFormatting sqref="I20 Q20 Y20">
    <cfRule type="cellIs" dxfId="5290" priority="298" operator="between">
      <formula>30%</formula>
      <formula>39.99%</formula>
    </cfRule>
    <cfRule type="cellIs" dxfId="5289" priority="299" operator="between">
      <formula>50.01%</formula>
      <formula>60%</formula>
    </cfRule>
    <cfRule type="expression" dxfId="5288" priority="300">
      <formula>I20&lt;30%</formula>
    </cfRule>
    <cfRule type="expression" dxfId="5287" priority="301">
      <formula>I20&gt;60%</formula>
    </cfRule>
  </conditionalFormatting>
  <conditionalFormatting sqref="I18 Q18 Y18">
    <cfRule type="cellIs" dxfId="5286" priority="295" operator="between">
      <formula>16.1</formula>
      <formula>18</formula>
    </cfRule>
    <cfRule type="expression" dxfId="5285" priority="296">
      <formula>I18&lt;12</formula>
    </cfRule>
    <cfRule type="expression" dxfId="5284" priority="297">
      <formula>I18&gt;18</formula>
    </cfRule>
  </conditionalFormatting>
  <conditionalFormatting sqref="I23 Q23 Y23">
    <cfRule type="cellIs" dxfId="5283" priority="291" operator="between">
      <formula>0.5%</formula>
      <formula>0.599%</formula>
    </cfRule>
    <cfRule type="cellIs" dxfId="5282" priority="292" operator="between">
      <formula>1.41%</formula>
      <formula>1.5%</formula>
    </cfRule>
    <cfRule type="expression" dxfId="5281" priority="293">
      <formula>I23&lt;0.5%</formula>
    </cfRule>
    <cfRule type="expression" dxfId="5280" priority="294">
      <formula>I23&gt;1.5%</formula>
    </cfRule>
  </conditionalFormatting>
  <conditionalFormatting sqref="I56">
    <cfRule type="cellIs" dxfId="5279" priority="219" operator="between">
      <formula>130</formula>
      <formula>132.99</formula>
    </cfRule>
    <cfRule type="cellIs" dxfId="5278" priority="220" operator="between">
      <formula>147.1</formula>
      <formula>150</formula>
    </cfRule>
    <cfRule type="expression" dxfId="5277" priority="221">
      <formula>I56&lt;130</formula>
    </cfRule>
    <cfRule type="expression" dxfId="5276" priority="222">
      <formula>I56&gt;150</formula>
    </cfRule>
  </conditionalFormatting>
  <conditionalFormatting sqref="I57">
    <cfRule type="expression" dxfId="5275" priority="217">
      <formula>I57&lt;8</formula>
    </cfRule>
    <cfRule type="expression" dxfId="5274" priority="218">
      <formula>I57&gt;12</formula>
    </cfRule>
  </conditionalFormatting>
  <conditionalFormatting sqref="I59">
    <cfRule type="cellIs" dxfId="5273" priority="214" operator="between">
      <formula>1.6</formula>
      <formula>1.799</formula>
    </cfRule>
    <cfRule type="expression" dxfId="5272" priority="215">
      <formula>I59&lt;1.6</formula>
    </cfRule>
    <cfRule type="expression" dxfId="5271" priority="216">
      <formula>I59&gt;2.2</formula>
    </cfRule>
  </conditionalFormatting>
  <conditionalFormatting sqref="I61">
    <cfRule type="cellIs" dxfId="5270" priority="210" operator="between">
      <formula>15%</formula>
      <formula>16.99%</formula>
    </cfRule>
    <cfRule type="cellIs" dxfId="5269" priority="211" operator="between">
      <formula>27.01%</formula>
      <formula>30%</formula>
    </cfRule>
    <cfRule type="expression" dxfId="5268" priority="212">
      <formula>I61&lt;15%</formula>
    </cfRule>
    <cfRule type="expression" dxfId="5267" priority="213">
      <formula>I61&gt;30%</formula>
    </cfRule>
  </conditionalFormatting>
  <conditionalFormatting sqref="I62">
    <cfRule type="cellIs" dxfId="5266" priority="206" operator="between">
      <formula>5%</formula>
      <formula>6.99%</formula>
    </cfRule>
    <cfRule type="cellIs" dxfId="5265" priority="207" operator="between">
      <formula>12.99%</formula>
      <formula>15%</formula>
    </cfRule>
    <cfRule type="expression" dxfId="5264" priority="208">
      <formula>I62&lt;5%</formula>
    </cfRule>
    <cfRule type="expression" dxfId="5263" priority="209">
      <formula>I62&gt;15%</formula>
    </cfRule>
  </conditionalFormatting>
  <conditionalFormatting sqref="I46 I49">
    <cfRule type="cellIs" dxfId="5262" priority="202" operator="between">
      <formula>20</formula>
      <formula>24.99</formula>
    </cfRule>
    <cfRule type="cellIs" dxfId="5261" priority="203" operator="between">
      <formula>35.1</formula>
      <formula>40</formula>
    </cfRule>
    <cfRule type="expression" dxfId="5260" priority="204">
      <formula>I46&lt;20</formula>
    </cfRule>
    <cfRule type="expression" dxfId="5259" priority="205">
      <formula>I46&gt;40</formula>
    </cfRule>
  </conditionalFormatting>
  <conditionalFormatting sqref="I52 I54">
    <cfRule type="expression" dxfId="5258" priority="200" stopIfTrue="1">
      <formula>I52&gt;80</formula>
    </cfRule>
    <cfRule type="expression" dxfId="5257" priority="201" stopIfTrue="1">
      <formula>I52&lt;60</formula>
    </cfRule>
  </conditionalFormatting>
  <conditionalFormatting sqref="I60">
    <cfRule type="cellIs" dxfId="5256" priority="196" operator="between">
      <formula>30%</formula>
      <formula>39.99%</formula>
    </cfRule>
    <cfRule type="cellIs" dxfId="5255" priority="197" operator="between">
      <formula>50.01%</formula>
      <formula>60%</formula>
    </cfRule>
    <cfRule type="expression" dxfId="5254" priority="198">
      <formula>I60&lt;30%</formula>
    </cfRule>
    <cfRule type="expression" dxfId="5253" priority="199">
      <formula>I60&gt;60%</formula>
    </cfRule>
  </conditionalFormatting>
  <conditionalFormatting sqref="I58">
    <cfRule type="cellIs" dxfId="5252" priority="193" operator="between">
      <formula>16.1</formula>
      <formula>18</formula>
    </cfRule>
    <cfRule type="expression" dxfId="5251" priority="194">
      <formula>I58&lt;12</formula>
    </cfRule>
    <cfRule type="expression" dxfId="5250" priority="195">
      <formula>I58&gt;18</formula>
    </cfRule>
  </conditionalFormatting>
  <conditionalFormatting sqref="I63">
    <cfRule type="cellIs" dxfId="5249" priority="189" operator="between">
      <formula>0.5%</formula>
      <formula>0.599%</formula>
    </cfRule>
    <cfRule type="cellIs" dxfId="5248" priority="190" operator="between">
      <formula>1.41%</formula>
      <formula>1.5%</formula>
    </cfRule>
    <cfRule type="expression" dxfId="5247" priority="191">
      <formula>I63&lt;0.5%</formula>
    </cfRule>
    <cfRule type="expression" dxfId="5246" priority="192">
      <formula>I63&gt;1.5%</formula>
    </cfRule>
  </conditionalFormatting>
  <conditionalFormatting sqref="Q56">
    <cfRule type="cellIs" dxfId="5245" priority="185" operator="between">
      <formula>130</formula>
      <formula>132.99</formula>
    </cfRule>
    <cfRule type="cellIs" dxfId="5244" priority="186" operator="between">
      <formula>147.1</formula>
      <formula>150</formula>
    </cfRule>
    <cfRule type="expression" dxfId="5243" priority="187">
      <formula>Q56&lt;130</formula>
    </cfRule>
    <cfRule type="expression" dxfId="5242" priority="188">
      <formula>Q56&gt;150</formula>
    </cfRule>
  </conditionalFormatting>
  <conditionalFormatting sqref="Q57">
    <cfRule type="expression" dxfId="5241" priority="183">
      <formula>Q57&lt;8</formula>
    </cfRule>
    <cfRule type="expression" dxfId="5240" priority="184">
      <formula>Q57&gt;12</formula>
    </cfRule>
  </conditionalFormatting>
  <conditionalFormatting sqref="Q59">
    <cfRule type="cellIs" dxfId="5239" priority="180" operator="between">
      <formula>1.6</formula>
      <formula>1.799</formula>
    </cfRule>
    <cfRule type="expression" dxfId="5238" priority="181">
      <formula>Q59&lt;1.6</formula>
    </cfRule>
    <cfRule type="expression" dxfId="5237" priority="182">
      <formula>Q59&gt;2.2</formula>
    </cfRule>
  </conditionalFormatting>
  <conditionalFormatting sqref="Q61">
    <cfRule type="cellIs" dxfId="5236" priority="176" operator="between">
      <formula>15%</formula>
      <formula>16.99%</formula>
    </cfRule>
    <cfRule type="cellIs" dxfId="5235" priority="177" operator="between">
      <formula>27.01%</formula>
      <formula>30%</formula>
    </cfRule>
    <cfRule type="expression" dxfId="5234" priority="178">
      <formula>Q61&lt;15%</formula>
    </cfRule>
    <cfRule type="expression" dxfId="5233" priority="179">
      <formula>Q61&gt;30%</formula>
    </cfRule>
  </conditionalFormatting>
  <conditionalFormatting sqref="Q62">
    <cfRule type="cellIs" dxfId="5232" priority="172" operator="between">
      <formula>5%</formula>
      <formula>6.99%</formula>
    </cfRule>
    <cfRule type="cellIs" dxfId="5231" priority="173" operator="between">
      <formula>12.99%</formula>
      <formula>15%</formula>
    </cfRule>
    <cfRule type="expression" dxfId="5230" priority="174">
      <formula>Q62&lt;5%</formula>
    </cfRule>
    <cfRule type="expression" dxfId="5229" priority="175">
      <formula>Q62&gt;15%</formula>
    </cfRule>
  </conditionalFormatting>
  <conditionalFormatting sqref="Q46 Q49">
    <cfRule type="cellIs" dxfId="5228" priority="168" operator="between">
      <formula>20</formula>
      <formula>24.99</formula>
    </cfRule>
    <cfRule type="cellIs" dxfId="5227" priority="169" operator="between">
      <formula>35.1</formula>
      <formula>40</formula>
    </cfRule>
    <cfRule type="expression" dxfId="5226" priority="170">
      <formula>Q46&lt;20</formula>
    </cfRule>
    <cfRule type="expression" dxfId="5225" priority="171">
      <formula>Q46&gt;40</formula>
    </cfRule>
  </conditionalFormatting>
  <conditionalFormatting sqref="Q52 Q54">
    <cfRule type="expression" dxfId="5224" priority="166" stopIfTrue="1">
      <formula>Q52&gt;80</formula>
    </cfRule>
    <cfRule type="expression" dxfId="5223" priority="167" stopIfTrue="1">
      <formula>Q52&lt;60</formula>
    </cfRule>
  </conditionalFormatting>
  <conditionalFormatting sqref="Q60">
    <cfRule type="cellIs" dxfId="5222" priority="162" operator="between">
      <formula>30%</formula>
      <formula>39.99%</formula>
    </cfRule>
    <cfRule type="cellIs" dxfId="5221" priority="163" operator="between">
      <formula>50.01%</formula>
      <formula>60%</formula>
    </cfRule>
    <cfRule type="expression" dxfId="5220" priority="164">
      <formula>Q60&lt;30%</formula>
    </cfRule>
    <cfRule type="expression" dxfId="5219" priority="165">
      <formula>Q60&gt;60%</formula>
    </cfRule>
  </conditionalFormatting>
  <conditionalFormatting sqref="Q58">
    <cfRule type="cellIs" dxfId="5218" priority="159" operator="between">
      <formula>16.1</formula>
      <formula>18</formula>
    </cfRule>
    <cfRule type="expression" dxfId="5217" priority="160">
      <formula>Q58&lt;12</formula>
    </cfRule>
    <cfRule type="expression" dxfId="5216" priority="161">
      <formula>Q58&gt;18</formula>
    </cfRule>
  </conditionalFormatting>
  <conditionalFormatting sqref="Q63">
    <cfRule type="cellIs" dxfId="5215" priority="155" operator="between">
      <formula>0.5%</formula>
      <formula>0.599%</formula>
    </cfRule>
    <cfRule type="cellIs" dxfId="5214" priority="156" operator="between">
      <formula>1.41%</formula>
      <formula>1.5%</formula>
    </cfRule>
    <cfRule type="expression" dxfId="5213" priority="157">
      <formula>Q63&lt;0.5%</formula>
    </cfRule>
    <cfRule type="expression" dxfId="5212" priority="158">
      <formula>Q63&gt;1.5%</formula>
    </cfRule>
  </conditionalFormatting>
  <conditionalFormatting sqref="Y56">
    <cfRule type="cellIs" dxfId="5211" priority="151" operator="between">
      <formula>130</formula>
      <formula>132.99</formula>
    </cfRule>
    <cfRule type="cellIs" dxfId="5210" priority="152" operator="between">
      <formula>147.1</formula>
      <formula>150</formula>
    </cfRule>
    <cfRule type="expression" dxfId="5209" priority="153">
      <formula>Y56&lt;130</formula>
    </cfRule>
    <cfRule type="expression" dxfId="5208" priority="154">
      <formula>Y56&gt;150</formula>
    </cfRule>
  </conditionalFormatting>
  <conditionalFormatting sqref="Y57">
    <cfRule type="expression" dxfId="5207" priority="149">
      <formula>Y57&lt;8</formula>
    </cfRule>
    <cfRule type="expression" dxfId="5206" priority="150">
      <formula>Y57&gt;12</formula>
    </cfRule>
  </conditionalFormatting>
  <conditionalFormatting sqref="Y59">
    <cfRule type="cellIs" dxfId="5205" priority="146" operator="between">
      <formula>1.6</formula>
      <formula>1.799</formula>
    </cfRule>
    <cfRule type="expression" dxfId="5204" priority="147">
      <formula>Y59&lt;1.6</formula>
    </cfRule>
    <cfRule type="expression" dxfId="5203" priority="148">
      <formula>Y59&gt;2.2</formula>
    </cfRule>
  </conditionalFormatting>
  <conditionalFormatting sqref="Y61">
    <cfRule type="cellIs" dxfId="5202" priority="142" operator="between">
      <formula>15%</formula>
      <formula>16.99%</formula>
    </cfRule>
    <cfRule type="cellIs" dxfId="5201" priority="143" operator="between">
      <formula>27.01%</formula>
      <formula>30%</formula>
    </cfRule>
    <cfRule type="expression" dxfId="5200" priority="144">
      <formula>Y61&lt;15%</formula>
    </cfRule>
    <cfRule type="expression" dxfId="5199" priority="145">
      <formula>Y61&gt;30%</formula>
    </cfRule>
  </conditionalFormatting>
  <conditionalFormatting sqref="Y62">
    <cfRule type="cellIs" dxfId="5198" priority="138" operator="between">
      <formula>5%</formula>
      <formula>6.99%</formula>
    </cfRule>
    <cfRule type="cellIs" dxfId="5197" priority="139" operator="between">
      <formula>12.99%</formula>
      <formula>15%</formula>
    </cfRule>
    <cfRule type="expression" dxfId="5196" priority="140">
      <formula>Y62&lt;5%</formula>
    </cfRule>
    <cfRule type="expression" dxfId="5195" priority="141">
      <formula>Y62&gt;15%</formula>
    </cfRule>
  </conditionalFormatting>
  <conditionalFormatting sqref="Y46 Y49">
    <cfRule type="cellIs" dxfId="5194" priority="134" operator="between">
      <formula>20</formula>
      <formula>24.99</formula>
    </cfRule>
    <cfRule type="cellIs" dxfId="5193" priority="135" operator="between">
      <formula>35.1</formula>
      <formula>40</formula>
    </cfRule>
    <cfRule type="expression" dxfId="5192" priority="136">
      <formula>Y46&lt;20</formula>
    </cfRule>
    <cfRule type="expression" dxfId="5191" priority="137">
      <formula>Y46&gt;40</formula>
    </cfRule>
  </conditionalFormatting>
  <conditionalFormatting sqref="Y52 Y54">
    <cfRule type="expression" dxfId="5190" priority="132" stopIfTrue="1">
      <formula>Y52&gt;80</formula>
    </cfRule>
    <cfRule type="expression" dxfId="5189" priority="133" stopIfTrue="1">
      <formula>Y52&lt;60</formula>
    </cfRule>
  </conditionalFormatting>
  <conditionalFormatting sqref="Y60">
    <cfRule type="cellIs" dxfId="5188" priority="128" operator="between">
      <formula>30%</formula>
      <formula>39.99%</formula>
    </cfRule>
    <cfRule type="cellIs" dxfId="5187" priority="129" operator="between">
      <formula>50.01%</formula>
      <formula>60%</formula>
    </cfRule>
    <cfRule type="expression" dxfId="5186" priority="130">
      <formula>Y60&lt;30%</formula>
    </cfRule>
    <cfRule type="expression" dxfId="5185" priority="131">
      <formula>Y60&gt;60%</formula>
    </cfRule>
  </conditionalFormatting>
  <conditionalFormatting sqref="Y58">
    <cfRule type="cellIs" dxfId="5184" priority="125" operator="between">
      <formula>16.1</formula>
      <formula>18</formula>
    </cfRule>
    <cfRule type="expression" dxfId="5183" priority="126">
      <formula>Y58&lt;12</formula>
    </cfRule>
    <cfRule type="expression" dxfId="5182" priority="127">
      <formula>Y58&gt;18</formula>
    </cfRule>
  </conditionalFormatting>
  <conditionalFormatting sqref="Y63">
    <cfRule type="cellIs" dxfId="5181" priority="121" operator="between">
      <formula>0.5%</formula>
      <formula>0.599%</formula>
    </cfRule>
    <cfRule type="cellIs" dxfId="5180" priority="122" operator="between">
      <formula>1.41%</formula>
      <formula>1.5%</formula>
    </cfRule>
    <cfRule type="expression" dxfId="5179" priority="123">
      <formula>Y63&lt;0.5%</formula>
    </cfRule>
    <cfRule type="expression" dxfId="5178" priority="124">
      <formula>Y63&gt;1.5%</formula>
    </cfRule>
  </conditionalFormatting>
  <conditionalFormatting sqref="I64">
    <cfRule type="cellIs" dxfId="5177" priority="117" operator="between">
      <formula>5</formula>
      <formula>6.49</formula>
    </cfRule>
    <cfRule type="cellIs" dxfId="5176" priority="118" operator="between">
      <formula>8.51</formula>
      <formula>10</formula>
    </cfRule>
    <cfRule type="expression" dxfId="5175" priority="119">
      <formula>I64&lt;5</formula>
    </cfRule>
    <cfRule type="expression" dxfId="5174" priority="120">
      <formula>I64&gt;10</formula>
    </cfRule>
  </conditionalFormatting>
  <conditionalFormatting sqref="Q64">
    <cfRule type="cellIs" dxfId="5173" priority="109" operator="between">
      <formula>5</formula>
      <formula>6.49</formula>
    </cfRule>
    <cfRule type="cellIs" dxfId="5172" priority="110" operator="between">
      <formula>8.51</formula>
      <formula>10</formula>
    </cfRule>
    <cfRule type="expression" dxfId="5171" priority="111">
      <formula>Q64&lt;5</formula>
    </cfRule>
    <cfRule type="expression" dxfId="5170" priority="112">
      <formula>Q64&gt;10</formula>
    </cfRule>
  </conditionalFormatting>
  <conditionalFormatting sqref="Y64">
    <cfRule type="cellIs" dxfId="5169" priority="101" operator="between">
      <formula>5</formula>
      <formula>6.49</formula>
    </cfRule>
    <cfRule type="cellIs" dxfId="5168" priority="102" operator="between">
      <formula>8.51</formula>
      <formula>10</formula>
    </cfRule>
    <cfRule type="expression" dxfId="5167" priority="103">
      <formula>Y64&lt;5</formula>
    </cfRule>
    <cfRule type="expression" dxfId="5166" priority="104">
      <formula>Y64&gt;10</formula>
    </cfRule>
  </conditionalFormatting>
  <conditionalFormatting sqref="I24">
    <cfRule type="cellIs" dxfId="5165" priority="93" operator="between">
      <formula>5</formula>
      <formula>6.49</formula>
    </cfRule>
    <cfRule type="cellIs" dxfId="5164" priority="94" operator="between">
      <formula>8.51</formula>
      <formula>10</formula>
    </cfRule>
    <cfRule type="expression" dxfId="5163" priority="95">
      <formula>I24&lt;5</formula>
    </cfRule>
    <cfRule type="expression" dxfId="5162" priority="96">
      <formula>I24&gt;10</formula>
    </cfRule>
  </conditionalFormatting>
  <conditionalFormatting sqref="Q24">
    <cfRule type="cellIs" dxfId="5161" priority="85" operator="between">
      <formula>5</formula>
      <formula>6.49</formula>
    </cfRule>
    <cfRule type="cellIs" dxfId="5160" priority="86" operator="between">
      <formula>8.51</formula>
      <formula>10</formula>
    </cfRule>
    <cfRule type="expression" dxfId="5159" priority="87">
      <formula>Q24&lt;5</formula>
    </cfRule>
    <cfRule type="expression" dxfId="5158" priority="88">
      <formula>Q24&gt;10</formula>
    </cfRule>
  </conditionalFormatting>
  <conditionalFormatting sqref="Y24">
    <cfRule type="cellIs" dxfId="5157" priority="77" operator="between">
      <formula>5</formula>
      <formula>6.49</formula>
    </cfRule>
    <cfRule type="cellIs" dxfId="5156" priority="78" operator="between">
      <formula>8.51</formula>
      <formula>10</formula>
    </cfRule>
    <cfRule type="expression" dxfId="5155" priority="79">
      <formula>Y24&lt;5</formula>
    </cfRule>
    <cfRule type="expression" dxfId="5154" priority="80">
      <formula>Y24&gt;10</formula>
    </cfRule>
  </conditionalFormatting>
  <conditionalFormatting sqref="I70">
    <cfRule type="expression" dxfId="5153" priority="71">
      <formula>I70&lt;45</formula>
    </cfRule>
    <cfRule type="expression" dxfId="5152" priority="72">
      <formula>I70&gt;55</formula>
    </cfRule>
  </conditionalFormatting>
  <conditionalFormatting sqref="I71">
    <cfRule type="expression" dxfId="5151" priority="69">
      <formula>I71&lt;45</formula>
    </cfRule>
    <cfRule type="expression" dxfId="5150" priority="70">
      <formula>I71&gt;55</formula>
    </cfRule>
  </conditionalFormatting>
  <conditionalFormatting sqref="K70">
    <cfRule type="expression" dxfId="5149" priority="67">
      <formula>K70&lt;45</formula>
    </cfRule>
    <cfRule type="expression" dxfId="5148" priority="68">
      <formula>K70&gt;55</formula>
    </cfRule>
  </conditionalFormatting>
  <conditionalFormatting sqref="K71">
    <cfRule type="expression" dxfId="5147" priority="65">
      <formula>K71&lt;45</formula>
    </cfRule>
    <cfRule type="expression" dxfId="5146" priority="66">
      <formula>K71&gt;55</formula>
    </cfRule>
  </conditionalFormatting>
  <conditionalFormatting sqref="Q70">
    <cfRule type="expression" dxfId="5145" priority="63">
      <formula>Q70&lt;45</formula>
    </cfRule>
    <cfRule type="expression" dxfId="5144" priority="64">
      <formula>Q70&gt;55</formula>
    </cfRule>
  </conditionalFormatting>
  <conditionalFormatting sqref="Q71">
    <cfRule type="expression" dxfId="5143" priority="61">
      <formula>Q71&lt;45</formula>
    </cfRule>
    <cfRule type="expression" dxfId="5142" priority="62">
      <formula>Q71&gt;55</formula>
    </cfRule>
  </conditionalFormatting>
  <conditionalFormatting sqref="S70">
    <cfRule type="expression" dxfId="5141" priority="59">
      <formula>S70&lt;45</formula>
    </cfRule>
    <cfRule type="expression" dxfId="5140" priority="60">
      <formula>S70&gt;55</formula>
    </cfRule>
  </conditionalFormatting>
  <conditionalFormatting sqref="S71">
    <cfRule type="expression" dxfId="5139" priority="57">
      <formula>S71&lt;45</formula>
    </cfRule>
    <cfRule type="expression" dxfId="5138" priority="58">
      <formula>S71&gt;55</formula>
    </cfRule>
  </conditionalFormatting>
  <conditionalFormatting sqref="Y70">
    <cfRule type="expression" dxfId="5137" priority="55">
      <formula>Y70&lt;45</formula>
    </cfRule>
    <cfRule type="expression" dxfId="5136" priority="56">
      <formula>Y70&gt;55</formula>
    </cfRule>
  </conditionalFormatting>
  <conditionalFormatting sqref="Y71">
    <cfRule type="expression" dxfId="5135" priority="53">
      <formula>Y71&lt;45</formula>
    </cfRule>
    <cfRule type="expression" dxfId="5134" priority="54">
      <formula>Y71&gt;55</formula>
    </cfRule>
  </conditionalFormatting>
  <conditionalFormatting sqref="AA70">
    <cfRule type="expression" dxfId="5133" priority="51">
      <formula>AA70&lt;45</formula>
    </cfRule>
    <cfRule type="expression" dxfId="5132" priority="52">
      <formula>AA70&gt;55</formula>
    </cfRule>
  </conditionalFormatting>
  <conditionalFormatting sqref="AA71">
    <cfRule type="expression" dxfId="5131" priority="49">
      <formula>AA71&lt;45</formula>
    </cfRule>
    <cfRule type="expression" dxfId="5130" priority="50">
      <formula>AA71&gt;55</formula>
    </cfRule>
  </conditionalFormatting>
  <conditionalFormatting sqref="I30">
    <cfRule type="expression" dxfId="5129" priority="47">
      <formula>I30&lt;45</formula>
    </cfRule>
    <cfRule type="expression" dxfId="5128" priority="48">
      <formula>I30&gt;55</formula>
    </cfRule>
  </conditionalFormatting>
  <conditionalFormatting sqref="I31">
    <cfRule type="expression" dxfId="5127" priority="45">
      <formula>I31&lt;45</formula>
    </cfRule>
    <cfRule type="expression" dxfId="5126" priority="46">
      <formula>I31&gt;55</formula>
    </cfRule>
  </conditionalFormatting>
  <conditionalFormatting sqref="K30">
    <cfRule type="expression" dxfId="5125" priority="43">
      <formula>K30&lt;45</formula>
    </cfRule>
    <cfRule type="expression" dxfId="5124" priority="44">
      <formula>K30&gt;55</formula>
    </cfRule>
  </conditionalFormatting>
  <conditionalFormatting sqref="K31">
    <cfRule type="expression" dxfId="5123" priority="41">
      <formula>K31&lt;45</formula>
    </cfRule>
    <cfRule type="expression" dxfId="5122" priority="42">
      <formula>K31&gt;55</formula>
    </cfRule>
  </conditionalFormatting>
  <conditionalFormatting sqref="Q30">
    <cfRule type="expression" dxfId="5121" priority="39">
      <formula>Q30&lt;45</formula>
    </cfRule>
    <cfRule type="expression" dxfId="5120" priority="40">
      <formula>Q30&gt;55</formula>
    </cfRule>
  </conditionalFormatting>
  <conditionalFormatting sqref="Q31">
    <cfRule type="expression" dxfId="5119" priority="37">
      <formula>Q31&lt;45</formula>
    </cfRule>
    <cfRule type="expression" dxfId="5118" priority="38">
      <formula>Q31&gt;55</formula>
    </cfRule>
  </conditionalFormatting>
  <conditionalFormatting sqref="S30">
    <cfRule type="expression" dxfId="5117" priority="35">
      <formula>S30&lt;45</formula>
    </cfRule>
    <cfRule type="expression" dxfId="5116" priority="36">
      <formula>S30&gt;55</formula>
    </cfRule>
  </conditionalFormatting>
  <conditionalFormatting sqref="S31">
    <cfRule type="expression" dxfId="5115" priority="33">
      <formula>S31&lt;45</formula>
    </cfRule>
    <cfRule type="expression" dxfId="5114" priority="34">
      <formula>S31&gt;55</formula>
    </cfRule>
  </conditionalFormatting>
  <conditionalFormatting sqref="Y30">
    <cfRule type="expression" dxfId="5113" priority="31">
      <formula>Y30&lt;45</formula>
    </cfRule>
    <cfRule type="expression" dxfId="5112" priority="32">
      <formula>Y30&gt;55</formula>
    </cfRule>
  </conditionalFormatting>
  <conditionalFormatting sqref="Y31">
    <cfRule type="expression" dxfId="5111" priority="29">
      <formula>Y31&lt;45</formula>
    </cfRule>
    <cfRule type="expression" dxfId="5110" priority="30">
      <formula>Y31&gt;55</formula>
    </cfRule>
  </conditionalFormatting>
  <conditionalFormatting sqref="AA30">
    <cfRule type="expression" dxfId="5109" priority="27">
      <formula>AA30&lt;45</formula>
    </cfRule>
    <cfRule type="expression" dxfId="5108" priority="28">
      <formula>AA30&gt;55</formula>
    </cfRule>
  </conditionalFormatting>
  <conditionalFormatting sqref="AA31">
    <cfRule type="expression" dxfId="5107" priority="25">
      <formula>AA31&lt;45</formula>
    </cfRule>
    <cfRule type="expression" dxfId="5106" priority="26">
      <formula>AA31&gt;55</formula>
    </cfRule>
  </conditionalFormatting>
  <conditionalFormatting sqref="I65">
    <cfRule type="cellIs" dxfId="5105" priority="21" operator="between">
      <formula>1.8</formula>
      <formula>1.899</formula>
    </cfRule>
    <cfRule type="cellIs" dxfId="5104" priority="22" operator="between">
      <formula>2.11</formula>
      <formula>2.2</formula>
    </cfRule>
    <cfRule type="expression" dxfId="5103" priority="23">
      <formula>I65&lt;1.8</formula>
    </cfRule>
    <cfRule type="expression" dxfId="5102" priority="24">
      <formula>I65&gt;2.2</formula>
    </cfRule>
  </conditionalFormatting>
  <conditionalFormatting sqref="Q65">
    <cfRule type="cellIs" dxfId="5101" priority="17" operator="between">
      <formula>1.8</formula>
      <formula>1.899</formula>
    </cfRule>
    <cfRule type="cellIs" dxfId="5100" priority="18" operator="between">
      <formula>2.11</formula>
      <formula>2.2</formula>
    </cfRule>
    <cfRule type="expression" dxfId="5099" priority="19">
      <formula>Q65&lt;1.8</formula>
    </cfRule>
    <cfRule type="expression" dxfId="5098" priority="20">
      <formula>Q65&gt;2.2</formula>
    </cfRule>
  </conditionalFormatting>
  <conditionalFormatting sqref="Y65">
    <cfRule type="cellIs" dxfId="5097" priority="13" operator="between">
      <formula>1.8</formula>
      <formula>1.899</formula>
    </cfRule>
    <cfRule type="cellIs" dxfId="5096" priority="14" operator="between">
      <formula>2.11</formula>
      <formula>2.2</formula>
    </cfRule>
    <cfRule type="expression" dxfId="5095" priority="15">
      <formula>Y65&lt;1.8</formula>
    </cfRule>
    <cfRule type="expression" dxfId="5094" priority="16">
      <formula>Y65&gt;2.2</formula>
    </cfRule>
  </conditionalFormatting>
  <conditionalFormatting sqref="I25">
    <cfRule type="cellIs" dxfId="5093" priority="9" operator="between">
      <formula>1.8</formula>
      <formula>1.899</formula>
    </cfRule>
    <cfRule type="cellIs" dxfId="5092" priority="10" operator="between">
      <formula>2.11</formula>
      <formula>2.2</formula>
    </cfRule>
    <cfRule type="expression" dxfId="5091" priority="11">
      <formula>I25&lt;1.8</formula>
    </cfRule>
    <cfRule type="expression" dxfId="5090" priority="12">
      <formula>I25&gt;2.2</formula>
    </cfRule>
  </conditionalFormatting>
  <conditionalFormatting sqref="Q25">
    <cfRule type="cellIs" dxfId="5089" priority="5" operator="between">
      <formula>1.8</formula>
      <formula>1.899</formula>
    </cfRule>
    <cfRule type="cellIs" dxfId="5088" priority="6" operator="between">
      <formula>2.11</formula>
      <formula>2.2</formula>
    </cfRule>
    <cfRule type="expression" dxfId="5087" priority="7">
      <formula>Q25&lt;1.8</formula>
    </cfRule>
    <cfRule type="expression" dxfId="5086" priority="8">
      <formula>Q25&gt;2.2</formula>
    </cfRule>
  </conditionalFormatting>
  <conditionalFormatting sqref="Y25">
    <cfRule type="cellIs" dxfId="5085" priority="1" operator="between">
      <formula>1.8</formula>
      <formula>1.899</formula>
    </cfRule>
    <cfRule type="cellIs" dxfId="5084" priority="2" operator="between">
      <formula>2.11</formula>
      <formula>2.2</formula>
    </cfRule>
    <cfRule type="expression" dxfId="5083" priority="3">
      <formula>Y25&lt;1.8</formula>
    </cfRule>
    <cfRule type="expression" dxfId="5082" priority="4">
      <formula>Y25&gt;2.2</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5"/>
  <sheetViews>
    <sheetView view="pageBreakPreview" topLeftCell="A38" zoomScale="55" zoomScaleNormal="55" zoomScaleSheetLayoutView="55" workbookViewId="0">
      <selection activeCell="AE44" sqref="AE44:AE60"/>
    </sheetView>
  </sheetViews>
  <sheetFormatPr defaultRowHeight="15"/>
  <cols>
    <col min="1" max="1" width="2.75" style="253" customWidth="1"/>
    <col min="2" max="2" width="8.5" style="626" customWidth="1"/>
    <col min="3" max="3" width="3.625" style="626" customWidth="1"/>
    <col min="4" max="4" width="2.875" style="626" customWidth="1"/>
    <col min="5" max="5" width="6.25" style="626" customWidth="1"/>
    <col min="6" max="6" width="7.25" style="253" customWidth="1"/>
    <col min="7" max="7" width="14.875" style="627" customWidth="1"/>
    <col min="8" max="8" width="10.875" style="627" customWidth="1"/>
    <col min="9" max="9" width="7.875" style="253" customWidth="1"/>
    <col min="10" max="10" width="3.125" style="253" customWidth="1"/>
    <col min="11" max="11" width="8" style="253" customWidth="1"/>
    <col min="12" max="12" width="4.5" style="253" customWidth="1"/>
    <col min="13" max="13" width="7.125" style="254" customWidth="1"/>
    <col min="14" max="14" width="4.5" style="254" customWidth="1"/>
    <col min="15" max="15" width="7" style="254" customWidth="1"/>
    <col min="16" max="16" width="4.5" style="254" customWidth="1"/>
    <col min="17" max="17" width="7.375" style="253" customWidth="1"/>
    <col min="18" max="18" width="3.25" style="253" customWidth="1"/>
    <col min="19" max="19" width="8.125" style="253" customWidth="1"/>
    <col min="20" max="20" width="4.25" style="253" customWidth="1"/>
    <col min="21" max="21" width="7.5" style="254" customWidth="1"/>
    <col min="22" max="22" width="4.25" style="254" customWidth="1"/>
    <col min="23" max="23" width="7" style="254" customWidth="1"/>
    <col min="24" max="24" width="3.75" style="254" customWidth="1"/>
    <col min="25" max="25" width="7.625" style="253" customWidth="1"/>
    <col min="26" max="26" width="3.25" style="253" customWidth="1"/>
    <col min="27" max="27" width="7.75" style="253" customWidth="1"/>
    <col min="28" max="28" width="4.5" style="253" customWidth="1"/>
    <col min="29" max="29" width="7.25" style="254" customWidth="1"/>
    <col min="30" max="30" width="3.625" style="254" customWidth="1"/>
    <col min="31" max="31" width="7.125" style="254" customWidth="1"/>
    <col min="32" max="32" width="4.5" style="254" customWidth="1"/>
    <col min="33" max="33" width="12.25" style="19" customWidth="1"/>
    <col min="34" max="16384" width="9" style="19"/>
  </cols>
  <sheetData>
    <row r="1" spans="1:33" ht="28.5" customHeight="1">
      <c r="A1" s="2947" t="s">
        <v>131</v>
      </c>
      <c r="B1" s="2947"/>
      <c r="C1" s="2947"/>
      <c r="D1" s="2947"/>
      <c r="E1" s="2947"/>
      <c r="F1" s="2947"/>
      <c r="G1" s="2947"/>
      <c r="H1" s="2947"/>
      <c r="I1" s="2947"/>
      <c r="J1" s="2947"/>
      <c r="K1" s="2947"/>
      <c r="L1" s="2947"/>
      <c r="M1" s="2947"/>
      <c r="N1" s="2947"/>
      <c r="O1" s="2947"/>
      <c r="P1" s="2947"/>
      <c r="Q1" s="2947"/>
      <c r="R1" s="2947"/>
      <c r="S1" s="2947"/>
      <c r="T1" s="2947"/>
      <c r="U1" s="2947"/>
      <c r="V1" s="2947"/>
      <c r="W1" s="2947"/>
      <c r="X1" s="2947"/>
      <c r="Y1" s="2947"/>
      <c r="Z1" s="2947"/>
      <c r="AA1" s="935"/>
      <c r="AB1" s="935"/>
      <c r="AC1" s="971"/>
      <c r="AD1" s="971"/>
      <c r="AE1" s="971"/>
      <c r="AF1" s="971"/>
      <c r="AG1" s="935"/>
    </row>
    <row r="2" spans="1:33" ht="46.5" customHeight="1">
      <c r="A2" s="2865" t="s">
        <v>219</v>
      </c>
      <c r="B2" s="2865"/>
      <c r="C2" s="2865"/>
      <c r="D2" s="2865"/>
      <c r="E2" s="2865"/>
      <c r="F2" s="2865"/>
      <c r="G2" s="2865"/>
      <c r="H2" s="2865"/>
      <c r="I2" s="2865"/>
      <c r="J2" s="2865"/>
      <c r="K2" s="2865"/>
      <c r="L2" s="2865"/>
      <c r="M2" s="2865"/>
      <c r="N2" s="2865"/>
      <c r="O2" s="2865"/>
      <c r="P2" s="2865"/>
      <c r="Q2" s="2865"/>
      <c r="R2" s="2865"/>
      <c r="S2" s="2865"/>
      <c r="T2" s="2865"/>
      <c r="U2" s="2865"/>
      <c r="V2" s="2865"/>
      <c r="W2" s="2865"/>
      <c r="X2" s="2865"/>
      <c r="Y2" s="2865"/>
      <c r="Z2" s="2865"/>
      <c r="AA2" s="2948"/>
      <c r="AB2" s="2948"/>
      <c r="AC2" s="972"/>
      <c r="AD2" s="2861" t="s">
        <v>89</v>
      </c>
      <c r="AE2" s="2861"/>
      <c r="AF2" s="2863" t="s">
        <v>90</v>
      </c>
      <c r="AG2" s="2864"/>
    </row>
    <row r="3" spans="1:33" ht="45.75" customHeight="1">
      <c r="A3" s="994"/>
      <c r="B3" s="2900" t="s">
        <v>215</v>
      </c>
      <c r="C3" s="2900"/>
      <c r="D3" s="603"/>
      <c r="E3" s="604"/>
      <c r="F3" s="995"/>
      <c r="G3" s="996"/>
      <c r="H3" s="1930" t="str">
        <f>MENU!$AC$9</f>
        <v>Thứ 3,</v>
      </c>
      <c r="I3" s="2901" t="str">
        <f>MENU!$AD$9</f>
        <v>2024/01/09</v>
      </c>
      <c r="J3" s="2902"/>
      <c r="K3" s="2902"/>
      <c r="L3" s="2902"/>
      <c r="M3" s="967"/>
      <c r="N3" s="967"/>
      <c r="O3" s="967"/>
      <c r="P3" s="967"/>
      <c r="Q3" s="605"/>
      <c r="R3" s="998"/>
      <c r="S3" s="998"/>
      <c r="Z3" s="999"/>
      <c r="AA3" s="2949"/>
      <c r="AB3" s="2949"/>
      <c r="AC3" s="973"/>
      <c r="AD3" s="2862" t="str">
        <f>MENU!AE6</f>
        <v>Trang</v>
      </c>
      <c r="AE3" s="2862"/>
      <c r="AF3" s="2854" t="s">
        <v>11</v>
      </c>
      <c r="AG3" s="2855"/>
    </row>
    <row r="4" spans="1:33" s="54" customFormat="1" ht="51" customHeight="1">
      <c r="A4" s="2884" t="s">
        <v>7</v>
      </c>
      <c r="B4" s="2885" t="s">
        <v>77</v>
      </c>
      <c r="C4" s="2886"/>
      <c r="D4" s="2886"/>
      <c r="E4" s="2887"/>
      <c r="F4" s="2883" t="s">
        <v>125</v>
      </c>
      <c r="G4" s="2922" t="s">
        <v>1325</v>
      </c>
      <c r="H4" s="2920" t="s">
        <v>1317</v>
      </c>
      <c r="I4" s="2950">
        <v>0.30208333333333331</v>
      </c>
      <c r="J4" s="2907"/>
      <c r="K4" s="2907"/>
      <c r="L4" s="2908"/>
      <c r="M4" s="2856" t="s">
        <v>940</v>
      </c>
      <c r="N4" s="2857"/>
      <c r="O4" s="2857"/>
      <c r="P4" s="2858"/>
      <c r="Q4" s="2906">
        <v>0.46875</v>
      </c>
      <c r="R4" s="2907"/>
      <c r="S4" s="2907"/>
      <c r="T4" s="2908"/>
      <c r="U4" s="2856" t="s">
        <v>940</v>
      </c>
      <c r="V4" s="2857"/>
      <c r="W4" s="2857"/>
      <c r="X4" s="2858"/>
      <c r="Y4" s="2951">
        <v>0.63541666666666663</v>
      </c>
      <c r="Z4" s="2883"/>
      <c r="AA4" s="2883"/>
      <c r="AB4" s="2883"/>
      <c r="AC4" s="2856" t="s">
        <v>940</v>
      </c>
      <c r="AD4" s="2857"/>
      <c r="AE4" s="2857"/>
      <c r="AF4" s="2858"/>
      <c r="AG4" s="2939" t="s">
        <v>91</v>
      </c>
    </row>
    <row r="5" spans="1:33" s="54" customFormat="1" ht="51" customHeight="1">
      <c r="A5" s="2884"/>
      <c r="B5" s="2888"/>
      <c r="C5" s="2889"/>
      <c r="D5" s="2889"/>
      <c r="E5" s="2890"/>
      <c r="F5" s="2884"/>
      <c r="G5" s="2923"/>
      <c r="H5" s="2921"/>
      <c r="I5" s="2414" t="s">
        <v>130</v>
      </c>
      <c r="J5" s="2912" t="s">
        <v>1</v>
      </c>
      <c r="K5" s="2913"/>
      <c r="L5" s="2914"/>
      <c r="M5" s="938" t="s">
        <v>944</v>
      </c>
      <c r="N5" s="2859" t="s">
        <v>1</v>
      </c>
      <c r="O5" s="2859"/>
      <c r="P5" s="2860"/>
      <c r="Q5" s="981" t="s">
        <v>130</v>
      </c>
      <c r="R5" s="2912" t="s">
        <v>1</v>
      </c>
      <c r="S5" s="2913"/>
      <c r="T5" s="2914"/>
      <c r="U5" s="938" t="s">
        <v>944</v>
      </c>
      <c r="V5" s="2859" t="s">
        <v>1</v>
      </c>
      <c r="W5" s="2859"/>
      <c r="X5" s="2860"/>
      <c r="Y5" s="1000" t="s">
        <v>130</v>
      </c>
      <c r="Z5" s="2884" t="s">
        <v>1</v>
      </c>
      <c r="AA5" s="2884"/>
      <c r="AB5" s="2884"/>
      <c r="AC5" s="938" t="s">
        <v>944</v>
      </c>
      <c r="AD5" s="2859" t="s">
        <v>1</v>
      </c>
      <c r="AE5" s="2859"/>
      <c r="AF5" s="2860"/>
      <c r="AG5" s="2939"/>
    </row>
    <row r="6" spans="1:33" ht="51" customHeight="1">
      <c r="A6" s="2945">
        <v>1</v>
      </c>
      <c r="B6" s="2885" t="s">
        <v>132</v>
      </c>
      <c r="C6" s="2891"/>
      <c r="D6" s="2898" t="s">
        <v>231</v>
      </c>
      <c r="E6" s="2899"/>
      <c r="F6" s="49" t="s">
        <v>4</v>
      </c>
      <c r="G6" s="929" t="str">
        <f>'XM.FILE GOC'!$E$43</f>
        <v>60~80</v>
      </c>
      <c r="H6" s="2427" t="str">
        <f>'XM.FILE GOC'!$F$43</f>
        <v>(70±5)</v>
      </c>
      <c r="I6" s="2430">
        <f>'XM.FILE GOC'!I43</f>
        <v>70.092000000000013</v>
      </c>
      <c r="J6" s="61" t="s">
        <v>8</v>
      </c>
      <c r="K6" s="613">
        <f>'XM.FILE GOC'!L43</f>
        <v>0</v>
      </c>
      <c r="L6" s="614" t="s">
        <v>9</v>
      </c>
      <c r="M6" s="939"/>
      <c r="N6" s="940"/>
      <c r="O6" s="966"/>
      <c r="P6" s="941"/>
      <c r="Q6" s="1473">
        <f>'XM.FILE GOC'!P43</f>
        <v>69.2</v>
      </c>
      <c r="R6" s="61" t="s">
        <v>8</v>
      </c>
      <c r="S6" s="613">
        <f>'XM.FILE GOC'!S43</f>
        <v>2.1543999999999923</v>
      </c>
      <c r="T6" s="614" t="s">
        <v>9</v>
      </c>
      <c r="U6" s="939">
        <v>72.099999999999994</v>
      </c>
      <c r="V6" s="940"/>
      <c r="W6" s="966"/>
      <c r="X6" s="941"/>
      <c r="Y6" s="1473">
        <f>'XM.FILE GOC'!W43</f>
        <v>73.2</v>
      </c>
      <c r="Z6" s="61" t="s">
        <v>8</v>
      </c>
      <c r="AA6" s="613">
        <f>'XM.FILE GOC'!Z43</f>
        <v>0</v>
      </c>
      <c r="AB6" s="614" t="s">
        <v>9</v>
      </c>
      <c r="AC6" s="939"/>
      <c r="AD6" s="940"/>
      <c r="AE6" s="966"/>
      <c r="AF6" s="941"/>
      <c r="AG6" s="75" t="s">
        <v>12</v>
      </c>
    </row>
    <row r="7" spans="1:33" ht="51" customHeight="1">
      <c r="A7" s="2946"/>
      <c r="B7" s="2952"/>
      <c r="C7" s="2893"/>
      <c r="D7" s="2898" t="s">
        <v>232</v>
      </c>
      <c r="E7" s="2899"/>
      <c r="F7" s="273"/>
      <c r="G7" s="929" t="s">
        <v>950</v>
      </c>
      <c r="H7" s="2427"/>
      <c r="I7" s="2416"/>
      <c r="J7" s="61"/>
      <c r="K7" s="985">
        <f>K6/25*7.5</f>
        <v>0</v>
      </c>
      <c r="L7" s="614" t="s">
        <v>10</v>
      </c>
      <c r="M7" s="939"/>
      <c r="N7" s="942"/>
      <c r="O7" s="1684"/>
      <c r="P7" s="943"/>
      <c r="Q7" s="1783"/>
      <c r="R7" s="61"/>
      <c r="S7" s="985">
        <f>S6/25*7.5</f>
        <v>0.64631999999999779</v>
      </c>
      <c r="T7" s="614" t="s">
        <v>10</v>
      </c>
      <c r="U7" s="939"/>
      <c r="V7" s="942"/>
      <c r="W7" s="1684"/>
      <c r="X7" s="943"/>
      <c r="Y7" s="1783"/>
      <c r="Z7" s="61"/>
      <c r="AA7" s="985">
        <f>AA6/25*7.5</f>
        <v>0</v>
      </c>
      <c r="AB7" s="614" t="s">
        <v>10</v>
      </c>
      <c r="AC7" s="939"/>
      <c r="AD7" s="942"/>
      <c r="AE7" s="1684"/>
      <c r="AF7" s="943"/>
      <c r="AG7" s="281"/>
    </row>
    <row r="8" spans="1:33" ht="51" customHeight="1">
      <c r="A8" s="2945">
        <v>2</v>
      </c>
      <c r="B8" s="2885" t="s">
        <v>133</v>
      </c>
      <c r="C8" s="2891"/>
      <c r="D8" s="2898" t="s">
        <v>231</v>
      </c>
      <c r="E8" s="2899"/>
      <c r="F8" s="49" t="s">
        <v>4</v>
      </c>
      <c r="G8" s="929" t="str">
        <f>'XM.FILE GOC'!$E$45</f>
        <v>60~80</v>
      </c>
      <c r="H8" s="2427" t="str">
        <f>'XM.FILE GOC'!$F$45</f>
        <v>(70±5)</v>
      </c>
      <c r="I8" s="2430">
        <f>'XM.FILE GOC'!I45</f>
        <v>69.5</v>
      </c>
      <c r="J8" s="61" t="s">
        <v>8</v>
      </c>
      <c r="K8" s="613">
        <f>'XM.FILE GOC'!L45</f>
        <v>1.6525000000000001</v>
      </c>
      <c r="L8" s="614" t="s">
        <v>9</v>
      </c>
      <c r="M8" s="939">
        <v>72.5</v>
      </c>
      <c r="N8" s="940"/>
      <c r="O8" s="1685"/>
      <c r="P8" s="941"/>
      <c r="Q8" s="1473">
        <f>'XM.FILE GOC'!P45</f>
        <v>73.2</v>
      </c>
      <c r="R8" s="61" t="s">
        <v>8</v>
      </c>
      <c r="S8" s="613">
        <f>'XM.FILE GOC'!S45</f>
        <v>0</v>
      </c>
      <c r="T8" s="614" t="s">
        <v>9</v>
      </c>
      <c r="U8" s="939"/>
      <c r="V8" s="940"/>
      <c r="W8" s="1685"/>
      <c r="X8" s="941"/>
      <c r="Y8" s="1473">
        <f>'XM.FILE GOC'!W45</f>
        <v>72.039000000000001</v>
      </c>
      <c r="Z8" s="61" t="s">
        <v>8</v>
      </c>
      <c r="AA8" s="613">
        <f>'XM.FILE GOC'!Z45</f>
        <v>0</v>
      </c>
      <c r="AB8" s="614" t="s">
        <v>9</v>
      </c>
      <c r="AC8" s="939"/>
      <c r="AD8" s="940"/>
      <c r="AE8" s="1685"/>
      <c r="AF8" s="941"/>
      <c r="AG8" s="75" t="s">
        <v>12</v>
      </c>
    </row>
    <row r="9" spans="1:33" ht="51" customHeight="1">
      <c r="A9" s="2946"/>
      <c r="B9" s="2952"/>
      <c r="C9" s="2893"/>
      <c r="D9" s="2898" t="s">
        <v>232</v>
      </c>
      <c r="E9" s="2899"/>
      <c r="F9" s="273"/>
      <c r="G9" s="929" t="s">
        <v>950</v>
      </c>
      <c r="H9" s="2427"/>
      <c r="I9" s="2416"/>
      <c r="J9" s="61"/>
      <c r="K9" s="985">
        <f>K8/25*7.5</f>
        <v>0.49575000000000002</v>
      </c>
      <c r="L9" s="614" t="s">
        <v>10</v>
      </c>
      <c r="M9" s="939"/>
      <c r="N9" s="942"/>
      <c r="O9" s="1684"/>
      <c r="P9" s="943"/>
      <c r="Q9" s="1783"/>
      <c r="R9" s="61"/>
      <c r="S9" s="985">
        <f>S8/25*7.5</f>
        <v>0</v>
      </c>
      <c r="T9" s="614" t="s">
        <v>10</v>
      </c>
      <c r="U9" s="939"/>
      <c r="V9" s="942"/>
      <c r="W9" s="1684"/>
      <c r="X9" s="943"/>
      <c r="Y9" s="1783"/>
      <c r="Z9" s="61"/>
      <c r="AA9" s="985">
        <f>AA8/25*7.5</f>
        <v>0</v>
      </c>
      <c r="AB9" s="614" t="s">
        <v>10</v>
      </c>
      <c r="AC9" s="939"/>
      <c r="AD9" s="942"/>
      <c r="AE9" s="1684"/>
      <c r="AF9" s="943"/>
      <c r="AG9" s="281"/>
    </row>
    <row r="10" spans="1:33" ht="51" customHeight="1">
      <c r="A10" s="2945">
        <v>3</v>
      </c>
      <c r="B10" s="2896" t="s">
        <v>134</v>
      </c>
      <c r="C10" s="2897"/>
      <c r="D10" s="2871" t="s">
        <v>233</v>
      </c>
      <c r="E10" s="2873" t="s">
        <v>233</v>
      </c>
      <c r="F10" s="49" t="s">
        <v>4</v>
      </c>
      <c r="G10" s="929" t="str">
        <f>'XM.FILE GOC'!$E$47</f>
        <v>50~70</v>
      </c>
      <c r="H10" s="2427" t="str">
        <f>'XM.FILE GOC'!$F$47</f>
        <v>(60±10)</v>
      </c>
      <c r="I10" s="2430">
        <f>'XM.FILE GOC'!I47</f>
        <v>56.594999999999999</v>
      </c>
      <c r="J10" s="61" t="s">
        <v>8</v>
      </c>
      <c r="K10" s="613">
        <f>'XM.FILE GOC'!L47</f>
        <v>3.9361800000000011</v>
      </c>
      <c r="L10" s="614" t="s">
        <v>9</v>
      </c>
      <c r="M10" s="939">
        <v>61.5</v>
      </c>
      <c r="N10" s="940"/>
      <c r="O10" s="1685"/>
      <c r="P10" s="941"/>
      <c r="Q10" s="1473">
        <f>'XM.FILE GOC'!P47</f>
        <v>62.8</v>
      </c>
      <c r="R10" s="61" t="s">
        <v>8</v>
      </c>
      <c r="S10" s="613">
        <f>'XM.FILE GOC'!S47</f>
        <v>0</v>
      </c>
      <c r="T10" s="614" t="s">
        <v>9</v>
      </c>
      <c r="U10" s="939"/>
      <c r="V10" s="940"/>
      <c r="W10" s="1685"/>
      <c r="X10" s="941"/>
      <c r="Y10" s="1473">
        <f>'XM.FILE GOC'!W47</f>
        <v>61.215000000000003</v>
      </c>
      <c r="Z10" s="61" t="s">
        <v>8</v>
      </c>
      <c r="AA10" s="613">
        <f>'XM.FILE GOC'!Z47</f>
        <v>0</v>
      </c>
      <c r="AB10" s="614" t="s">
        <v>9</v>
      </c>
      <c r="AC10" s="939"/>
      <c r="AD10" s="940"/>
      <c r="AE10" s="1685"/>
      <c r="AF10" s="941"/>
      <c r="AG10" s="75" t="s">
        <v>12</v>
      </c>
    </row>
    <row r="11" spans="1:33" ht="51" customHeight="1">
      <c r="A11" s="2953"/>
      <c r="B11" s="2897"/>
      <c r="C11" s="2897"/>
      <c r="D11" s="2871" t="s">
        <v>234</v>
      </c>
      <c r="E11" s="2873" t="s">
        <v>234</v>
      </c>
      <c r="F11" s="273"/>
      <c r="G11" s="929" t="s">
        <v>991</v>
      </c>
      <c r="H11" s="2427"/>
      <c r="I11" s="2416"/>
      <c r="J11" s="61"/>
      <c r="K11" s="985">
        <f>K10/25*7</f>
        <v>1.1021304000000003</v>
      </c>
      <c r="L11" s="614" t="s">
        <v>10</v>
      </c>
      <c r="M11" s="939"/>
      <c r="N11" s="942"/>
      <c r="O11" s="1684"/>
      <c r="P11" s="943"/>
      <c r="Q11" s="1783"/>
      <c r="R11" s="61"/>
      <c r="S11" s="985">
        <f>S10/25*7</f>
        <v>0</v>
      </c>
      <c r="T11" s="614" t="s">
        <v>10</v>
      </c>
      <c r="U11" s="939"/>
      <c r="V11" s="942"/>
      <c r="W11" s="1684"/>
      <c r="X11" s="943"/>
      <c r="Y11" s="1783"/>
      <c r="Z11" s="61"/>
      <c r="AA11" s="985">
        <f>AA10/25*7</f>
        <v>0</v>
      </c>
      <c r="AB11" s="614" t="s">
        <v>10</v>
      </c>
      <c r="AC11" s="939"/>
      <c r="AD11" s="942"/>
      <c r="AE11" s="1684"/>
      <c r="AF11" s="943"/>
      <c r="AG11" s="20"/>
    </row>
    <row r="12" spans="1:33" ht="51" customHeight="1">
      <c r="A12" s="2945">
        <v>4</v>
      </c>
      <c r="B12" s="2896" t="s">
        <v>135</v>
      </c>
      <c r="C12" s="2897"/>
      <c r="D12" s="2871" t="s">
        <v>233</v>
      </c>
      <c r="E12" s="2873" t="s">
        <v>233</v>
      </c>
      <c r="F12" s="49" t="s">
        <v>4</v>
      </c>
      <c r="G12" s="929" t="str">
        <f>'XM.FILE GOC'!$E$49</f>
        <v>50~70</v>
      </c>
      <c r="H12" s="2427" t="str">
        <f>'XM.FILE GOC'!$F$49</f>
        <v>(60±10)</v>
      </c>
      <c r="I12" s="2430">
        <f>'XM.FILE GOC'!I49</f>
        <v>56.826000000000008</v>
      </c>
      <c r="J12" s="61" t="s">
        <v>8</v>
      </c>
      <c r="K12" s="613">
        <f>'XM.FILE GOC'!L49</f>
        <v>4.6308659999999895</v>
      </c>
      <c r="L12" s="614" t="s">
        <v>9</v>
      </c>
      <c r="M12" s="939">
        <v>57.6</v>
      </c>
      <c r="N12" s="940" t="s">
        <v>8</v>
      </c>
      <c r="O12" s="1685">
        <f>('XM.FILE GOC'!$G$49-M12)*1459/1000</f>
        <v>3.501599999999998</v>
      </c>
      <c r="P12" s="941" t="s">
        <v>9</v>
      </c>
      <c r="Q12" s="1473">
        <f>'XM.FILE GOC'!P49</f>
        <v>58.211999999999996</v>
      </c>
      <c r="R12" s="61" t="s">
        <v>8</v>
      </c>
      <c r="S12" s="613">
        <f>'XM.FILE GOC'!S49</f>
        <v>2.6086920000000053</v>
      </c>
      <c r="T12" s="614" t="s">
        <v>9</v>
      </c>
      <c r="U12" s="939">
        <v>62.5</v>
      </c>
      <c r="V12" s="940"/>
      <c r="W12" s="1685"/>
      <c r="X12" s="941"/>
      <c r="Y12" s="1473">
        <f>'XM.FILE GOC'!W49</f>
        <v>64.218000000000004</v>
      </c>
      <c r="Z12" s="61" t="s">
        <v>8</v>
      </c>
      <c r="AA12" s="613">
        <f>'XM.FILE GOC'!Z49</f>
        <v>0</v>
      </c>
      <c r="AB12" s="614" t="s">
        <v>9</v>
      </c>
      <c r="AC12" s="939"/>
      <c r="AD12" s="940"/>
      <c r="AE12" s="1685"/>
      <c r="AF12" s="941"/>
      <c r="AG12" s="75" t="s">
        <v>12</v>
      </c>
    </row>
    <row r="13" spans="1:33" ht="51" customHeight="1">
      <c r="A13" s="2953"/>
      <c r="B13" s="2897"/>
      <c r="C13" s="2897"/>
      <c r="D13" s="2871" t="s">
        <v>234</v>
      </c>
      <c r="E13" s="2873" t="s">
        <v>234</v>
      </c>
      <c r="F13" s="273"/>
      <c r="G13" s="929" t="s">
        <v>991</v>
      </c>
      <c r="H13" s="2427"/>
      <c r="I13" s="2416"/>
      <c r="J13" s="61"/>
      <c r="K13" s="985">
        <f>K12/25*7</f>
        <v>1.2966424799999972</v>
      </c>
      <c r="L13" s="614" t="s">
        <v>10</v>
      </c>
      <c r="M13" s="939"/>
      <c r="N13" s="942" t="s">
        <v>8</v>
      </c>
      <c r="O13" s="1684">
        <f>O12/25*7</f>
        <v>0.98044799999999932</v>
      </c>
      <c r="P13" s="943" t="s">
        <v>10</v>
      </c>
      <c r="Q13" s="1783"/>
      <c r="R13" s="61"/>
      <c r="S13" s="985">
        <f>S12/25*7</f>
        <v>0.73043376000000149</v>
      </c>
      <c r="T13" s="614" t="s">
        <v>10</v>
      </c>
      <c r="U13" s="939"/>
      <c r="V13" s="942"/>
      <c r="W13" s="1684"/>
      <c r="X13" s="943"/>
      <c r="Y13" s="1783"/>
      <c r="Z13" s="61"/>
      <c r="AA13" s="985">
        <f>AA12/25*7</f>
        <v>0</v>
      </c>
      <c r="AB13" s="614" t="s">
        <v>10</v>
      </c>
      <c r="AC13" s="939"/>
      <c r="AD13" s="942"/>
      <c r="AE13" s="1684"/>
      <c r="AF13" s="943"/>
      <c r="AG13" s="20"/>
    </row>
    <row r="14" spans="1:33" ht="51" customHeight="1">
      <c r="A14" s="49">
        <v>5</v>
      </c>
      <c r="B14" s="2871" t="s">
        <v>80</v>
      </c>
      <c r="C14" s="2872"/>
      <c r="D14" s="2872"/>
      <c r="E14" s="2873"/>
      <c r="F14" s="49" t="s">
        <v>4</v>
      </c>
      <c r="G14" s="929" t="str">
        <f>'XM.FILE GOC'!$E$51</f>
        <v>130 - 150</v>
      </c>
      <c r="H14" s="2427" t="str">
        <f>'XM.FILE GOC'!$F$51</f>
        <v>(140±7)</v>
      </c>
      <c r="I14" s="2419">
        <f>'XM.FILE GOC'!I51</f>
        <v>144.4</v>
      </c>
      <c r="J14" s="61" t="s">
        <v>8</v>
      </c>
      <c r="K14" s="613">
        <f>'XM.FILE GOC'!L51</f>
        <v>0</v>
      </c>
      <c r="L14" s="614" t="s">
        <v>9</v>
      </c>
      <c r="M14" s="939"/>
      <c r="N14" s="940"/>
      <c r="O14" s="966"/>
      <c r="P14" s="941"/>
      <c r="Q14" s="1862">
        <f>'XM.FILE GOC'!P51</f>
        <v>145.6</v>
      </c>
      <c r="R14" s="61" t="s">
        <v>8</v>
      </c>
      <c r="S14" s="613">
        <f>'XM.FILE GOC'!S51</f>
        <v>0</v>
      </c>
      <c r="T14" s="614" t="s">
        <v>9</v>
      </c>
      <c r="U14" s="939"/>
      <c r="V14" s="940"/>
      <c r="W14" s="966"/>
      <c r="X14" s="941"/>
      <c r="Y14" s="1501">
        <f>'XM.FILE GOC'!W51</f>
        <v>145.6</v>
      </c>
      <c r="Z14" s="61" t="s">
        <v>8</v>
      </c>
      <c r="AA14" s="613">
        <f>'XM.FILE GOC'!Z51</f>
        <v>0</v>
      </c>
      <c r="AB14" s="614" t="s">
        <v>9</v>
      </c>
      <c r="AC14" s="939"/>
      <c r="AD14" s="940"/>
      <c r="AE14" s="966"/>
      <c r="AF14" s="941"/>
      <c r="AG14" s="75" t="s">
        <v>13</v>
      </c>
    </row>
    <row r="15" spans="1:33" ht="51" customHeight="1">
      <c r="A15" s="49">
        <v>6</v>
      </c>
      <c r="B15" s="2871" t="s">
        <v>58</v>
      </c>
      <c r="C15" s="2872"/>
      <c r="D15" s="2872"/>
      <c r="E15" s="2873"/>
      <c r="F15" s="49" t="s">
        <v>4</v>
      </c>
      <c r="G15" s="929" t="str">
        <f>'XM.FILE GOC'!$E$52</f>
        <v>8~12</v>
      </c>
      <c r="H15" s="2427" t="str">
        <f>'XM.FILE GOC'!$F$52</f>
        <v>(10±2)</v>
      </c>
      <c r="I15" s="2421">
        <f>'XM.FILE GOC'!I52</f>
        <v>11.57</v>
      </c>
      <c r="J15" s="982" t="s">
        <v>8</v>
      </c>
      <c r="K15" s="983">
        <f>'XM.FILE GOC'!L52</f>
        <v>0</v>
      </c>
      <c r="L15" s="18" t="s">
        <v>9</v>
      </c>
      <c r="M15" s="939"/>
      <c r="N15" s="940"/>
      <c r="O15" s="966"/>
      <c r="P15" s="941"/>
      <c r="Q15" s="1838">
        <f>'XM.FILE GOC'!P52</f>
        <v>11.18</v>
      </c>
      <c r="R15" s="61" t="s">
        <v>8</v>
      </c>
      <c r="S15" s="613">
        <f>'XM.FILE GOC'!S52</f>
        <v>0</v>
      </c>
      <c r="T15" s="18" t="s">
        <v>9</v>
      </c>
      <c r="U15" s="939"/>
      <c r="V15" s="940"/>
      <c r="W15" s="966"/>
      <c r="X15" s="941"/>
      <c r="Y15" s="621">
        <f>'XM.FILE GOC'!W52</f>
        <v>11.18</v>
      </c>
      <c r="Z15" s="982" t="s">
        <v>8</v>
      </c>
      <c r="AA15" s="983">
        <f>'XM.FILE GOC'!Z52</f>
        <v>0</v>
      </c>
      <c r="AB15" s="18" t="s">
        <v>9</v>
      </c>
      <c r="AC15" s="939"/>
      <c r="AD15" s="940"/>
      <c r="AE15" s="966"/>
      <c r="AF15" s="941"/>
      <c r="AG15" s="75" t="s">
        <v>14</v>
      </c>
    </row>
    <row r="16" spans="1:33" ht="51" customHeight="1">
      <c r="A16" s="2945">
        <v>7</v>
      </c>
      <c r="B16" s="2885" t="s">
        <v>947</v>
      </c>
      <c r="C16" s="2886"/>
      <c r="D16" s="2886"/>
      <c r="E16" s="2887"/>
      <c r="F16" s="49" t="s">
        <v>3</v>
      </c>
      <c r="G16" s="929" t="str">
        <f>'XM.FILE GOC'!$E$53</f>
        <v xml:space="preserve">6~10 </v>
      </c>
      <c r="H16" s="2427" t="str">
        <f>'XM.FILE GOC'!$F$53</f>
        <v>(7±1)</v>
      </c>
      <c r="I16" s="2421">
        <f>'XM.FILE GOC'!I53</f>
        <v>6.96183</v>
      </c>
      <c r="J16" s="982" t="s">
        <v>8</v>
      </c>
      <c r="K16" s="983">
        <f>'XM.FILE GOC'!L53</f>
        <v>0.21947750000000021</v>
      </c>
      <c r="L16" s="984"/>
      <c r="M16" s="939"/>
      <c r="N16" s="942"/>
      <c r="O16" s="966"/>
      <c r="P16" s="943"/>
      <c r="Q16" s="1838">
        <f>'XM.FILE GOC'!P53</f>
        <v>7.0042</v>
      </c>
      <c r="R16" s="982" t="s">
        <v>8</v>
      </c>
      <c r="S16" s="983">
        <f>'XM.FILE GOC'!S53</f>
        <v>0</v>
      </c>
      <c r="T16" s="984" t="s">
        <v>10</v>
      </c>
      <c r="U16" s="939"/>
      <c r="V16" s="942"/>
      <c r="W16" s="966"/>
      <c r="X16" s="943"/>
      <c r="Y16" s="621">
        <f>'XM.FILE GOC'!W53</f>
        <v>6.6652399999999998</v>
      </c>
      <c r="Z16" s="61" t="s">
        <v>8</v>
      </c>
      <c r="AA16" s="613">
        <f>'XM.FILE GOC'!Z53</f>
        <v>1.9248700000000012</v>
      </c>
      <c r="AB16" s="614" t="s">
        <v>10</v>
      </c>
      <c r="AC16" s="939">
        <v>7.1</v>
      </c>
      <c r="AD16" s="942"/>
      <c r="AE16" s="966"/>
      <c r="AF16" s="943"/>
      <c r="AG16" s="75"/>
    </row>
    <row r="17" spans="1:33" ht="51" customHeight="1">
      <c r="A17" s="2953"/>
      <c r="B17" s="2888"/>
      <c r="C17" s="2889"/>
      <c r="D17" s="2889"/>
      <c r="E17" s="2890"/>
      <c r="F17" s="49" t="s">
        <v>5</v>
      </c>
      <c r="G17" s="929" t="str">
        <f>'XM.FILE GOC'!$E$54</f>
        <v>2~2.5</v>
      </c>
      <c r="H17" s="2427" t="str">
        <f>'XM.FILE GOC'!$F$54</f>
        <v>(2.3±0.1 )</v>
      </c>
      <c r="I17" s="2421">
        <f>'XM.FILE GOC'!I54</f>
        <v>2.35</v>
      </c>
      <c r="J17" s="986"/>
      <c r="K17" s="983">
        <f>'XM.FILE GOC'!L54</f>
        <v>0</v>
      </c>
      <c r="L17" s="987"/>
      <c r="M17" s="939"/>
      <c r="N17" s="944"/>
      <c r="O17" s="968"/>
      <c r="P17" s="945"/>
      <c r="Q17" s="1838">
        <f>'XM.FILE GOC'!P54</f>
        <v>2.2999999999999998</v>
      </c>
      <c r="R17" s="986"/>
      <c r="S17" s="983">
        <f>'XM.FILE GOC'!S54</f>
        <v>0</v>
      </c>
      <c r="T17" s="987"/>
      <c r="U17" s="939"/>
      <c r="V17" s="944"/>
      <c r="W17" s="968"/>
      <c r="X17" s="945"/>
      <c r="Y17" s="621">
        <f>'XM.FILE GOC'!W54</f>
        <v>2.2999999999999998</v>
      </c>
      <c r="Z17" s="986"/>
      <c r="AA17" s="983">
        <f>'XM.FILE GOC'!Z54</f>
        <v>0</v>
      </c>
      <c r="AB17" s="614"/>
      <c r="AC17" s="939"/>
      <c r="AD17" s="944"/>
      <c r="AE17" s="968"/>
      <c r="AF17" s="945"/>
      <c r="AG17" s="20"/>
    </row>
    <row r="18" spans="1:33" ht="51" customHeight="1">
      <c r="A18" s="49">
        <v>8</v>
      </c>
      <c r="B18" s="2871" t="s">
        <v>59</v>
      </c>
      <c r="C18" s="2872"/>
      <c r="D18" s="2872"/>
      <c r="E18" s="2873"/>
      <c r="F18" s="991" t="s">
        <v>6</v>
      </c>
      <c r="G18" s="929" t="str">
        <f>'XM.FILE GOC'!$E$55</f>
        <v xml:space="preserve">40~50 </v>
      </c>
      <c r="H18" s="2427" t="str">
        <f>'XM.FILE GOC'!$F$55</f>
        <v>(45±5)</v>
      </c>
      <c r="I18" s="2422">
        <f>'XM.FILE GOC'!I55</f>
        <v>0.43343749999999998</v>
      </c>
      <c r="J18" s="61" t="s">
        <v>8</v>
      </c>
      <c r="K18" s="613">
        <f>'XM.FILE GOC'!L55</f>
        <v>35.145625000000074</v>
      </c>
      <c r="L18" s="614" t="s">
        <v>10</v>
      </c>
      <c r="M18" s="946">
        <v>0.45</v>
      </c>
      <c r="N18" s="940"/>
      <c r="O18" s="966"/>
      <c r="P18" s="941"/>
      <c r="Q18" s="1843">
        <f>'XM.FILE GOC'!P55</f>
        <v>0.45624999999999999</v>
      </c>
      <c r="R18" s="61" t="s">
        <v>8</v>
      </c>
      <c r="S18" s="613">
        <f>'XM.FILE GOC'!S55</f>
        <v>0</v>
      </c>
      <c r="T18" s="614" t="s">
        <v>10</v>
      </c>
      <c r="U18" s="946"/>
      <c r="V18" s="940"/>
      <c r="W18" s="966"/>
      <c r="X18" s="941"/>
      <c r="Y18" s="310">
        <f>'XM.FILE GOC'!W55</f>
        <v>0.47335937500000008</v>
      </c>
      <c r="Z18" s="61" t="s">
        <v>8</v>
      </c>
      <c r="AA18" s="613">
        <f>'XM.FILE GOC'!Z55</f>
        <v>0</v>
      </c>
      <c r="AB18" s="614" t="s">
        <v>10</v>
      </c>
      <c r="AC18" s="946"/>
      <c r="AD18" s="940"/>
      <c r="AE18" s="966"/>
      <c r="AF18" s="941"/>
      <c r="AG18" s="75" t="s">
        <v>15</v>
      </c>
    </row>
    <row r="19" spans="1:33" ht="51" hidden="1" customHeight="1">
      <c r="A19" s="49">
        <v>9</v>
      </c>
      <c r="B19" s="2871" t="s">
        <v>60</v>
      </c>
      <c r="C19" s="2872"/>
      <c r="D19" s="2872"/>
      <c r="E19" s="2873"/>
      <c r="F19" s="991" t="s">
        <v>6</v>
      </c>
      <c r="G19" s="929" t="str">
        <f>'XM.FILE GOC'!$E$56</f>
        <v>(22±5) =17~27</v>
      </c>
      <c r="H19" s="2427" t="str">
        <f>'XM.FILE GOC'!$F$56</f>
        <v>(22±5)</v>
      </c>
      <c r="I19" s="2422">
        <f>'XM.FILE GOC'!I56</f>
        <v>0</v>
      </c>
      <c r="J19" s="61" t="s">
        <v>8</v>
      </c>
      <c r="K19" s="613">
        <f>'XM.FILE GOC'!L56</f>
        <v>134.64000000000001</v>
      </c>
      <c r="L19" s="614" t="s">
        <v>10</v>
      </c>
      <c r="M19" s="946"/>
      <c r="N19" s="940"/>
      <c r="O19" s="966"/>
      <c r="P19" s="941"/>
      <c r="Q19" s="1843">
        <f>'XM.FILE GOC'!P56</f>
        <v>0</v>
      </c>
      <c r="R19" s="61" t="s">
        <v>8</v>
      </c>
      <c r="S19" s="613">
        <f>'XM.FILE GOC'!S56</f>
        <v>134.64000000000001</v>
      </c>
      <c r="T19" s="614" t="s">
        <v>10</v>
      </c>
      <c r="U19" s="946"/>
      <c r="V19" s="940"/>
      <c r="W19" s="966"/>
      <c r="X19" s="941"/>
      <c r="Y19" s="310">
        <f>'XM.FILE GOC'!W56</f>
        <v>0</v>
      </c>
      <c r="Z19" s="61" t="s">
        <v>8</v>
      </c>
      <c r="AA19" s="613">
        <f>'XM.FILE GOC'!Z56</f>
        <v>134.64000000000001</v>
      </c>
      <c r="AB19" s="614" t="s">
        <v>10</v>
      </c>
      <c r="AC19" s="946"/>
      <c r="AD19" s="940"/>
      <c r="AE19" s="966"/>
      <c r="AF19" s="941"/>
      <c r="AG19" s="75" t="s">
        <v>15</v>
      </c>
    </row>
    <row r="20" spans="1:33" ht="51" hidden="1" customHeight="1">
      <c r="A20" s="49">
        <v>11</v>
      </c>
      <c r="B20" s="2871" t="s">
        <v>109</v>
      </c>
      <c r="C20" s="2872"/>
      <c r="D20" s="2872"/>
      <c r="E20" s="2873"/>
      <c r="F20" s="991" t="s">
        <v>6</v>
      </c>
      <c r="G20" s="929" t="str">
        <f>'XM.FILE GOC'!$E$57</f>
        <v>5~15</v>
      </c>
      <c r="H20" s="2427" t="str">
        <f>'XM.FILE GOC'!$F$57</f>
        <v>(10±3)</v>
      </c>
      <c r="I20" s="2422">
        <f>'XM.FILE GOC'!I57</f>
        <v>0</v>
      </c>
      <c r="J20" s="982" t="s">
        <v>8</v>
      </c>
      <c r="K20" s="983">
        <f>'XM.FILE GOC'!L57</f>
        <v>57.5</v>
      </c>
      <c r="L20" s="984" t="s">
        <v>10</v>
      </c>
      <c r="M20" s="946"/>
      <c r="N20" s="940"/>
      <c r="O20" s="966"/>
      <c r="P20" s="941"/>
      <c r="Q20" s="1843">
        <f>'XM.FILE GOC'!P57</f>
        <v>0</v>
      </c>
      <c r="R20" s="982" t="s">
        <v>8</v>
      </c>
      <c r="S20" s="983">
        <f>'XM.FILE GOC'!S57</f>
        <v>57.5</v>
      </c>
      <c r="T20" s="984" t="s">
        <v>10</v>
      </c>
      <c r="U20" s="946"/>
      <c r="V20" s="940"/>
      <c r="W20" s="966"/>
      <c r="X20" s="941"/>
      <c r="Y20" s="310">
        <f>'XM.FILE GOC'!W57</f>
        <v>0</v>
      </c>
      <c r="Z20" s="982" t="s">
        <v>8</v>
      </c>
      <c r="AA20" s="983">
        <f>'XM.FILE GOC'!Z57</f>
        <v>57.5</v>
      </c>
      <c r="AB20" s="614" t="s">
        <v>10</v>
      </c>
      <c r="AC20" s="946"/>
      <c r="AD20" s="940"/>
      <c r="AE20" s="966"/>
      <c r="AF20" s="941"/>
      <c r="AG20" s="75" t="s">
        <v>16</v>
      </c>
    </row>
    <row r="21" spans="1:33" ht="51" customHeight="1">
      <c r="A21" s="49">
        <v>12</v>
      </c>
      <c r="B21" s="2871" t="s">
        <v>948</v>
      </c>
      <c r="C21" s="2872"/>
      <c r="D21" s="2872"/>
      <c r="E21" s="2873"/>
      <c r="F21" s="991" t="s">
        <v>3</v>
      </c>
      <c r="G21" s="929" t="str">
        <f>'XM.FILE GOC'!$E$58</f>
        <v>0.5~1.5</v>
      </c>
      <c r="H21" s="2427" t="str">
        <f>'XM.FILE GOC'!$F$58</f>
        <v>(1±0.4)</v>
      </c>
      <c r="I21" s="2424">
        <f>'XM.FILE GOC'!I58</f>
        <v>1.1844E-2</v>
      </c>
      <c r="J21" s="61" t="s">
        <v>8</v>
      </c>
      <c r="K21" s="985">
        <f>'XM.FILE GOC'!L58</f>
        <v>0</v>
      </c>
      <c r="L21" s="614" t="s">
        <v>10</v>
      </c>
      <c r="M21" s="946"/>
      <c r="N21" s="940"/>
      <c r="O21" s="966"/>
      <c r="P21" s="949"/>
      <c r="Q21" s="1876">
        <f>'XM.FILE GOC'!P58</f>
        <v>1.0584E-2</v>
      </c>
      <c r="R21" s="61" t="s">
        <v>8</v>
      </c>
      <c r="S21" s="985">
        <f>'XM.FILE GOC'!S58</f>
        <v>0</v>
      </c>
      <c r="T21" s="614" t="s">
        <v>10</v>
      </c>
      <c r="U21" s="946"/>
      <c r="V21" s="940"/>
      <c r="W21" s="966"/>
      <c r="X21" s="949"/>
      <c r="Y21" s="2390">
        <f>'XM.FILE GOC'!W58</f>
        <v>1.0331999999999999E-2</v>
      </c>
      <c r="Z21" s="61" t="s">
        <v>8</v>
      </c>
      <c r="AA21" s="985">
        <f>'XM.FILE GOC'!Z58</f>
        <v>0</v>
      </c>
      <c r="AB21" s="614" t="s">
        <v>10</v>
      </c>
      <c r="AC21" s="946"/>
      <c r="AD21" s="940"/>
      <c r="AE21" s="966"/>
      <c r="AF21" s="949"/>
      <c r="AG21" s="75" t="s">
        <v>16</v>
      </c>
    </row>
    <row r="22" spans="1:33" ht="51" customHeight="1">
      <c r="A22" s="2389"/>
      <c r="B22" s="2877" t="s">
        <v>235</v>
      </c>
      <c r="C22" s="2878"/>
      <c r="D22" s="2878"/>
      <c r="E22" s="2879"/>
      <c r="F22" s="2383" t="s">
        <v>3</v>
      </c>
      <c r="G22" s="1042" t="str">
        <f>'XM.GUI MAIL'!$E$59</f>
        <v>5~8</v>
      </c>
      <c r="H22" s="2431" t="str">
        <f>'XM.GUI MAIL'!$F$59</f>
        <v>(6±0.5)</v>
      </c>
      <c r="I22" s="2425">
        <f>'XM.FILE GOC'!I59</f>
        <v>6.120000000000001</v>
      </c>
      <c r="J22" s="61" t="s">
        <v>8</v>
      </c>
      <c r="K22" s="985">
        <f>'XM.FILE GOC'!L59</f>
        <v>0</v>
      </c>
      <c r="L22" s="614" t="s">
        <v>10</v>
      </c>
      <c r="M22" s="2466"/>
      <c r="N22" s="940"/>
      <c r="O22" s="1685"/>
      <c r="P22" s="941"/>
      <c r="Q22" s="1952" t="str">
        <f>'XM.FILE GOC'!P59</f>
        <v>KO SX</v>
      </c>
      <c r="R22" s="61" t="s">
        <v>8</v>
      </c>
      <c r="S22" s="985">
        <f>'XM.FILE GOC'!S59</f>
        <v>0</v>
      </c>
      <c r="T22" s="614" t="s">
        <v>10</v>
      </c>
      <c r="U22" s="2466"/>
      <c r="V22" s="940"/>
      <c r="W22" s="1685"/>
      <c r="X22" s="941"/>
      <c r="Y22" s="1952" t="str">
        <f>'XM.FILE GOC'!W59</f>
        <v>KO SX</v>
      </c>
      <c r="Z22" s="61" t="s">
        <v>8</v>
      </c>
      <c r="AA22" s="985">
        <f>'XM.FILE GOC'!Z59</f>
        <v>0</v>
      </c>
      <c r="AB22" s="614" t="s">
        <v>10</v>
      </c>
      <c r="AC22" s="2466"/>
      <c r="AD22" s="940"/>
      <c r="AE22" s="1685"/>
      <c r="AF22" s="941"/>
      <c r="AG22" s="281"/>
    </row>
    <row r="23" spans="1:33" ht="51" customHeight="1">
      <c r="A23" s="2389"/>
      <c r="B23" s="2880"/>
      <c r="C23" s="2881"/>
      <c r="D23" s="2881"/>
      <c r="E23" s="2882"/>
      <c r="F23" s="2383" t="s">
        <v>5</v>
      </c>
      <c r="G23" s="1042" t="str">
        <f>'XM.GUI MAIL'!$E$60</f>
        <v>1.8~2.4</v>
      </c>
      <c r="H23" s="2431" t="str">
        <f>'XM.GUI MAIL'!$F$60</f>
        <v>(2.1±0.1 )</v>
      </c>
      <c r="I23" s="2426">
        <f>'XM.FILE GOC'!I60</f>
        <v>2.2000000000000002</v>
      </c>
      <c r="J23" s="61" t="s">
        <v>8</v>
      </c>
      <c r="K23" s="985">
        <f>'XM.FILE GOC'!L60</f>
        <v>0</v>
      </c>
      <c r="L23" s="614" t="s">
        <v>10</v>
      </c>
      <c r="M23" s="946"/>
      <c r="N23" s="940"/>
      <c r="O23" s="966"/>
      <c r="P23" s="941"/>
      <c r="Q23" s="1869" t="str">
        <f>'XM.FILE GOC'!P60</f>
        <v>KO SX</v>
      </c>
      <c r="R23" s="61" t="s">
        <v>8</v>
      </c>
      <c r="S23" s="985">
        <f>'XM.FILE GOC'!S60</f>
        <v>0</v>
      </c>
      <c r="T23" s="614" t="s">
        <v>10</v>
      </c>
      <c r="U23" s="946"/>
      <c r="V23" s="940"/>
      <c r="W23" s="966"/>
      <c r="X23" s="941"/>
      <c r="Y23" s="1869" t="str">
        <f>'XM.FILE GOC'!W60</f>
        <v>KO SX</v>
      </c>
      <c r="Z23" s="61" t="s">
        <v>8</v>
      </c>
      <c r="AA23" s="985">
        <f>'XM.FILE GOC'!Z60</f>
        <v>0</v>
      </c>
      <c r="AB23" s="614" t="s">
        <v>10</v>
      </c>
      <c r="AC23" s="946"/>
      <c r="AD23" s="940"/>
      <c r="AE23" s="966"/>
      <c r="AF23" s="941"/>
      <c r="AG23" s="281"/>
    </row>
    <row r="24" spans="1:33" ht="51" customHeight="1">
      <c r="A24" s="49"/>
      <c r="B24" s="2940" t="s">
        <v>110</v>
      </c>
      <c r="C24" s="2940"/>
      <c r="D24" s="2940"/>
      <c r="E24" s="2940"/>
      <c r="F24" s="2940"/>
      <c r="G24" s="2940"/>
      <c r="H24" s="2941"/>
      <c r="I24" s="2940"/>
      <c r="J24" s="2940"/>
      <c r="K24" s="2940"/>
      <c r="L24" s="2940"/>
      <c r="M24" s="2940"/>
      <c r="N24" s="2940"/>
      <c r="O24" s="2940"/>
      <c r="P24" s="2940"/>
      <c r="Q24" s="2940"/>
      <c r="R24" s="2940"/>
      <c r="S24" s="2940"/>
      <c r="T24" s="2940"/>
      <c r="U24" s="2940"/>
      <c r="V24" s="2940"/>
      <c r="W24" s="2940"/>
      <c r="X24" s="2940"/>
      <c r="Y24" s="2940"/>
      <c r="Z24" s="2940"/>
      <c r="AA24" s="2940"/>
      <c r="AB24" s="2940"/>
      <c r="AC24" s="2940"/>
      <c r="AD24" s="2940"/>
      <c r="AE24" s="2940"/>
      <c r="AF24" s="2940"/>
      <c r="AG24" s="2940"/>
    </row>
    <row r="25" spans="1:33" ht="54" customHeight="1">
      <c r="A25" s="991" t="s">
        <v>7</v>
      </c>
      <c r="B25" s="2871" t="s">
        <v>62</v>
      </c>
      <c r="C25" s="2872"/>
      <c r="D25" s="2872"/>
      <c r="E25" s="2873"/>
      <c r="F25" s="257" t="s">
        <v>64</v>
      </c>
      <c r="G25" s="1010" t="s">
        <v>1325</v>
      </c>
      <c r="H25" s="2429" t="s">
        <v>1317</v>
      </c>
      <c r="I25" s="2942" t="s">
        <v>46</v>
      </c>
      <c r="J25" s="2943"/>
      <c r="K25" s="2944" t="s">
        <v>63</v>
      </c>
      <c r="L25" s="2943"/>
      <c r="M25" s="950"/>
      <c r="N25" s="951"/>
      <c r="O25" s="951"/>
      <c r="P25" s="952"/>
      <c r="Q25" s="2944" t="s">
        <v>46</v>
      </c>
      <c r="R25" s="2943"/>
      <c r="S25" s="2944" t="s">
        <v>63</v>
      </c>
      <c r="T25" s="2943"/>
      <c r="U25" s="950"/>
      <c r="V25" s="951"/>
      <c r="W25" s="951"/>
      <c r="X25" s="952"/>
      <c r="Y25" s="2944" t="s">
        <v>46</v>
      </c>
      <c r="Z25" s="2943"/>
      <c r="AA25" s="2944" t="s">
        <v>63</v>
      </c>
      <c r="AB25" s="2943"/>
      <c r="AC25" s="950"/>
      <c r="AD25" s="951"/>
      <c r="AE25" s="951"/>
      <c r="AF25" s="952"/>
      <c r="AG25" s="76"/>
    </row>
    <row r="26" spans="1:33" ht="51" customHeight="1">
      <c r="A26" s="991">
        <v>1</v>
      </c>
      <c r="B26" s="2871" t="s">
        <v>66</v>
      </c>
      <c r="C26" s="2872"/>
      <c r="D26" s="2872"/>
      <c r="E26" s="2873"/>
      <c r="F26" s="256" t="s">
        <v>196</v>
      </c>
      <c r="G26" s="929" t="str">
        <f>'XM.FILE GOC'!$E$63</f>
        <v>50~70</v>
      </c>
      <c r="H26" s="2427" t="str">
        <f>'XM.FILE GOC'!$F$63</f>
        <v>(60±5)</v>
      </c>
      <c r="I26" s="2934">
        <f>'XM.GUI MAIL'!I63</f>
        <v>58</v>
      </c>
      <c r="J26" s="2867"/>
      <c r="K26" s="2867">
        <f>'XM.FILE GOC'!L63</f>
        <v>56</v>
      </c>
      <c r="L26" s="2867"/>
      <c r="M26" s="953"/>
      <c r="N26" s="954"/>
      <c r="O26" s="954"/>
      <c r="P26" s="955"/>
      <c r="Q26" s="2867">
        <f>'XM.GUI MAIL'!P63</f>
        <v>58</v>
      </c>
      <c r="R26" s="2867"/>
      <c r="S26" s="2867">
        <f>'XM.FILE GOC'!S63</f>
        <v>58</v>
      </c>
      <c r="T26" s="2867"/>
      <c r="U26" s="953"/>
      <c r="V26" s="954"/>
      <c r="W26" s="954"/>
      <c r="X26" s="955"/>
      <c r="Y26" s="2867">
        <v>57</v>
      </c>
      <c r="Z26" s="2867"/>
      <c r="AA26" s="2867">
        <v>58</v>
      </c>
      <c r="AB26" s="2867"/>
      <c r="AC26" s="953"/>
      <c r="AD26" s="954"/>
      <c r="AE26" s="954"/>
      <c r="AF26" s="955"/>
      <c r="AG26" s="20"/>
    </row>
    <row r="27" spans="1:33" ht="51" customHeight="1">
      <c r="A27" s="991">
        <v>2</v>
      </c>
      <c r="B27" s="2871" t="s">
        <v>67</v>
      </c>
      <c r="C27" s="2872" t="s">
        <v>67</v>
      </c>
      <c r="D27" s="2872" t="s">
        <v>67</v>
      </c>
      <c r="E27" s="2873" t="s">
        <v>67</v>
      </c>
      <c r="F27" s="256" t="s">
        <v>196</v>
      </c>
      <c r="G27" s="929" t="str">
        <f>'XM.FILE GOC'!$E$64</f>
        <v>50~70</v>
      </c>
      <c r="H27" s="2427" t="str">
        <f>'XM.FILE GOC'!$F$64</f>
        <v>(60±5)</v>
      </c>
      <c r="I27" s="2934">
        <f>'XM.GUI MAIL'!I64</f>
        <v>59</v>
      </c>
      <c r="J27" s="2867"/>
      <c r="K27" s="2867">
        <f>'XM.FILE GOC'!L64</f>
        <v>60</v>
      </c>
      <c r="L27" s="2867"/>
      <c r="M27" s="953"/>
      <c r="N27" s="954"/>
      <c r="O27" s="954"/>
      <c r="P27" s="955"/>
      <c r="Q27" s="2867">
        <f>'XM.GUI MAIL'!P64</f>
        <v>60</v>
      </c>
      <c r="R27" s="2867"/>
      <c r="S27" s="2867">
        <f>'XM.FILE GOC'!S64</f>
        <v>60</v>
      </c>
      <c r="T27" s="2867"/>
      <c r="U27" s="953"/>
      <c r="V27" s="954"/>
      <c r="W27" s="954"/>
      <c r="X27" s="955"/>
      <c r="Y27" s="2867">
        <f>'XM.GUI MAIL'!W64</f>
        <v>59</v>
      </c>
      <c r="Z27" s="2867"/>
      <c r="AA27" s="2867">
        <f>'XM.FILE GOC'!Z64</f>
        <v>60</v>
      </c>
      <c r="AB27" s="2867"/>
      <c r="AC27" s="953"/>
      <c r="AD27" s="954"/>
      <c r="AE27" s="954"/>
      <c r="AF27" s="955"/>
      <c r="AG27" s="20"/>
    </row>
    <row r="28" spans="1:33" ht="51" customHeight="1">
      <c r="A28" s="991">
        <v>3</v>
      </c>
      <c r="B28" s="2871" t="s">
        <v>69</v>
      </c>
      <c r="C28" s="2872" t="s">
        <v>69</v>
      </c>
      <c r="D28" s="2872" t="s">
        <v>69</v>
      </c>
      <c r="E28" s="2873" t="s">
        <v>69</v>
      </c>
      <c r="F28" s="256" t="s">
        <v>196</v>
      </c>
      <c r="G28" s="929" t="str">
        <f>'XM.FILE GOC'!$E$65</f>
        <v>40~60</v>
      </c>
      <c r="H28" s="2427" t="str">
        <f>'XM.FILE GOC'!$F$65</f>
        <v>(50±5)</v>
      </c>
      <c r="I28" s="2829">
        <f>'XM.GUI MAIL'!I65</f>
        <v>53</v>
      </c>
      <c r="J28" s="2819"/>
      <c r="K28" s="2828">
        <f>'XM.FILE GOC'!L65</f>
        <v>52</v>
      </c>
      <c r="L28" s="2819"/>
      <c r="M28" s="953"/>
      <c r="N28" s="954"/>
      <c r="O28" s="954"/>
      <c r="P28" s="955"/>
      <c r="Q28" s="2828">
        <f>'XM.GUI MAIL'!P65</f>
        <v>52</v>
      </c>
      <c r="R28" s="2819"/>
      <c r="S28" s="2828">
        <f>'XM.FILE GOC'!S65</f>
        <v>52</v>
      </c>
      <c r="T28" s="2819"/>
      <c r="U28" s="953"/>
      <c r="V28" s="954"/>
      <c r="W28" s="954"/>
      <c r="X28" s="955"/>
      <c r="Y28" s="2828">
        <f>'XM.GUI MAIL'!W65</f>
        <v>54</v>
      </c>
      <c r="Z28" s="2819"/>
      <c r="AA28" s="2828">
        <f>'XM.FILE GOC'!Z65</f>
        <v>52</v>
      </c>
      <c r="AB28" s="2819"/>
      <c r="AC28" s="953"/>
      <c r="AD28" s="954"/>
      <c r="AE28" s="954"/>
      <c r="AF28" s="955"/>
      <c r="AG28" s="20"/>
    </row>
    <row r="29" spans="1:33" ht="51" customHeight="1">
      <c r="A29" s="991">
        <v>4</v>
      </c>
      <c r="B29" s="2871" t="s">
        <v>68</v>
      </c>
      <c r="C29" s="2872" t="s">
        <v>68</v>
      </c>
      <c r="D29" s="2872" t="s">
        <v>68</v>
      </c>
      <c r="E29" s="2873" t="s">
        <v>68</v>
      </c>
      <c r="F29" s="256" t="s">
        <v>196</v>
      </c>
      <c r="G29" s="929" t="str">
        <f>'XM.FILE GOC'!$E$66</f>
        <v>40~60</v>
      </c>
      <c r="H29" s="2427" t="str">
        <f>'XM.FILE GOC'!$F$66</f>
        <v>(50±5)</v>
      </c>
      <c r="I29" s="2829">
        <f>'XM.GUI MAIL'!I66</f>
        <v>51</v>
      </c>
      <c r="J29" s="2819"/>
      <c r="K29" s="2828">
        <f>'XM.FILE GOC'!L66</f>
        <v>49</v>
      </c>
      <c r="L29" s="2819"/>
      <c r="M29" s="953"/>
      <c r="N29" s="954"/>
      <c r="O29" s="954"/>
      <c r="P29" s="955"/>
      <c r="Q29" s="2828">
        <f>'XM.GUI MAIL'!P66</f>
        <v>50</v>
      </c>
      <c r="R29" s="2819"/>
      <c r="S29" s="2828">
        <f>'XM.FILE GOC'!S66</f>
        <v>50</v>
      </c>
      <c r="T29" s="2819"/>
      <c r="U29" s="953"/>
      <c r="V29" s="954"/>
      <c r="W29" s="954"/>
      <c r="X29" s="955"/>
      <c r="Y29" s="2828">
        <f>'XM.GUI MAIL'!W66</f>
        <v>54</v>
      </c>
      <c r="Z29" s="2819"/>
      <c r="AA29" s="2828">
        <f>'XM.FILE GOC'!Z66</f>
        <v>52</v>
      </c>
      <c r="AB29" s="2819"/>
      <c r="AC29" s="953"/>
      <c r="AD29" s="954"/>
      <c r="AE29" s="954"/>
      <c r="AF29" s="955"/>
      <c r="AG29" s="20"/>
    </row>
    <row r="30" spans="1:33" ht="51" customHeight="1">
      <c r="A30" s="991">
        <v>5</v>
      </c>
      <c r="B30" s="2871" t="s">
        <v>70</v>
      </c>
      <c r="C30" s="2872" t="s">
        <v>70</v>
      </c>
      <c r="D30" s="2872" t="s">
        <v>70</v>
      </c>
      <c r="E30" s="2873" t="s">
        <v>70</v>
      </c>
      <c r="F30" s="256" t="s">
        <v>196</v>
      </c>
      <c r="G30" s="929" t="str">
        <f>'XM.FILE GOC'!$E$67</f>
        <v>22~35</v>
      </c>
      <c r="H30" s="2427" t="str">
        <f>'XM.FILE GOC'!$F$67</f>
        <v>(30±4)</v>
      </c>
      <c r="I30" s="2934">
        <f>'XM.GUI MAIL'!I67</f>
        <v>32</v>
      </c>
      <c r="J30" s="2867"/>
      <c r="K30" s="2867">
        <f>'XM.FILE GOC'!L67</f>
        <v>31</v>
      </c>
      <c r="L30" s="2867"/>
      <c r="M30" s="953"/>
      <c r="N30" s="954"/>
      <c r="O30" s="954"/>
      <c r="P30" s="955"/>
      <c r="Q30" s="2867">
        <f>'XM.GUI MAIL'!P67</f>
        <v>32</v>
      </c>
      <c r="R30" s="2867"/>
      <c r="S30" s="2867">
        <f>'XM.FILE GOC'!S67</f>
        <v>31</v>
      </c>
      <c r="T30" s="2867"/>
      <c r="U30" s="953"/>
      <c r="V30" s="954"/>
      <c r="W30" s="954"/>
      <c r="X30" s="955"/>
      <c r="Y30" s="2867">
        <f>'XM.GUI MAIL'!W67</f>
        <v>29</v>
      </c>
      <c r="Z30" s="2867"/>
      <c r="AA30" s="2867">
        <f>'XM.FILE GOC'!Z67</f>
        <v>29</v>
      </c>
      <c r="AB30" s="2867"/>
      <c r="AC30" s="953"/>
      <c r="AD30" s="954"/>
      <c r="AE30" s="954"/>
      <c r="AF30" s="955"/>
      <c r="AG30" s="20"/>
    </row>
    <row r="31" spans="1:33" ht="51" customHeight="1">
      <c r="A31" s="991">
        <v>6</v>
      </c>
      <c r="B31" s="2871" t="s">
        <v>949</v>
      </c>
      <c r="C31" s="2872" t="s">
        <v>949</v>
      </c>
      <c r="D31" s="2872" t="s">
        <v>949</v>
      </c>
      <c r="E31" s="2873" t="s">
        <v>949</v>
      </c>
      <c r="F31" s="256" t="s">
        <v>196</v>
      </c>
      <c r="G31" s="929" t="str">
        <f>'XM.FILE GOC'!$E$68</f>
        <v>30-38</v>
      </c>
      <c r="H31" s="2427" t="str">
        <f>'XM.FILE GOC'!$F$68</f>
        <v>(34±2)</v>
      </c>
      <c r="I31" s="2934">
        <f>'XM.GUI MAIL'!I68</f>
        <v>33</v>
      </c>
      <c r="J31" s="2867"/>
      <c r="K31" s="2867">
        <f>'XM.FILE GOC'!L68</f>
        <v>32</v>
      </c>
      <c r="L31" s="2867"/>
      <c r="M31" s="953"/>
      <c r="N31" s="954"/>
      <c r="O31" s="954"/>
      <c r="P31" s="955"/>
      <c r="Q31" s="2867">
        <f>'XM.GUI MAIL'!P68</f>
        <v>33</v>
      </c>
      <c r="R31" s="2867"/>
      <c r="S31" s="2867">
        <f>'XM.FILE GOC'!S68</f>
        <v>33</v>
      </c>
      <c r="T31" s="2867"/>
      <c r="U31" s="953"/>
      <c r="V31" s="954"/>
      <c r="W31" s="954"/>
      <c r="X31" s="955"/>
      <c r="Y31" s="2867">
        <f>'XM.GUI MAIL'!W68</f>
        <v>34</v>
      </c>
      <c r="Z31" s="2867"/>
      <c r="AA31" s="2867">
        <f>'XM.FILE GOC'!Z68</f>
        <v>33</v>
      </c>
      <c r="AB31" s="2867"/>
      <c r="AC31" s="953"/>
      <c r="AD31" s="954"/>
      <c r="AE31" s="954"/>
      <c r="AF31" s="955"/>
      <c r="AG31" s="22"/>
    </row>
    <row r="32" spans="1:33" ht="51" customHeight="1">
      <c r="A32" s="991">
        <v>7</v>
      </c>
      <c r="B32" s="2871" t="s">
        <v>71</v>
      </c>
      <c r="C32" s="2872" t="s">
        <v>71</v>
      </c>
      <c r="D32" s="2872" t="s">
        <v>71</v>
      </c>
      <c r="E32" s="2873" t="s">
        <v>71</v>
      </c>
      <c r="F32" s="256" t="s">
        <v>196</v>
      </c>
      <c r="G32" s="929" t="str">
        <f>'XM.FILE GOC'!$E$69</f>
        <v>50~70</v>
      </c>
      <c r="H32" s="2427" t="str">
        <f>'XM.FILE GOC'!$F$69</f>
        <v>(60±10)</v>
      </c>
      <c r="I32" s="2934">
        <f>'XM.GUI MAIL'!I69</f>
        <v>52</v>
      </c>
      <c r="J32" s="2867"/>
      <c r="K32" s="2867">
        <f>'XM.FILE GOC'!L69</f>
        <v>51</v>
      </c>
      <c r="L32" s="2867"/>
      <c r="M32" s="953"/>
      <c r="N32" s="954"/>
      <c r="O32" s="954"/>
      <c r="P32" s="955"/>
      <c r="Q32" s="2867">
        <f>'XM.GUI MAIL'!P69</f>
        <v>55</v>
      </c>
      <c r="R32" s="2867"/>
      <c r="S32" s="2867">
        <f>'XM.FILE GOC'!S69</f>
        <v>54</v>
      </c>
      <c r="T32" s="2867"/>
      <c r="U32" s="953"/>
      <c r="V32" s="954"/>
      <c r="W32" s="954"/>
      <c r="X32" s="955"/>
      <c r="Y32" s="2867">
        <f>'XM.GUI MAIL'!W69</f>
        <v>57</v>
      </c>
      <c r="Z32" s="2867"/>
      <c r="AA32" s="2867">
        <f>'XM.FILE GOC'!Z69</f>
        <v>58</v>
      </c>
      <c r="AB32" s="2867"/>
      <c r="AC32" s="953"/>
      <c r="AD32" s="954"/>
      <c r="AE32" s="954"/>
      <c r="AF32" s="955"/>
      <c r="AG32" s="20"/>
    </row>
    <row r="33" spans="1:33" ht="51" customHeight="1">
      <c r="A33" s="991">
        <v>8</v>
      </c>
      <c r="B33" s="2874" t="s">
        <v>72</v>
      </c>
      <c r="C33" s="2875" t="s">
        <v>72</v>
      </c>
      <c r="D33" s="2875" t="s">
        <v>72</v>
      </c>
      <c r="E33" s="2876" t="s">
        <v>72</v>
      </c>
      <c r="F33" s="256" t="s">
        <v>196</v>
      </c>
      <c r="G33" s="929" t="str">
        <f>'XM.FILE GOC'!$E$70</f>
        <v>80~100</v>
      </c>
      <c r="H33" s="2427" t="str">
        <f>'XM.FILE GOC'!$F$70</f>
        <v>(90±5)</v>
      </c>
      <c r="I33" s="2942" t="s">
        <v>48</v>
      </c>
      <c r="J33" s="2943"/>
      <c r="K33" s="2819">
        <v>92</v>
      </c>
      <c r="L33" s="2819"/>
      <c r="M33" s="2401"/>
      <c r="N33" s="957"/>
      <c r="O33" s="957"/>
      <c r="P33" s="958"/>
      <c r="Q33" s="2944" t="s">
        <v>48</v>
      </c>
      <c r="R33" s="2943"/>
      <c r="S33" s="2819">
        <f>'XM.FILE GOC'!S70</f>
        <v>89</v>
      </c>
      <c r="T33" s="2819"/>
      <c r="U33" s="2401"/>
      <c r="V33" s="957"/>
      <c r="W33" s="957"/>
      <c r="X33" s="958"/>
      <c r="Y33" s="2944" t="s">
        <v>48</v>
      </c>
      <c r="Z33" s="2943"/>
      <c r="AA33" s="2819">
        <f>'XM.FILE GOC'!Z70</f>
        <v>93</v>
      </c>
      <c r="AB33" s="2819"/>
      <c r="AC33" s="956"/>
      <c r="AD33" s="957"/>
      <c r="AE33" s="957"/>
      <c r="AF33" s="958"/>
      <c r="AG33" s="20"/>
    </row>
    <row r="34" spans="1:33" ht="51" customHeight="1">
      <c r="A34" s="49"/>
      <c r="B34" s="2957" t="s">
        <v>111</v>
      </c>
      <c r="C34" s="2958"/>
      <c r="D34" s="2958"/>
      <c r="E34" s="2958"/>
      <c r="F34" s="2958"/>
      <c r="G34" s="2958"/>
      <c r="H34" s="2958"/>
      <c r="I34" s="2958"/>
      <c r="J34" s="2958"/>
      <c r="K34" s="2958"/>
      <c r="L34" s="2958"/>
      <c r="M34" s="2958"/>
      <c r="N34" s="2958"/>
      <c r="O34" s="2958"/>
      <c r="P34" s="2958"/>
      <c r="Q34" s="2958"/>
      <c r="R34" s="2958"/>
      <c r="S34" s="2958"/>
      <c r="T34" s="2958"/>
      <c r="U34" s="2958"/>
      <c r="V34" s="2958"/>
      <c r="W34" s="2958"/>
      <c r="X34" s="2958"/>
      <c r="Y34" s="2958"/>
      <c r="Z34" s="2958"/>
      <c r="AA34" s="2958"/>
      <c r="AB34" s="2958"/>
      <c r="AC34" s="2958"/>
      <c r="AD34" s="2958"/>
      <c r="AE34" s="2958"/>
      <c r="AF34" s="2958"/>
      <c r="AG34" s="2959"/>
    </row>
    <row r="35" spans="1:33" ht="56.25" customHeight="1">
      <c r="A35" s="991" t="s">
        <v>7</v>
      </c>
      <c r="B35" s="2871" t="s">
        <v>93</v>
      </c>
      <c r="C35" s="2872"/>
      <c r="D35" s="2872"/>
      <c r="E35" s="2873"/>
      <c r="F35" s="600" t="s">
        <v>94</v>
      </c>
      <c r="G35" s="1010" t="s">
        <v>1325</v>
      </c>
      <c r="H35" s="2429" t="s">
        <v>1317</v>
      </c>
      <c r="I35" s="2876" t="s">
        <v>112</v>
      </c>
      <c r="J35" s="2960"/>
      <c r="K35" s="2960"/>
      <c r="L35" s="2960"/>
      <c r="M35" s="950"/>
      <c r="N35" s="951"/>
      <c r="O35" s="951"/>
      <c r="P35" s="952"/>
      <c r="Q35" s="2960" t="s">
        <v>112</v>
      </c>
      <c r="R35" s="2960"/>
      <c r="S35" s="2960"/>
      <c r="T35" s="2960"/>
      <c r="U35" s="950"/>
      <c r="V35" s="951"/>
      <c r="W35" s="951"/>
      <c r="X35" s="952"/>
      <c r="Y35" s="2960" t="s">
        <v>112</v>
      </c>
      <c r="Z35" s="2960"/>
      <c r="AA35" s="2960"/>
      <c r="AB35" s="2960"/>
      <c r="AC35" s="950"/>
      <c r="AD35" s="951"/>
      <c r="AE35" s="951"/>
      <c r="AF35" s="952"/>
      <c r="AG35" s="76"/>
    </row>
    <row r="36" spans="1:33" ht="51" customHeight="1">
      <c r="A36" s="49">
        <v>1</v>
      </c>
      <c r="B36" s="2954" t="s">
        <v>227</v>
      </c>
      <c r="C36" s="2955"/>
      <c r="D36" s="2955"/>
      <c r="E36" s="2956"/>
      <c r="F36" s="992" t="s">
        <v>49</v>
      </c>
      <c r="G36" s="929" t="str">
        <f>'XM.FILE GOC'!$E$72</f>
        <v>100-200</v>
      </c>
      <c r="H36" s="2427" t="str">
        <f>'XM.FILE GOC'!$F$72</f>
        <v>100-200</v>
      </c>
      <c r="I36" s="2929">
        <f>'XM.GUI MAIL'!I72</f>
        <v>120</v>
      </c>
      <c r="J36" s="2929"/>
      <c r="K36" s="2929"/>
      <c r="L36" s="2929"/>
      <c r="M36" s="959"/>
      <c r="N36" s="936"/>
      <c r="O36" s="936"/>
      <c r="P36" s="960"/>
      <c r="Q36" s="2928">
        <f>'XM.GUI MAIL'!P72</f>
        <v>122</v>
      </c>
      <c r="R36" s="2929"/>
      <c r="S36" s="2929"/>
      <c r="T36" s="2929"/>
      <c r="U36" s="959"/>
      <c r="V36" s="936"/>
      <c r="W36" s="936"/>
      <c r="X36" s="960"/>
      <c r="Y36" s="2928">
        <f>'XM.GUI MAIL'!W72</f>
        <v>115</v>
      </c>
      <c r="Z36" s="2929"/>
      <c r="AA36" s="2929"/>
      <c r="AB36" s="2929"/>
      <c r="AC36" s="959"/>
      <c r="AD36" s="936"/>
      <c r="AE36" s="936"/>
      <c r="AF36" s="960"/>
      <c r="AG36" s="22"/>
    </row>
    <row r="37" spans="1:33" ht="51" customHeight="1">
      <c r="A37" s="49">
        <v>2</v>
      </c>
      <c r="B37" s="2954" t="s">
        <v>228</v>
      </c>
      <c r="C37" s="2955"/>
      <c r="D37" s="2955"/>
      <c r="E37" s="2956"/>
      <c r="F37" s="992" t="s">
        <v>49</v>
      </c>
      <c r="G37" s="929" t="str">
        <f>'XM.FILE GOC'!$E$73</f>
        <v>20-50</v>
      </c>
      <c r="H37" s="2427" t="str">
        <f>'XM.FILE GOC'!$F$73</f>
        <v>20-50</v>
      </c>
      <c r="I37" s="2929">
        <f>'XM.GUI MAIL'!I73</f>
        <v>38</v>
      </c>
      <c r="J37" s="2929"/>
      <c r="K37" s="2929"/>
      <c r="L37" s="2929"/>
      <c r="M37" s="961"/>
      <c r="N37" s="962"/>
      <c r="O37" s="962"/>
      <c r="P37" s="963"/>
      <c r="Q37" s="2928">
        <f>'XM.GUI MAIL'!P73</f>
        <v>40</v>
      </c>
      <c r="R37" s="2929"/>
      <c r="S37" s="2929"/>
      <c r="T37" s="2929"/>
      <c r="U37" s="961"/>
      <c r="V37" s="962"/>
      <c r="W37" s="962"/>
      <c r="X37" s="963"/>
      <c r="Y37" s="2928">
        <f>'XM.GUI MAIL'!W73</f>
        <v>40</v>
      </c>
      <c r="Z37" s="2929"/>
      <c r="AA37" s="2929"/>
      <c r="AB37" s="2929"/>
      <c r="AC37" s="961"/>
      <c r="AD37" s="962"/>
      <c r="AE37" s="962"/>
      <c r="AF37" s="963"/>
      <c r="AG37" s="22"/>
    </row>
    <row r="38" spans="1:33" ht="60" customHeight="1">
      <c r="A38" s="446"/>
      <c r="B38" s="447"/>
      <c r="C38" s="447"/>
      <c r="D38" s="447"/>
      <c r="E38" s="447"/>
      <c r="F38" s="2472"/>
      <c r="G38" s="2473"/>
      <c r="H38" s="2473"/>
      <c r="I38" s="2473"/>
      <c r="J38" s="2473"/>
      <c r="K38" s="2473"/>
      <c r="L38" s="2473"/>
      <c r="M38" s="2473"/>
      <c r="N38" s="2473"/>
      <c r="O38" s="2473"/>
      <c r="P38" s="2473"/>
      <c r="Q38" s="2473"/>
      <c r="R38" s="2473"/>
      <c r="S38" s="2473"/>
      <c r="T38" s="2473"/>
      <c r="U38" s="2473"/>
      <c r="V38" s="2473"/>
      <c r="W38" s="2473"/>
      <c r="X38" s="2473"/>
      <c r="Y38" s="2473"/>
      <c r="Z38" s="2473"/>
      <c r="AA38" s="2473"/>
      <c r="AB38" s="2473"/>
      <c r="AC38" s="2473"/>
      <c r="AD38" s="936"/>
      <c r="AE38" s="936"/>
      <c r="AF38" s="936"/>
      <c r="AG38" s="932"/>
    </row>
    <row r="39" spans="1:33" ht="28.5" customHeight="1">
      <c r="A39" s="2947" t="s">
        <v>131</v>
      </c>
      <c r="B39" s="2947"/>
      <c r="C39" s="2947"/>
      <c r="D39" s="2947"/>
      <c r="E39" s="2947"/>
      <c r="F39" s="2947"/>
      <c r="G39" s="2947"/>
      <c r="H39" s="2947"/>
      <c r="I39" s="2947"/>
      <c r="J39" s="2947"/>
      <c r="K39" s="2947"/>
      <c r="L39" s="2947"/>
      <c r="M39" s="2947"/>
      <c r="N39" s="2947"/>
      <c r="O39" s="2947"/>
      <c r="P39" s="2947"/>
      <c r="Q39" s="2947"/>
      <c r="R39" s="2947"/>
      <c r="S39" s="2947"/>
      <c r="T39" s="2947"/>
      <c r="U39" s="2947"/>
      <c r="V39" s="2947"/>
      <c r="W39" s="2947"/>
      <c r="X39" s="2947"/>
      <c r="Y39" s="2947"/>
      <c r="Z39" s="2947"/>
      <c r="AA39" s="52"/>
      <c r="AB39" s="52"/>
      <c r="AC39" s="974"/>
      <c r="AD39" s="974"/>
      <c r="AE39" s="974"/>
      <c r="AF39" s="974"/>
      <c r="AG39" s="52"/>
    </row>
    <row r="40" spans="1:33" ht="46.5" customHeight="1">
      <c r="A40" s="2865" t="s">
        <v>219</v>
      </c>
      <c r="B40" s="2865"/>
      <c r="C40" s="2865"/>
      <c r="D40" s="2865"/>
      <c r="E40" s="2865"/>
      <c r="F40" s="2865"/>
      <c r="G40" s="2865"/>
      <c r="H40" s="2865"/>
      <c r="I40" s="2865"/>
      <c r="J40" s="2865"/>
      <c r="K40" s="2865"/>
      <c r="L40" s="2865"/>
      <c r="M40" s="2865"/>
      <c r="N40" s="2865"/>
      <c r="O40" s="2865"/>
      <c r="P40" s="2865"/>
      <c r="Q40" s="2865"/>
      <c r="R40" s="2865"/>
      <c r="S40" s="2865"/>
      <c r="T40" s="2865"/>
      <c r="U40" s="2865"/>
      <c r="V40" s="2865"/>
      <c r="W40" s="2865"/>
      <c r="X40" s="2865"/>
      <c r="Y40" s="2865"/>
      <c r="Z40" s="2865"/>
      <c r="AA40" s="2948"/>
      <c r="AB40" s="2948"/>
      <c r="AC40" s="972"/>
      <c r="AD40" s="2861" t="s">
        <v>89</v>
      </c>
      <c r="AE40" s="2861"/>
      <c r="AF40" s="2863" t="s">
        <v>90</v>
      </c>
      <c r="AG40" s="2864"/>
    </row>
    <row r="41" spans="1:33" ht="38.25" customHeight="1">
      <c r="A41" s="994"/>
      <c r="B41" s="2900" t="s">
        <v>215</v>
      </c>
      <c r="C41" s="2900"/>
      <c r="D41" s="603"/>
      <c r="E41" s="604"/>
      <c r="F41" s="995"/>
      <c r="G41" s="996"/>
      <c r="H41" s="1930" t="str">
        <f>MENU!$AC$9</f>
        <v>Thứ 3,</v>
      </c>
      <c r="I41" s="2901" t="str">
        <f>MENU!$AD$9</f>
        <v>2024/01/09</v>
      </c>
      <c r="J41" s="2902"/>
      <c r="K41" s="2902"/>
      <c r="L41" s="2902"/>
      <c r="M41" s="969"/>
      <c r="N41" s="969"/>
      <c r="O41" s="969"/>
      <c r="P41" s="970"/>
      <c r="Q41" s="998"/>
      <c r="R41" s="998"/>
      <c r="S41" s="998"/>
      <c r="Z41" s="999"/>
      <c r="AA41" s="2949"/>
      <c r="AB41" s="2949"/>
      <c r="AC41" s="973"/>
      <c r="AD41" s="2862" t="str">
        <f>MENU!AE7</f>
        <v>L.Yen</v>
      </c>
      <c r="AE41" s="2862"/>
      <c r="AF41" s="2938" t="s">
        <v>11</v>
      </c>
      <c r="AG41" s="2855"/>
    </row>
    <row r="42" spans="1:33" s="54" customFormat="1" ht="54.75" customHeight="1">
      <c r="A42" s="2884" t="s">
        <v>7</v>
      </c>
      <c r="B42" s="2885" t="s">
        <v>77</v>
      </c>
      <c r="C42" s="2886"/>
      <c r="D42" s="2886"/>
      <c r="E42" s="2887"/>
      <c r="F42" s="2883" t="s">
        <v>125</v>
      </c>
      <c r="G42" s="2922" t="s">
        <v>1325</v>
      </c>
      <c r="H42" s="2920" t="s">
        <v>1317</v>
      </c>
      <c r="I42" s="2906">
        <v>0.80208333333333337</v>
      </c>
      <c r="J42" s="2907"/>
      <c r="K42" s="2907"/>
      <c r="L42" s="2908"/>
      <c r="M42" s="2856" t="s">
        <v>945</v>
      </c>
      <c r="N42" s="2857"/>
      <c r="O42" s="2857"/>
      <c r="P42" s="2858"/>
      <c r="Q42" s="2906">
        <v>0.96875</v>
      </c>
      <c r="R42" s="2907"/>
      <c r="S42" s="2907"/>
      <c r="T42" s="2908"/>
      <c r="U42" s="2856" t="s">
        <v>945</v>
      </c>
      <c r="V42" s="2857"/>
      <c r="W42" s="2857"/>
      <c r="X42" s="2858"/>
      <c r="Y42" s="2951">
        <v>0.13541666666666666</v>
      </c>
      <c r="Z42" s="2883"/>
      <c r="AA42" s="2883"/>
      <c r="AB42" s="2883"/>
      <c r="AC42" s="2856" t="s">
        <v>945</v>
      </c>
      <c r="AD42" s="2857"/>
      <c r="AE42" s="2857"/>
      <c r="AF42" s="2858"/>
      <c r="AG42" s="2961" t="s">
        <v>91</v>
      </c>
    </row>
    <row r="43" spans="1:33" s="54" customFormat="1" ht="48" customHeight="1">
      <c r="A43" s="2884"/>
      <c r="B43" s="2888"/>
      <c r="C43" s="2889"/>
      <c r="D43" s="2889"/>
      <c r="E43" s="2890"/>
      <c r="F43" s="2884"/>
      <c r="G43" s="2923"/>
      <c r="H43" s="2921"/>
      <c r="I43" s="981" t="s">
        <v>130</v>
      </c>
      <c r="J43" s="2912" t="s">
        <v>1</v>
      </c>
      <c r="K43" s="2913"/>
      <c r="L43" s="2914"/>
      <c r="M43" s="938" t="s">
        <v>946</v>
      </c>
      <c r="N43" s="2859" t="s">
        <v>1</v>
      </c>
      <c r="O43" s="2859"/>
      <c r="P43" s="2860"/>
      <c r="Q43" s="981" t="s">
        <v>130</v>
      </c>
      <c r="R43" s="2912" t="s">
        <v>1</v>
      </c>
      <c r="S43" s="2913"/>
      <c r="T43" s="2914"/>
      <c r="U43" s="938" t="s">
        <v>946</v>
      </c>
      <c r="V43" s="2859" t="s">
        <v>1</v>
      </c>
      <c r="W43" s="2859"/>
      <c r="X43" s="2860"/>
      <c r="Y43" s="981" t="s">
        <v>130</v>
      </c>
      <c r="Z43" s="2912" t="s">
        <v>1</v>
      </c>
      <c r="AA43" s="2913"/>
      <c r="AB43" s="2914"/>
      <c r="AC43" s="938" t="s">
        <v>946</v>
      </c>
      <c r="AD43" s="2859" t="s">
        <v>1</v>
      </c>
      <c r="AE43" s="2859"/>
      <c r="AF43" s="2860"/>
      <c r="AG43" s="2962"/>
    </row>
    <row r="44" spans="1:33" ht="51.75" customHeight="1">
      <c r="A44" s="2945">
        <v>1</v>
      </c>
      <c r="B44" s="2885" t="s">
        <v>132</v>
      </c>
      <c r="C44" s="2891"/>
      <c r="D44" s="2898" t="s">
        <v>231</v>
      </c>
      <c r="E44" s="2899"/>
      <c r="F44" s="49" t="s">
        <v>4</v>
      </c>
      <c r="G44" s="929" t="str">
        <f>'XM.FILE GOC'!$E$43</f>
        <v>60~80</v>
      </c>
      <c r="H44" s="2427" t="str">
        <f>'XM.FILE GOC'!$F$43</f>
        <v>(70±5)</v>
      </c>
      <c r="I44" s="1473">
        <f>'XM.FILE GOC'!AD43</f>
        <v>72.599999999999994</v>
      </c>
      <c r="J44" s="61" t="s">
        <v>8</v>
      </c>
      <c r="K44" s="613">
        <f>'XM.FILE GOC'!AG43</f>
        <v>0</v>
      </c>
      <c r="L44" s="614" t="s">
        <v>9</v>
      </c>
      <c r="M44" s="939"/>
      <c r="N44" s="940" t="s">
        <v>8</v>
      </c>
      <c r="O44" s="966"/>
      <c r="P44" s="941" t="s">
        <v>9</v>
      </c>
      <c r="Q44" s="1473">
        <f>'XM.FILE GOC'!AK43</f>
        <v>72</v>
      </c>
      <c r="R44" s="61" t="s">
        <v>8</v>
      </c>
      <c r="S44" s="613">
        <f>'XM.FILE GOC'!AN43</f>
        <v>0</v>
      </c>
      <c r="T44" s="614" t="s">
        <v>9</v>
      </c>
      <c r="U44" s="939"/>
      <c r="V44" s="940" t="s">
        <v>8</v>
      </c>
      <c r="W44" s="966"/>
      <c r="X44" s="941" t="s">
        <v>9</v>
      </c>
      <c r="Y44" s="1473">
        <f>'XM.FILE GOC'!AR43</f>
        <v>71.3</v>
      </c>
      <c r="Z44" s="61" t="s">
        <v>8</v>
      </c>
      <c r="AA44" s="613">
        <f>'XM.FILE GOC'!AU43</f>
        <v>0</v>
      </c>
      <c r="AB44" s="614" t="s">
        <v>9</v>
      </c>
      <c r="AC44" s="939"/>
      <c r="AD44" s="940" t="s">
        <v>8</v>
      </c>
      <c r="AE44" s="966"/>
      <c r="AF44" s="941" t="s">
        <v>9</v>
      </c>
      <c r="AG44" s="75" t="s">
        <v>12</v>
      </c>
    </row>
    <row r="45" spans="1:33" ht="51.75" customHeight="1">
      <c r="A45" s="2946"/>
      <c r="B45" s="2892"/>
      <c r="C45" s="2893"/>
      <c r="D45" s="2898" t="s">
        <v>232</v>
      </c>
      <c r="E45" s="2899"/>
      <c r="F45" s="273"/>
      <c r="G45" s="929" t="s">
        <v>950</v>
      </c>
      <c r="H45" s="2427"/>
      <c r="I45" s="1783"/>
      <c r="J45" s="61"/>
      <c r="K45" s="985">
        <f>K44/25*7.5</f>
        <v>0</v>
      </c>
      <c r="L45" s="614" t="s">
        <v>10</v>
      </c>
      <c r="M45" s="939"/>
      <c r="N45" s="942" t="s">
        <v>8</v>
      </c>
      <c r="O45" s="1684"/>
      <c r="P45" s="943" t="s">
        <v>10</v>
      </c>
      <c r="Q45" s="1783"/>
      <c r="R45" s="61"/>
      <c r="S45" s="985">
        <f>S44/25*7.5</f>
        <v>0</v>
      </c>
      <c r="T45" s="614" t="s">
        <v>10</v>
      </c>
      <c r="U45" s="939"/>
      <c r="V45" s="942" t="s">
        <v>8</v>
      </c>
      <c r="W45" s="1684"/>
      <c r="X45" s="943" t="s">
        <v>10</v>
      </c>
      <c r="Y45" s="1783"/>
      <c r="Z45" s="61"/>
      <c r="AA45" s="985">
        <f>AA44/25*7.5</f>
        <v>0</v>
      </c>
      <c r="AB45" s="614" t="s">
        <v>10</v>
      </c>
      <c r="AC45" s="939"/>
      <c r="AD45" s="942" t="s">
        <v>8</v>
      </c>
      <c r="AE45" s="1684"/>
      <c r="AF45" s="943" t="s">
        <v>10</v>
      </c>
      <c r="AG45" s="281"/>
    </row>
    <row r="46" spans="1:33" ht="51.75" customHeight="1">
      <c r="A46" s="2945">
        <v>2</v>
      </c>
      <c r="B46" s="2885" t="s">
        <v>133</v>
      </c>
      <c r="C46" s="2891"/>
      <c r="D46" s="2898" t="s">
        <v>231</v>
      </c>
      <c r="E46" s="2899"/>
      <c r="F46" s="49" t="s">
        <v>4</v>
      </c>
      <c r="G46" s="929" t="str">
        <f>'XM.FILE GOC'!$E$45</f>
        <v>60~80</v>
      </c>
      <c r="H46" s="2427" t="str">
        <f>'XM.FILE GOC'!$F$45</f>
        <v>(70±5)</v>
      </c>
      <c r="I46" s="1473">
        <f>'XM.FILE GOC'!AD45</f>
        <v>71.39</v>
      </c>
      <c r="J46" s="61" t="s">
        <v>8</v>
      </c>
      <c r="K46" s="613">
        <f>'XM.FILE GOC'!AG45</f>
        <v>0</v>
      </c>
      <c r="L46" s="614" t="s">
        <v>9</v>
      </c>
      <c r="M46" s="939"/>
      <c r="N46" s="940" t="s">
        <v>8</v>
      </c>
      <c r="O46" s="1685"/>
      <c r="P46" s="941" t="s">
        <v>9</v>
      </c>
      <c r="Q46" s="1473">
        <f>'XM.FILE GOC'!AK45</f>
        <v>71</v>
      </c>
      <c r="R46" s="61" t="s">
        <v>8</v>
      </c>
      <c r="S46" s="613">
        <f>'XM.FILE GOC'!AN45</f>
        <v>0</v>
      </c>
      <c r="T46" s="614" t="s">
        <v>9</v>
      </c>
      <c r="U46" s="939"/>
      <c r="V46" s="940" t="s">
        <v>8</v>
      </c>
      <c r="W46" s="1685"/>
      <c r="X46" s="941" t="s">
        <v>9</v>
      </c>
      <c r="Y46" s="1473">
        <f>'XM.FILE GOC'!AR45</f>
        <v>70.599999999999994</v>
      </c>
      <c r="Z46" s="61" t="s">
        <v>8</v>
      </c>
      <c r="AA46" s="613">
        <f>'XM.FILE GOC'!AU45</f>
        <v>0</v>
      </c>
      <c r="AB46" s="614" t="s">
        <v>9</v>
      </c>
      <c r="AC46" s="939"/>
      <c r="AD46" s="940" t="s">
        <v>8</v>
      </c>
      <c r="AE46" s="1685"/>
      <c r="AF46" s="941" t="s">
        <v>9</v>
      </c>
      <c r="AG46" s="75" t="s">
        <v>12</v>
      </c>
    </row>
    <row r="47" spans="1:33" ht="51.75" customHeight="1">
      <c r="A47" s="2946"/>
      <c r="B47" s="2892"/>
      <c r="C47" s="2893"/>
      <c r="D47" s="2898" t="s">
        <v>232</v>
      </c>
      <c r="E47" s="2899"/>
      <c r="F47" s="273"/>
      <c r="G47" s="929" t="s">
        <v>950</v>
      </c>
      <c r="H47" s="2427"/>
      <c r="I47" s="1783"/>
      <c r="J47" s="61"/>
      <c r="K47" s="985">
        <f>K46/25*7.5</f>
        <v>0</v>
      </c>
      <c r="L47" s="614" t="s">
        <v>10</v>
      </c>
      <c r="M47" s="939"/>
      <c r="N47" s="942" t="s">
        <v>8</v>
      </c>
      <c r="O47" s="1684"/>
      <c r="P47" s="943" t="s">
        <v>10</v>
      </c>
      <c r="Q47" s="1783"/>
      <c r="R47" s="61"/>
      <c r="S47" s="985">
        <f>S46/25*7.5</f>
        <v>0</v>
      </c>
      <c r="T47" s="614" t="s">
        <v>10</v>
      </c>
      <c r="U47" s="939"/>
      <c r="V47" s="942" t="s">
        <v>8</v>
      </c>
      <c r="W47" s="1684"/>
      <c r="X47" s="943" t="s">
        <v>10</v>
      </c>
      <c r="Y47" s="1783"/>
      <c r="Z47" s="61"/>
      <c r="AA47" s="985">
        <f>AA46/25*7.5</f>
        <v>0</v>
      </c>
      <c r="AB47" s="614" t="s">
        <v>10</v>
      </c>
      <c r="AC47" s="939"/>
      <c r="AD47" s="942" t="s">
        <v>8</v>
      </c>
      <c r="AE47" s="1684"/>
      <c r="AF47" s="943" t="s">
        <v>10</v>
      </c>
      <c r="AG47" s="281"/>
    </row>
    <row r="48" spans="1:33" ht="51.75" customHeight="1">
      <c r="A48" s="2945">
        <v>3</v>
      </c>
      <c r="B48" s="2896" t="s">
        <v>134</v>
      </c>
      <c r="C48" s="2897"/>
      <c r="D48" s="2871" t="s">
        <v>233</v>
      </c>
      <c r="E48" s="2873" t="s">
        <v>233</v>
      </c>
      <c r="F48" s="49" t="s">
        <v>4</v>
      </c>
      <c r="G48" s="929" t="str">
        <f>'XM.FILE GOC'!$E$47</f>
        <v>50~70</v>
      </c>
      <c r="H48" s="2427" t="str">
        <f>'XM.FILE GOC'!$F$47</f>
        <v>(60±10)</v>
      </c>
      <c r="I48" s="1473">
        <f>'XM.FILE GOC'!AD47</f>
        <v>61</v>
      </c>
      <c r="J48" s="61" t="s">
        <v>8</v>
      </c>
      <c r="K48" s="613">
        <f>'XM.FILE GOC'!AG47</f>
        <v>0</v>
      </c>
      <c r="L48" s="614" t="s">
        <v>9</v>
      </c>
      <c r="M48" s="939"/>
      <c r="N48" s="940" t="s">
        <v>8</v>
      </c>
      <c r="O48" s="1685"/>
      <c r="P48" s="941" t="s">
        <v>9</v>
      </c>
      <c r="Q48" s="1473">
        <f>'XM.FILE GOC'!AK47</f>
        <v>60.6</v>
      </c>
      <c r="R48" s="61" t="s">
        <v>8</v>
      </c>
      <c r="S48" s="613">
        <f>'XM.FILE GOC'!AN47</f>
        <v>0</v>
      </c>
      <c r="T48" s="614" t="s">
        <v>9</v>
      </c>
      <c r="U48" s="939"/>
      <c r="V48" s="940" t="s">
        <v>8</v>
      </c>
      <c r="W48" s="1685"/>
      <c r="X48" s="941" t="s">
        <v>9</v>
      </c>
      <c r="Y48" s="1473">
        <f>'XM.FILE GOC'!AR47</f>
        <v>60</v>
      </c>
      <c r="Z48" s="61" t="s">
        <v>8</v>
      </c>
      <c r="AA48" s="613">
        <f>'XM.FILE GOC'!AU47</f>
        <v>0</v>
      </c>
      <c r="AB48" s="614" t="s">
        <v>9</v>
      </c>
      <c r="AC48" s="939"/>
      <c r="AD48" s="940" t="s">
        <v>8</v>
      </c>
      <c r="AE48" s="1685"/>
      <c r="AF48" s="941" t="s">
        <v>9</v>
      </c>
      <c r="AG48" s="75" t="s">
        <v>12</v>
      </c>
    </row>
    <row r="49" spans="1:33" ht="51.75" customHeight="1">
      <c r="A49" s="2953"/>
      <c r="B49" s="2897"/>
      <c r="C49" s="2897"/>
      <c r="D49" s="2871" t="s">
        <v>234</v>
      </c>
      <c r="E49" s="2873" t="s">
        <v>234</v>
      </c>
      <c r="F49" s="273"/>
      <c r="G49" s="929" t="s">
        <v>991</v>
      </c>
      <c r="H49" s="2427"/>
      <c r="I49" s="1783"/>
      <c r="J49" s="61"/>
      <c r="K49" s="985">
        <f>K48/25*7</f>
        <v>0</v>
      </c>
      <c r="L49" s="614" t="s">
        <v>10</v>
      </c>
      <c r="M49" s="939"/>
      <c r="N49" s="942" t="s">
        <v>8</v>
      </c>
      <c r="O49" s="1684"/>
      <c r="P49" s="943" t="s">
        <v>10</v>
      </c>
      <c r="Q49" s="1783"/>
      <c r="R49" s="61"/>
      <c r="S49" s="985">
        <f>S48/25*7</f>
        <v>0</v>
      </c>
      <c r="T49" s="614" t="s">
        <v>10</v>
      </c>
      <c r="U49" s="939"/>
      <c r="V49" s="942" t="s">
        <v>8</v>
      </c>
      <c r="W49" s="1684"/>
      <c r="X49" s="943" t="s">
        <v>10</v>
      </c>
      <c r="Y49" s="1783"/>
      <c r="Z49" s="61"/>
      <c r="AA49" s="985">
        <f>AA48/25*7</f>
        <v>0</v>
      </c>
      <c r="AB49" s="614" t="s">
        <v>10</v>
      </c>
      <c r="AC49" s="939"/>
      <c r="AD49" s="942" t="s">
        <v>8</v>
      </c>
      <c r="AE49" s="1684"/>
      <c r="AF49" s="943" t="s">
        <v>10</v>
      </c>
      <c r="AG49" s="20"/>
    </row>
    <row r="50" spans="1:33" ht="51.75" customHeight="1">
      <c r="A50" s="2945">
        <v>4</v>
      </c>
      <c r="B50" s="2896" t="s">
        <v>135</v>
      </c>
      <c r="C50" s="2897"/>
      <c r="D50" s="2871" t="s">
        <v>233</v>
      </c>
      <c r="E50" s="2873" t="s">
        <v>233</v>
      </c>
      <c r="F50" s="49" t="s">
        <v>4</v>
      </c>
      <c r="G50" s="929" t="str">
        <f>'XM.FILE GOC'!$E$49</f>
        <v>50~70</v>
      </c>
      <c r="H50" s="2427" t="str">
        <f>'XM.FILE GOC'!$F$49</f>
        <v>(60±10)</v>
      </c>
      <c r="I50" s="1473">
        <f>'XM.FILE GOC'!AD49</f>
        <v>61.908000000000001</v>
      </c>
      <c r="J50" s="61" t="s">
        <v>8</v>
      </c>
      <c r="K50" s="613">
        <f>'XM.FILE GOC'!AG49</f>
        <v>0</v>
      </c>
      <c r="L50" s="614" t="s">
        <v>9</v>
      </c>
      <c r="M50" s="939"/>
      <c r="N50" s="940" t="s">
        <v>8</v>
      </c>
      <c r="O50" s="1685"/>
      <c r="P50" s="941" t="s">
        <v>9</v>
      </c>
      <c r="Q50" s="1473">
        <f>'XM.FILE GOC'!AK49</f>
        <v>61.2</v>
      </c>
      <c r="R50" s="61" t="s">
        <v>8</v>
      </c>
      <c r="S50" s="613">
        <f>'XM.FILE GOC'!AN49</f>
        <v>0</v>
      </c>
      <c r="T50" s="614" t="s">
        <v>9</v>
      </c>
      <c r="U50" s="939"/>
      <c r="V50" s="940" t="s">
        <v>8</v>
      </c>
      <c r="W50" s="1685"/>
      <c r="X50" s="941" t="s">
        <v>9</v>
      </c>
      <c r="Y50" s="1473">
        <f>'XM.FILE GOC'!AR49</f>
        <v>60.6</v>
      </c>
      <c r="Z50" s="61" t="s">
        <v>8</v>
      </c>
      <c r="AA50" s="613">
        <f>'XM.FILE GOC'!AU49</f>
        <v>0</v>
      </c>
      <c r="AB50" s="614" t="s">
        <v>9</v>
      </c>
      <c r="AC50" s="939"/>
      <c r="AD50" s="940" t="s">
        <v>8</v>
      </c>
      <c r="AE50" s="1685"/>
      <c r="AF50" s="941" t="s">
        <v>9</v>
      </c>
      <c r="AG50" s="75" t="s">
        <v>12</v>
      </c>
    </row>
    <row r="51" spans="1:33" ht="51.75" customHeight="1">
      <c r="A51" s="2953"/>
      <c r="B51" s="2897"/>
      <c r="C51" s="2897"/>
      <c r="D51" s="2871" t="s">
        <v>234</v>
      </c>
      <c r="E51" s="2873" t="s">
        <v>234</v>
      </c>
      <c r="F51" s="273"/>
      <c r="G51" s="929" t="s">
        <v>991</v>
      </c>
      <c r="H51" s="2427"/>
      <c r="I51" s="1783"/>
      <c r="J51" s="61"/>
      <c r="K51" s="985">
        <f>K50/25*7</f>
        <v>0</v>
      </c>
      <c r="L51" s="614" t="s">
        <v>10</v>
      </c>
      <c r="M51" s="939"/>
      <c r="N51" s="942" t="s">
        <v>8</v>
      </c>
      <c r="O51" s="1684"/>
      <c r="P51" s="943" t="s">
        <v>10</v>
      </c>
      <c r="Q51" s="1783"/>
      <c r="R51" s="61"/>
      <c r="S51" s="985">
        <f>S50/25*7</f>
        <v>0</v>
      </c>
      <c r="T51" s="614" t="s">
        <v>10</v>
      </c>
      <c r="U51" s="939"/>
      <c r="V51" s="942" t="s">
        <v>8</v>
      </c>
      <c r="W51" s="1684"/>
      <c r="X51" s="943" t="s">
        <v>10</v>
      </c>
      <c r="Y51" s="1783"/>
      <c r="Z51" s="61"/>
      <c r="AA51" s="985">
        <f>AA50/25*7</f>
        <v>0</v>
      </c>
      <c r="AB51" s="614" t="s">
        <v>10</v>
      </c>
      <c r="AC51" s="939"/>
      <c r="AD51" s="942" t="s">
        <v>8</v>
      </c>
      <c r="AE51" s="1684"/>
      <c r="AF51" s="943" t="s">
        <v>10</v>
      </c>
      <c r="AG51" s="20"/>
    </row>
    <row r="52" spans="1:33" ht="51.75" customHeight="1">
      <c r="A52" s="49">
        <v>5</v>
      </c>
      <c r="B52" s="2871" t="s">
        <v>80</v>
      </c>
      <c r="C52" s="2872"/>
      <c r="D52" s="2872"/>
      <c r="E52" s="2873"/>
      <c r="F52" s="49" t="s">
        <v>4</v>
      </c>
      <c r="G52" s="929" t="str">
        <f>'XM.FILE GOC'!$E$51</f>
        <v>130 - 150</v>
      </c>
      <c r="H52" s="2427" t="str">
        <f>'XM.FILE GOC'!$F$51</f>
        <v>(140±7)</v>
      </c>
      <c r="I52" s="1862">
        <f>'XM.FILE GOC'!AD51</f>
        <v>145.6</v>
      </c>
      <c r="J52" s="61" t="s">
        <v>8</v>
      </c>
      <c r="K52" s="613">
        <f>'XM.FILE GOC'!AG51</f>
        <v>0</v>
      </c>
      <c r="L52" s="614" t="s">
        <v>9</v>
      </c>
      <c r="M52" s="939"/>
      <c r="N52" s="940" t="s">
        <v>8</v>
      </c>
      <c r="O52" s="966"/>
      <c r="P52" s="941" t="s">
        <v>9</v>
      </c>
      <c r="Q52" s="1862">
        <f>'XM.FILE GOC'!AK51</f>
        <v>144.19999999999999</v>
      </c>
      <c r="R52" s="61" t="s">
        <v>8</v>
      </c>
      <c r="S52" s="613">
        <f>'XM.FILE GOC'!AN51</f>
        <v>0</v>
      </c>
      <c r="T52" s="614" t="s">
        <v>9</v>
      </c>
      <c r="U52" s="939"/>
      <c r="V52" s="940" t="s">
        <v>8</v>
      </c>
      <c r="W52" s="966"/>
      <c r="X52" s="941" t="s">
        <v>9</v>
      </c>
      <c r="Y52" s="1501">
        <f>'XM.FILE GOC'!AR51</f>
        <v>143.19999999999999</v>
      </c>
      <c r="Z52" s="61" t="s">
        <v>8</v>
      </c>
      <c r="AA52" s="613">
        <f>'XM.FILE GOC'!AU51</f>
        <v>0</v>
      </c>
      <c r="AB52" s="614" t="s">
        <v>9</v>
      </c>
      <c r="AC52" s="939"/>
      <c r="AD52" s="940" t="s">
        <v>8</v>
      </c>
      <c r="AE52" s="966"/>
      <c r="AF52" s="941" t="s">
        <v>9</v>
      </c>
      <c r="AG52" s="75" t="s">
        <v>13</v>
      </c>
    </row>
    <row r="53" spans="1:33" ht="51.75" customHeight="1">
      <c r="A53" s="49">
        <v>6</v>
      </c>
      <c r="B53" s="2871" t="s">
        <v>58</v>
      </c>
      <c r="C53" s="2872"/>
      <c r="D53" s="2872"/>
      <c r="E53" s="2873"/>
      <c r="F53" s="49" t="s">
        <v>4</v>
      </c>
      <c r="G53" s="929" t="str">
        <f>'XM.FILE GOC'!$E$52</f>
        <v>8~12</v>
      </c>
      <c r="H53" s="2427" t="str">
        <f>'XM.FILE GOC'!$F$52</f>
        <v>(10±2)</v>
      </c>
      <c r="I53" s="1838">
        <f>'XM.FILE GOC'!AD52</f>
        <v>11.18</v>
      </c>
      <c r="J53" s="982" t="s">
        <v>8</v>
      </c>
      <c r="K53" s="983">
        <f>'XM.FILE GOC'!AG52</f>
        <v>0</v>
      </c>
      <c r="L53" s="18" t="s">
        <v>9</v>
      </c>
      <c r="M53" s="939"/>
      <c r="N53" s="940" t="s">
        <v>8</v>
      </c>
      <c r="O53" s="966"/>
      <c r="P53" s="941" t="s">
        <v>9</v>
      </c>
      <c r="Q53" s="1838">
        <f>'XM.FILE GOC'!AK52</f>
        <v>11.1</v>
      </c>
      <c r="R53" s="61" t="s">
        <v>8</v>
      </c>
      <c r="S53" s="613">
        <f>'XM.FILE GOC'!AN52</f>
        <v>0</v>
      </c>
      <c r="T53" s="18" t="s">
        <v>9</v>
      </c>
      <c r="U53" s="939"/>
      <c r="V53" s="940" t="s">
        <v>8</v>
      </c>
      <c r="W53" s="966"/>
      <c r="X53" s="941" t="s">
        <v>9</v>
      </c>
      <c r="Y53" s="621">
        <f>'XM.FILE GOC'!AR52</f>
        <v>11</v>
      </c>
      <c r="Z53" s="61" t="s">
        <v>8</v>
      </c>
      <c r="AA53" s="613">
        <f>'XM.FILE GOC'!AU52</f>
        <v>0</v>
      </c>
      <c r="AB53" s="941" t="s">
        <v>9</v>
      </c>
      <c r="AC53" s="939"/>
      <c r="AD53" s="940" t="s">
        <v>8</v>
      </c>
      <c r="AE53" s="966"/>
      <c r="AF53" s="941" t="s">
        <v>9</v>
      </c>
      <c r="AG53" s="75" t="s">
        <v>14</v>
      </c>
    </row>
    <row r="54" spans="1:33" ht="51.75" customHeight="1">
      <c r="A54" s="2945">
        <v>7</v>
      </c>
      <c r="B54" s="2885" t="s">
        <v>947</v>
      </c>
      <c r="C54" s="2886"/>
      <c r="D54" s="2886"/>
      <c r="E54" s="2887"/>
      <c r="F54" s="49" t="s">
        <v>3</v>
      </c>
      <c r="G54" s="929" t="str">
        <f>'XM.FILE GOC'!$E$53</f>
        <v xml:space="preserve">6~10 </v>
      </c>
      <c r="H54" s="2427" t="str">
        <f>'XM.FILE GOC'!$F$53</f>
        <v>(7±1)</v>
      </c>
      <c r="I54" s="1838">
        <f>'XM.FILE GOC'!AD53</f>
        <v>6.9194600000000008</v>
      </c>
      <c r="J54" s="982" t="s">
        <v>8</v>
      </c>
      <c r="K54" s="983">
        <f>'XM.FILE GOC'!AG53</f>
        <v>0.46310499999999521</v>
      </c>
      <c r="L54" s="984" t="s">
        <v>10</v>
      </c>
      <c r="M54" s="939"/>
      <c r="N54" s="942" t="s">
        <v>8</v>
      </c>
      <c r="O54" s="966"/>
      <c r="P54" s="943" t="s">
        <v>10</v>
      </c>
      <c r="Q54" s="1838">
        <f>'XM.FILE GOC'!AK53</f>
        <v>7.2</v>
      </c>
      <c r="R54" s="982" t="s">
        <v>8</v>
      </c>
      <c r="S54" s="983">
        <f>'XM.FILE GOC'!AN53</f>
        <v>0</v>
      </c>
      <c r="T54" s="984" t="s">
        <v>10</v>
      </c>
      <c r="U54" s="939"/>
      <c r="V54" s="942" t="s">
        <v>8</v>
      </c>
      <c r="W54" s="966"/>
      <c r="X54" s="943" t="s">
        <v>10</v>
      </c>
      <c r="Y54" s="621">
        <f>'XM.FILE GOC'!AR53</f>
        <v>7.1</v>
      </c>
      <c r="Z54" s="61" t="s">
        <v>8</v>
      </c>
      <c r="AA54" s="613">
        <f>'XM.FILE GOC'!AU53</f>
        <v>0</v>
      </c>
      <c r="AB54" s="614" t="s">
        <v>10</v>
      </c>
      <c r="AC54" s="939"/>
      <c r="AD54" s="942" t="s">
        <v>8</v>
      </c>
      <c r="AE54" s="966"/>
      <c r="AF54" s="943" t="s">
        <v>10</v>
      </c>
      <c r="AG54" s="75"/>
    </row>
    <row r="55" spans="1:33" ht="51.75" customHeight="1">
      <c r="A55" s="2953"/>
      <c r="B55" s="2888"/>
      <c r="C55" s="2889"/>
      <c r="D55" s="2889"/>
      <c r="E55" s="2890"/>
      <c r="F55" s="49" t="s">
        <v>5</v>
      </c>
      <c r="G55" s="929" t="str">
        <f>'XM.FILE GOC'!$E$54</f>
        <v>2~2.5</v>
      </c>
      <c r="H55" s="2427" t="str">
        <f>'XM.FILE GOC'!$F$54</f>
        <v>(2.3±0.1 )</v>
      </c>
      <c r="I55" s="1838">
        <f>'XM.FILE GOC'!AD54</f>
        <v>2.2000000000000002</v>
      </c>
      <c r="J55" s="986"/>
      <c r="K55" s="983">
        <f>'XM.FILE GOC'!AG54</f>
        <v>0</v>
      </c>
      <c r="L55" s="987"/>
      <c r="M55" s="939"/>
      <c r="N55" s="944"/>
      <c r="O55" s="968"/>
      <c r="P55" s="945"/>
      <c r="Q55" s="1838">
        <f>'XM.FILE GOC'!AK54</f>
        <v>2.23</v>
      </c>
      <c r="R55" s="986"/>
      <c r="S55" s="983">
        <f>'XM.FILE GOC'!AN54</f>
        <v>0</v>
      </c>
      <c r="T55" s="987"/>
      <c r="U55" s="939"/>
      <c r="V55" s="944"/>
      <c r="W55" s="968"/>
      <c r="X55" s="945"/>
      <c r="Y55" s="621">
        <f>'XM.FILE GOC'!AR54</f>
        <v>2.2000000000000002</v>
      </c>
      <c r="Z55" s="61"/>
      <c r="AA55" s="613">
        <f>'XM.FILE GOC'!AU54</f>
        <v>0</v>
      </c>
      <c r="AB55" s="614"/>
      <c r="AC55" s="939"/>
      <c r="AD55" s="944"/>
      <c r="AE55" s="968"/>
      <c r="AF55" s="945"/>
      <c r="AG55" s="20"/>
    </row>
    <row r="56" spans="1:33" ht="51.75" customHeight="1">
      <c r="A56" s="49">
        <v>8</v>
      </c>
      <c r="B56" s="2871" t="s">
        <v>59</v>
      </c>
      <c r="C56" s="2872"/>
      <c r="D56" s="2872"/>
      <c r="E56" s="2873"/>
      <c r="F56" s="991" t="s">
        <v>6</v>
      </c>
      <c r="G56" s="929" t="str">
        <f>'XM.FILE GOC'!$E$55</f>
        <v xml:space="preserve">40~50 </v>
      </c>
      <c r="H56" s="2427" t="str">
        <f>'XM.FILE GOC'!$F$55</f>
        <v>(45±5)</v>
      </c>
      <c r="I56" s="1843">
        <f>'XM.FILE GOC'!AD55</f>
        <v>0.45624999999999999</v>
      </c>
      <c r="J56" s="61" t="s">
        <v>8</v>
      </c>
      <c r="K56" s="613">
        <f>'XM.FILE GOC'!AG55</f>
        <v>0</v>
      </c>
      <c r="L56" s="614" t="s">
        <v>10</v>
      </c>
      <c r="M56" s="946"/>
      <c r="N56" s="940" t="s">
        <v>8</v>
      </c>
      <c r="O56" s="966"/>
      <c r="P56" s="941" t="s">
        <v>10</v>
      </c>
      <c r="Q56" s="1843">
        <f>'XM.FILE GOC'!AK55</f>
        <v>0.45200000000000001</v>
      </c>
      <c r="R56" s="61" t="s">
        <v>8</v>
      </c>
      <c r="S56" s="613">
        <f>'XM.FILE GOC'!AN55</f>
        <v>0</v>
      </c>
      <c r="T56" s="614" t="s">
        <v>10</v>
      </c>
      <c r="U56" s="946"/>
      <c r="V56" s="940" t="s">
        <v>8</v>
      </c>
      <c r="W56" s="966"/>
      <c r="X56" s="941" t="s">
        <v>10</v>
      </c>
      <c r="Y56" s="310">
        <f>'XM.FILE GOC'!AR55</f>
        <v>0.43343749999999998</v>
      </c>
      <c r="Z56" s="61" t="s">
        <v>8</v>
      </c>
      <c r="AA56" s="613">
        <f>'XM.FILE GOC'!AU55</f>
        <v>35.145625000000074</v>
      </c>
      <c r="AB56" s="614" t="s">
        <v>10</v>
      </c>
      <c r="AC56" s="946">
        <v>0.45600000000000002</v>
      </c>
      <c r="AD56" s="940" t="s">
        <v>8</v>
      </c>
      <c r="AE56" s="966"/>
      <c r="AF56" s="941" t="s">
        <v>10</v>
      </c>
      <c r="AG56" s="75" t="s">
        <v>15</v>
      </c>
    </row>
    <row r="57" spans="1:33" ht="51.75" hidden="1" customHeight="1">
      <c r="A57" s="49">
        <v>9</v>
      </c>
      <c r="B57" s="2871" t="s">
        <v>60</v>
      </c>
      <c r="C57" s="2872"/>
      <c r="D57" s="2872"/>
      <c r="E57" s="2873"/>
      <c r="F57" s="991" t="s">
        <v>6</v>
      </c>
      <c r="G57" s="929" t="str">
        <f>'XM.FILE GOC'!$E$56</f>
        <v>(22±5) =17~27</v>
      </c>
      <c r="H57" s="2427" t="str">
        <f>'XM.FILE GOC'!$F$56</f>
        <v>(22±5)</v>
      </c>
      <c r="I57" s="1843">
        <f>'XM.FILE GOC'!AD56</f>
        <v>0</v>
      </c>
      <c r="J57" s="61" t="s">
        <v>8</v>
      </c>
      <c r="K57" s="613">
        <f>'XM.FILE GOC'!AG56</f>
        <v>134.64000000000001</v>
      </c>
      <c r="L57" s="614" t="s">
        <v>10</v>
      </c>
      <c r="M57" s="946"/>
      <c r="N57" s="940" t="s">
        <v>8</v>
      </c>
      <c r="O57" s="966"/>
      <c r="P57" s="941" t="s">
        <v>10</v>
      </c>
      <c r="Q57" s="1843">
        <f>'XM.FILE GOC'!AK56</f>
        <v>0</v>
      </c>
      <c r="R57" s="61" t="s">
        <v>8</v>
      </c>
      <c r="S57" s="613">
        <f>'XM.FILE GOC'!AN56</f>
        <v>134.64000000000001</v>
      </c>
      <c r="T57" s="614" t="s">
        <v>10</v>
      </c>
      <c r="U57" s="946"/>
      <c r="V57" s="940" t="s">
        <v>8</v>
      </c>
      <c r="W57" s="966"/>
      <c r="X57" s="941" t="s">
        <v>10</v>
      </c>
      <c r="Y57" s="310">
        <f>'XM.FILE GOC'!AR56</f>
        <v>0</v>
      </c>
      <c r="Z57" s="61" t="s">
        <v>8</v>
      </c>
      <c r="AA57" s="613">
        <f>'XM.FILE GOC'!AU56</f>
        <v>134.64000000000001</v>
      </c>
      <c r="AB57" s="614" t="s">
        <v>10</v>
      </c>
      <c r="AC57" s="946"/>
      <c r="AD57" s="940" t="s">
        <v>8</v>
      </c>
      <c r="AE57" s="966"/>
      <c r="AF57" s="941" t="s">
        <v>10</v>
      </c>
      <c r="AG57" s="75" t="s">
        <v>15</v>
      </c>
    </row>
    <row r="58" spans="1:33" ht="51.75" hidden="1" customHeight="1">
      <c r="A58" s="49">
        <v>11</v>
      </c>
      <c r="B58" s="2871" t="s">
        <v>109</v>
      </c>
      <c r="C58" s="2872"/>
      <c r="D58" s="2872"/>
      <c r="E58" s="2873"/>
      <c r="F58" s="991" t="s">
        <v>6</v>
      </c>
      <c r="G58" s="929" t="str">
        <f>'XM.FILE GOC'!$E$57</f>
        <v>5~15</v>
      </c>
      <c r="H58" s="2427" t="str">
        <f>'XM.FILE GOC'!$F$57</f>
        <v>(10±3)</v>
      </c>
      <c r="I58" s="1843">
        <f>'XM.FILE GOC'!AD57</f>
        <v>0</v>
      </c>
      <c r="J58" s="982" t="s">
        <v>8</v>
      </c>
      <c r="K58" s="983">
        <f>'XM.FILE GOC'!AG57</f>
        <v>57.5</v>
      </c>
      <c r="L58" s="984" t="s">
        <v>10</v>
      </c>
      <c r="M58" s="946"/>
      <c r="N58" s="940" t="s">
        <v>8</v>
      </c>
      <c r="O58" s="966"/>
      <c r="P58" s="941" t="s">
        <v>10</v>
      </c>
      <c r="Q58" s="1843">
        <f>'XM.FILE GOC'!AK57</f>
        <v>0</v>
      </c>
      <c r="R58" s="982" t="s">
        <v>8</v>
      </c>
      <c r="S58" s="983">
        <f>'XM.FILE GOC'!AN57</f>
        <v>57.5</v>
      </c>
      <c r="T58" s="984" t="s">
        <v>10</v>
      </c>
      <c r="U58" s="946"/>
      <c r="V58" s="940" t="s">
        <v>8</v>
      </c>
      <c r="W58" s="966"/>
      <c r="X58" s="941" t="s">
        <v>10</v>
      </c>
      <c r="Y58" s="310">
        <f>'XM.FILE GOC'!AR57</f>
        <v>0</v>
      </c>
      <c r="Z58" s="61" t="s">
        <v>8</v>
      </c>
      <c r="AA58" s="613">
        <f>'XM.FILE GOC'!AU57</f>
        <v>57.5</v>
      </c>
      <c r="AB58" s="614" t="s">
        <v>10</v>
      </c>
      <c r="AC58" s="946"/>
      <c r="AD58" s="940" t="s">
        <v>8</v>
      </c>
      <c r="AE58" s="966"/>
      <c r="AF58" s="941" t="s">
        <v>10</v>
      </c>
      <c r="AG58" s="75" t="s">
        <v>16</v>
      </c>
    </row>
    <row r="59" spans="1:33" ht="51.75" customHeight="1">
      <c r="A59" s="49">
        <v>10</v>
      </c>
      <c r="B59" s="2871" t="s">
        <v>948</v>
      </c>
      <c r="C59" s="2872"/>
      <c r="D59" s="2872"/>
      <c r="E59" s="2873"/>
      <c r="F59" s="991" t="s">
        <v>3</v>
      </c>
      <c r="G59" s="929" t="str">
        <f>'XM.FILE GOC'!$E$58</f>
        <v>0.5~1.5</v>
      </c>
      <c r="H59" s="2427" t="str">
        <f>'XM.FILE GOC'!$F$58</f>
        <v>(1±0.4)</v>
      </c>
      <c r="I59" s="1876">
        <f>'XM.FILE GOC'!AD58</f>
        <v>1.2348000000000001E-2</v>
      </c>
      <c r="J59" s="61" t="s">
        <v>8</v>
      </c>
      <c r="K59" s="985">
        <f>'XM.FILE GOC'!AG58</f>
        <v>0</v>
      </c>
      <c r="L59" s="614" t="s">
        <v>10</v>
      </c>
      <c r="M59" s="946"/>
      <c r="N59" s="940" t="s">
        <v>8</v>
      </c>
      <c r="O59" s="966"/>
      <c r="P59" s="949" t="s">
        <v>10</v>
      </c>
      <c r="Q59" s="1876">
        <f>'XM.FILE GOC'!AK58</f>
        <v>1.2E-2</v>
      </c>
      <c r="R59" s="61" t="s">
        <v>8</v>
      </c>
      <c r="S59" s="985">
        <f>'XM.FILE GOC'!AN58</f>
        <v>0</v>
      </c>
      <c r="T59" s="614" t="s">
        <v>10</v>
      </c>
      <c r="U59" s="946"/>
      <c r="V59" s="940" t="s">
        <v>8</v>
      </c>
      <c r="W59" s="966"/>
      <c r="X59" s="949" t="s">
        <v>10</v>
      </c>
      <c r="Y59" s="2390">
        <f>'XM.FILE GOC'!AR58</f>
        <v>9.4500000000000001E-3</v>
      </c>
      <c r="Z59" s="61" t="s">
        <v>8</v>
      </c>
      <c r="AA59" s="985">
        <f>'XM.FILE GOC'!AU58</f>
        <v>0.29699439633214475</v>
      </c>
      <c r="AB59" s="614" t="s">
        <v>10</v>
      </c>
      <c r="AC59" s="946">
        <v>0.01</v>
      </c>
      <c r="AD59" s="940" t="s">
        <v>8</v>
      </c>
      <c r="AE59" s="966"/>
      <c r="AF59" s="949" t="s">
        <v>10</v>
      </c>
      <c r="AG59" s="75" t="s">
        <v>16</v>
      </c>
    </row>
    <row r="60" spans="1:33" ht="51.75" customHeight="1">
      <c r="A60" s="2389"/>
      <c r="B60" s="2877" t="s">
        <v>235</v>
      </c>
      <c r="C60" s="2878"/>
      <c r="D60" s="2878"/>
      <c r="E60" s="2879"/>
      <c r="F60" s="2383" t="s">
        <v>3</v>
      </c>
      <c r="G60" s="1042" t="str">
        <f>'XM.GUI MAIL'!$E$59</f>
        <v>5~8</v>
      </c>
      <c r="H60" s="2431" t="str">
        <f>'XM.GUI MAIL'!$F$59</f>
        <v>(6±0.5)</v>
      </c>
      <c r="I60" s="1952" t="str">
        <f>'XM.FILE GOC'!AD59</f>
        <v>KO SX</v>
      </c>
      <c r="J60" s="61" t="s">
        <v>8</v>
      </c>
      <c r="K60" s="985">
        <f>'XM.FILE GOC'!L98</f>
        <v>0</v>
      </c>
      <c r="L60" s="614" t="s">
        <v>10</v>
      </c>
      <c r="M60" s="2466"/>
      <c r="N60" s="940" t="s">
        <v>8</v>
      </c>
      <c r="O60" s="1685"/>
      <c r="P60" s="941" t="s">
        <v>10</v>
      </c>
      <c r="Q60" s="1952" t="str">
        <f>'XM.FILE GOC'!AK59</f>
        <v>KO SX</v>
      </c>
      <c r="R60" s="61" t="s">
        <v>8</v>
      </c>
      <c r="S60" s="985">
        <f>'XM.FILE GOC'!S98</f>
        <v>0</v>
      </c>
      <c r="T60" s="614" t="s">
        <v>10</v>
      </c>
      <c r="U60" s="2466"/>
      <c r="V60" s="940" t="s">
        <v>8</v>
      </c>
      <c r="W60" s="1685"/>
      <c r="X60" s="941" t="s">
        <v>10</v>
      </c>
      <c r="Y60" s="1952" t="str">
        <f>'XM.FILE GOC'!AR59</f>
        <v>KO SX</v>
      </c>
      <c r="Z60" s="61" t="s">
        <v>8</v>
      </c>
      <c r="AA60" s="985">
        <f>'XM.FILE GOC'!Z98</f>
        <v>0</v>
      </c>
      <c r="AB60" s="614" t="s">
        <v>10</v>
      </c>
      <c r="AC60" s="2466"/>
      <c r="AD60" s="940" t="s">
        <v>8</v>
      </c>
      <c r="AE60" s="1685"/>
      <c r="AF60" s="941" t="s">
        <v>10</v>
      </c>
      <c r="AG60" s="281"/>
    </row>
    <row r="61" spans="1:33" ht="51.75" customHeight="1">
      <c r="A61" s="2389"/>
      <c r="B61" s="2880"/>
      <c r="C61" s="2881"/>
      <c r="D61" s="2881"/>
      <c r="E61" s="2882"/>
      <c r="F61" s="2383" t="s">
        <v>5</v>
      </c>
      <c r="G61" s="1042" t="str">
        <f>'XM.GUI MAIL'!$E$60</f>
        <v>1.8~2.4</v>
      </c>
      <c r="H61" s="2431" t="str">
        <f>'XM.GUI MAIL'!$F$60</f>
        <v>(2.1±0.1 )</v>
      </c>
      <c r="I61" s="2398" t="str">
        <f>'XM.FILE GOC'!AD60</f>
        <v>KO SX</v>
      </c>
      <c r="J61" s="61"/>
      <c r="K61" s="985"/>
      <c r="L61" s="614"/>
      <c r="M61" s="946"/>
      <c r="N61" s="940"/>
      <c r="O61" s="966"/>
      <c r="P61" s="941"/>
      <c r="Q61" s="1869" t="str">
        <f>'XM.FILE GOC'!AK60</f>
        <v>KO SX</v>
      </c>
      <c r="R61" s="61"/>
      <c r="S61" s="985"/>
      <c r="T61" s="614"/>
      <c r="U61" s="946"/>
      <c r="V61" s="940"/>
      <c r="W61" s="966"/>
      <c r="X61" s="941"/>
      <c r="Y61" s="1869" t="str">
        <f>'XM.FILE GOC'!AR60</f>
        <v>KO SX</v>
      </c>
      <c r="Z61" s="61"/>
      <c r="AA61" s="985"/>
      <c r="AB61" s="614"/>
      <c r="AC61" s="946"/>
      <c r="AD61" s="940"/>
      <c r="AE61" s="966"/>
      <c r="AF61" s="941"/>
      <c r="AG61" s="281"/>
    </row>
    <row r="62" spans="1:33" ht="51.75" customHeight="1">
      <c r="A62" s="49"/>
      <c r="B62" s="2940" t="s">
        <v>110</v>
      </c>
      <c r="C62" s="2940"/>
      <c r="D62" s="2940"/>
      <c r="E62" s="2940"/>
      <c r="F62" s="2940"/>
      <c r="G62" s="2940"/>
      <c r="H62" s="2940"/>
      <c r="I62" s="2940"/>
      <c r="J62" s="2940"/>
      <c r="K62" s="2940"/>
      <c r="L62" s="2940"/>
      <c r="M62" s="2963"/>
      <c r="N62" s="2963"/>
      <c r="O62" s="2963"/>
      <c r="P62" s="2963"/>
      <c r="Q62" s="2940"/>
      <c r="R62" s="2940"/>
      <c r="S62" s="2940"/>
      <c r="T62" s="2940"/>
      <c r="U62" s="2940"/>
      <c r="V62" s="2940"/>
      <c r="W62" s="2940"/>
      <c r="X62" s="2940"/>
      <c r="Y62" s="2940"/>
      <c r="Z62" s="2940"/>
      <c r="AA62" s="2940"/>
      <c r="AB62" s="2940"/>
      <c r="AC62" s="2940"/>
      <c r="AD62" s="2940"/>
      <c r="AE62" s="2940"/>
      <c r="AF62" s="2940"/>
      <c r="AG62" s="2940"/>
    </row>
    <row r="63" spans="1:33" ht="51.75" customHeight="1">
      <c r="A63" s="991" t="s">
        <v>7</v>
      </c>
      <c r="B63" s="2871" t="s">
        <v>62</v>
      </c>
      <c r="C63" s="2872"/>
      <c r="D63" s="2872"/>
      <c r="E63" s="2873"/>
      <c r="F63" s="257" t="s">
        <v>64</v>
      </c>
      <c r="G63" s="1010" t="s">
        <v>1325</v>
      </c>
      <c r="H63" s="2429" t="s">
        <v>1317</v>
      </c>
      <c r="I63" s="2944" t="s">
        <v>46</v>
      </c>
      <c r="J63" s="2943"/>
      <c r="K63" s="2944" t="s">
        <v>63</v>
      </c>
      <c r="L63" s="2942"/>
      <c r="M63" s="950"/>
      <c r="N63" s="951"/>
      <c r="O63" s="951"/>
      <c r="P63" s="952"/>
      <c r="Q63" s="2942" t="s">
        <v>46</v>
      </c>
      <c r="R63" s="2943"/>
      <c r="S63" s="2944" t="s">
        <v>63</v>
      </c>
      <c r="T63" s="2943"/>
      <c r="U63" s="950"/>
      <c r="V63" s="951"/>
      <c r="W63" s="951"/>
      <c r="X63" s="952"/>
      <c r="Y63" s="2944" t="s">
        <v>46</v>
      </c>
      <c r="Z63" s="2943"/>
      <c r="AA63" s="2944" t="s">
        <v>63</v>
      </c>
      <c r="AB63" s="2943"/>
      <c r="AC63" s="950"/>
      <c r="AD63" s="951"/>
      <c r="AE63" s="951"/>
      <c r="AF63" s="952"/>
      <c r="AG63" s="76"/>
    </row>
    <row r="64" spans="1:33" ht="51.75" customHeight="1">
      <c r="A64" s="991">
        <v>1</v>
      </c>
      <c r="B64" s="2871" t="s">
        <v>66</v>
      </c>
      <c r="C64" s="2872"/>
      <c r="D64" s="2872"/>
      <c r="E64" s="2873"/>
      <c r="F64" s="256" t="s">
        <v>196</v>
      </c>
      <c r="G64" s="929" t="str">
        <f>'XM.FILE GOC'!$E$63</f>
        <v>50~70</v>
      </c>
      <c r="H64" s="2427" t="str">
        <f>'XM.FILE GOC'!$F$63</f>
        <v>(60±5)</v>
      </c>
      <c r="I64" s="2867">
        <v>55</v>
      </c>
      <c r="J64" s="2867"/>
      <c r="K64" s="2867">
        <v>56</v>
      </c>
      <c r="L64" s="2964"/>
      <c r="M64" s="953"/>
      <c r="N64" s="954"/>
      <c r="O64" s="954"/>
      <c r="P64" s="955"/>
      <c r="Q64" s="2934">
        <v>58</v>
      </c>
      <c r="R64" s="2867"/>
      <c r="S64" s="2867">
        <v>57</v>
      </c>
      <c r="T64" s="2867"/>
      <c r="U64" s="953"/>
      <c r="V64" s="954"/>
      <c r="W64" s="954"/>
      <c r="X64" s="955"/>
      <c r="Y64" s="2867">
        <v>55</v>
      </c>
      <c r="Z64" s="2867"/>
      <c r="AA64" s="2867">
        <v>56</v>
      </c>
      <c r="AB64" s="2867"/>
      <c r="AC64" s="953"/>
      <c r="AD64" s="954"/>
      <c r="AE64" s="954"/>
      <c r="AF64" s="955"/>
      <c r="AG64" s="20"/>
    </row>
    <row r="65" spans="1:33" ht="51.75" customHeight="1">
      <c r="A65" s="991">
        <v>2</v>
      </c>
      <c r="B65" s="2871" t="s">
        <v>67</v>
      </c>
      <c r="C65" s="2872" t="s">
        <v>67</v>
      </c>
      <c r="D65" s="2872" t="s">
        <v>67</v>
      </c>
      <c r="E65" s="2873" t="s">
        <v>67</v>
      </c>
      <c r="F65" s="256" t="s">
        <v>196</v>
      </c>
      <c r="G65" s="929" t="str">
        <f>'XM.FILE GOC'!$E$64</f>
        <v>50~70</v>
      </c>
      <c r="H65" s="2427" t="str">
        <f>'XM.FILE GOC'!$F$64</f>
        <v>(60±5)</v>
      </c>
      <c r="I65" s="2867">
        <f>'XM.GUI MAIL'!AD64</f>
        <v>62</v>
      </c>
      <c r="J65" s="2867"/>
      <c r="K65" s="2867">
        <f>'XM.FILE GOC'!AG64</f>
        <v>61</v>
      </c>
      <c r="L65" s="2964"/>
      <c r="M65" s="953"/>
      <c r="N65" s="954"/>
      <c r="O65" s="954"/>
      <c r="P65" s="955"/>
      <c r="Q65" s="2934">
        <v>61</v>
      </c>
      <c r="R65" s="2867"/>
      <c r="S65" s="2867">
        <v>60</v>
      </c>
      <c r="T65" s="2867"/>
      <c r="U65" s="953"/>
      <c r="V65" s="954"/>
      <c r="W65" s="954"/>
      <c r="X65" s="955"/>
      <c r="Y65" s="2867">
        <f>'XM.GUI MAIL'!AR64</f>
        <v>62</v>
      </c>
      <c r="Z65" s="2867"/>
      <c r="AA65" s="2867">
        <f>'XM.FILE GOC'!AU64</f>
        <v>61</v>
      </c>
      <c r="AB65" s="2867"/>
      <c r="AC65" s="953"/>
      <c r="AD65" s="954"/>
      <c r="AE65" s="954"/>
      <c r="AF65" s="955"/>
      <c r="AG65" s="20"/>
    </row>
    <row r="66" spans="1:33" ht="51.75" customHeight="1">
      <c r="A66" s="991">
        <v>3</v>
      </c>
      <c r="B66" s="2871" t="s">
        <v>69</v>
      </c>
      <c r="C66" s="2872" t="s">
        <v>69</v>
      </c>
      <c r="D66" s="2872" t="s">
        <v>69</v>
      </c>
      <c r="E66" s="2873" t="s">
        <v>69</v>
      </c>
      <c r="F66" s="256" t="s">
        <v>196</v>
      </c>
      <c r="G66" s="929" t="str">
        <f>'XM.FILE GOC'!$E$65</f>
        <v>40~60</v>
      </c>
      <c r="H66" s="2427" t="str">
        <f>'XM.FILE GOC'!$F$65</f>
        <v>(50±5)</v>
      </c>
      <c r="I66" s="2828">
        <f>'XM.GUI MAIL'!AD65</f>
        <v>53</v>
      </c>
      <c r="J66" s="2819"/>
      <c r="K66" s="2828">
        <f>'XM.FILE GOC'!AG65</f>
        <v>52</v>
      </c>
      <c r="L66" s="2819"/>
      <c r="M66" s="953"/>
      <c r="N66" s="954"/>
      <c r="O66" s="954"/>
      <c r="P66" s="955"/>
      <c r="Q66" s="2828">
        <v>54</v>
      </c>
      <c r="R66" s="2819"/>
      <c r="S66" s="2828">
        <v>53</v>
      </c>
      <c r="T66" s="2819"/>
      <c r="U66" s="953"/>
      <c r="V66" s="954"/>
      <c r="W66" s="954"/>
      <c r="X66" s="955"/>
      <c r="Y66" s="2828">
        <f>'XM.GUI MAIL'!AR65</f>
        <v>53</v>
      </c>
      <c r="Z66" s="2819"/>
      <c r="AA66" s="2828">
        <f>'XM.FILE GOC'!AU65</f>
        <v>52</v>
      </c>
      <c r="AB66" s="2819"/>
      <c r="AC66" s="953"/>
      <c r="AD66" s="954"/>
      <c r="AE66" s="954"/>
      <c r="AF66" s="955"/>
      <c r="AG66" s="20"/>
    </row>
    <row r="67" spans="1:33" ht="51.75" customHeight="1">
      <c r="A67" s="991">
        <v>4</v>
      </c>
      <c r="B67" s="2871" t="s">
        <v>68</v>
      </c>
      <c r="C67" s="2872" t="s">
        <v>68</v>
      </c>
      <c r="D67" s="2872" t="s">
        <v>68</v>
      </c>
      <c r="E67" s="2873" t="s">
        <v>68</v>
      </c>
      <c r="F67" s="256" t="s">
        <v>196</v>
      </c>
      <c r="G67" s="929" t="str">
        <f>'XM.FILE GOC'!$E$66</f>
        <v>40~60</v>
      </c>
      <c r="H67" s="2427" t="str">
        <f>'XM.FILE GOC'!$F$66</f>
        <v>(50±5)</v>
      </c>
      <c r="I67" s="2828">
        <f>'XM.GUI MAIL'!AD66</f>
        <v>51</v>
      </c>
      <c r="J67" s="2819"/>
      <c r="K67" s="2828">
        <f>'XM.FILE GOC'!AG66</f>
        <v>50</v>
      </c>
      <c r="L67" s="2819"/>
      <c r="M67" s="953"/>
      <c r="N67" s="954"/>
      <c r="O67" s="954"/>
      <c r="P67" s="955"/>
      <c r="Q67" s="2828">
        <v>51</v>
      </c>
      <c r="R67" s="2819"/>
      <c r="S67" s="2828">
        <v>50</v>
      </c>
      <c r="T67" s="2819"/>
      <c r="U67" s="953"/>
      <c r="V67" s="954"/>
      <c r="W67" s="954"/>
      <c r="X67" s="955"/>
      <c r="Y67" s="2828">
        <f>'XM.GUI MAIL'!AR66</f>
        <v>49</v>
      </c>
      <c r="Z67" s="2819"/>
      <c r="AA67" s="2828">
        <f>'XM.FILE GOC'!AU66</f>
        <v>48</v>
      </c>
      <c r="AB67" s="2819"/>
      <c r="AC67" s="953"/>
      <c r="AD67" s="954"/>
      <c r="AE67" s="954"/>
      <c r="AF67" s="955"/>
      <c r="AG67" s="20"/>
    </row>
    <row r="68" spans="1:33" ht="51.75" customHeight="1">
      <c r="A68" s="991">
        <v>5</v>
      </c>
      <c r="B68" s="2871" t="s">
        <v>70</v>
      </c>
      <c r="C68" s="2872" t="s">
        <v>70</v>
      </c>
      <c r="D68" s="2872" t="s">
        <v>70</v>
      </c>
      <c r="E68" s="2873" t="s">
        <v>70</v>
      </c>
      <c r="F68" s="256" t="s">
        <v>196</v>
      </c>
      <c r="G68" s="929" t="str">
        <f>'XM.FILE GOC'!$E$67</f>
        <v>22~35</v>
      </c>
      <c r="H68" s="2427" t="str">
        <f>'XM.FILE GOC'!$F$67</f>
        <v>(30±4)</v>
      </c>
      <c r="I68" s="2867">
        <f>'XM.GUI MAIL'!AD67</f>
        <v>32</v>
      </c>
      <c r="J68" s="2867"/>
      <c r="K68" s="2867">
        <f>'XM.FILE GOC'!AG67</f>
        <v>31</v>
      </c>
      <c r="L68" s="2964"/>
      <c r="M68" s="953"/>
      <c r="N68" s="954"/>
      <c r="O68" s="954"/>
      <c r="P68" s="955"/>
      <c r="Q68" s="2934">
        <v>31</v>
      </c>
      <c r="R68" s="2867"/>
      <c r="S68" s="2867">
        <v>30</v>
      </c>
      <c r="T68" s="2867"/>
      <c r="U68" s="953"/>
      <c r="V68" s="954"/>
      <c r="W68" s="954"/>
      <c r="X68" s="955"/>
      <c r="Y68" s="2867">
        <f>'XM.GUI MAIL'!AR67</f>
        <v>31</v>
      </c>
      <c r="Z68" s="2867"/>
      <c r="AA68" s="2867">
        <f>'XM.FILE GOC'!AU67</f>
        <v>30</v>
      </c>
      <c r="AB68" s="2867"/>
      <c r="AC68" s="953"/>
      <c r="AD68" s="954"/>
      <c r="AE68" s="954"/>
      <c r="AF68" s="955"/>
      <c r="AG68" s="20"/>
    </row>
    <row r="69" spans="1:33" ht="51.75" customHeight="1">
      <c r="A69" s="991">
        <v>6</v>
      </c>
      <c r="B69" s="2871" t="s">
        <v>949</v>
      </c>
      <c r="C69" s="2872" t="s">
        <v>949</v>
      </c>
      <c r="D69" s="2872" t="s">
        <v>949</v>
      </c>
      <c r="E69" s="2873" t="s">
        <v>949</v>
      </c>
      <c r="F69" s="256" t="s">
        <v>196</v>
      </c>
      <c r="G69" s="929" t="str">
        <f>'XM.FILE GOC'!$E$68</f>
        <v>30-38</v>
      </c>
      <c r="H69" s="2427" t="str">
        <f>'XM.FILE GOC'!$F$68</f>
        <v>(34±2)</v>
      </c>
      <c r="I69" s="2867">
        <f>'XM.GUI MAIL'!AD68</f>
        <v>34</v>
      </c>
      <c r="J69" s="2867"/>
      <c r="K69" s="2867">
        <f>'XM.FILE GOC'!AG68</f>
        <v>33</v>
      </c>
      <c r="L69" s="2964"/>
      <c r="M69" s="953"/>
      <c r="N69" s="954"/>
      <c r="O69" s="954"/>
      <c r="P69" s="955"/>
      <c r="Q69" s="2934">
        <v>34</v>
      </c>
      <c r="R69" s="2867"/>
      <c r="S69" s="2867">
        <v>33</v>
      </c>
      <c r="T69" s="2867"/>
      <c r="U69" s="953"/>
      <c r="V69" s="954"/>
      <c r="W69" s="954"/>
      <c r="X69" s="955"/>
      <c r="Y69" s="2867">
        <f>'XM.GUI MAIL'!AR68</f>
        <v>34</v>
      </c>
      <c r="Z69" s="2867"/>
      <c r="AA69" s="2867">
        <f>'XM.FILE GOC'!AU68</f>
        <v>33</v>
      </c>
      <c r="AB69" s="2867"/>
      <c r="AC69" s="953"/>
      <c r="AD69" s="954"/>
      <c r="AE69" s="954"/>
      <c r="AF69" s="955"/>
      <c r="AG69" s="22"/>
    </row>
    <row r="70" spans="1:33" ht="51.75" customHeight="1">
      <c r="A70" s="991">
        <v>7</v>
      </c>
      <c r="B70" s="2871" t="s">
        <v>71</v>
      </c>
      <c r="C70" s="2872" t="s">
        <v>71</v>
      </c>
      <c r="D70" s="2872" t="s">
        <v>71</v>
      </c>
      <c r="E70" s="2873" t="s">
        <v>71</v>
      </c>
      <c r="F70" s="256" t="s">
        <v>196</v>
      </c>
      <c r="G70" s="929" t="str">
        <f>'XM.FILE GOC'!$E$69</f>
        <v>50~70</v>
      </c>
      <c r="H70" s="2427" t="str">
        <f>'XM.FILE GOC'!$F$69</f>
        <v>(60±10)</v>
      </c>
      <c r="I70" s="2867">
        <f>'XM.GUI MAIL'!AD69</f>
        <v>55</v>
      </c>
      <c r="J70" s="2867"/>
      <c r="K70" s="2867">
        <f>'XM.FILE GOC'!AG69</f>
        <v>54</v>
      </c>
      <c r="L70" s="2964"/>
      <c r="M70" s="953"/>
      <c r="N70" s="954"/>
      <c r="O70" s="954"/>
      <c r="P70" s="955"/>
      <c r="Q70" s="2934">
        <v>56</v>
      </c>
      <c r="R70" s="2867"/>
      <c r="S70" s="2867">
        <v>55</v>
      </c>
      <c r="T70" s="2867"/>
      <c r="U70" s="953"/>
      <c r="V70" s="954"/>
      <c r="W70" s="954"/>
      <c r="X70" s="955"/>
      <c r="Y70" s="2867">
        <f>'XM.GUI MAIL'!AR69</f>
        <v>52</v>
      </c>
      <c r="Z70" s="2867"/>
      <c r="AA70" s="2867">
        <f>'XM.FILE GOC'!AU69</f>
        <v>51</v>
      </c>
      <c r="AB70" s="2867"/>
      <c r="AC70" s="953"/>
      <c r="AD70" s="954"/>
      <c r="AE70" s="954"/>
      <c r="AF70" s="955"/>
      <c r="AG70" s="20"/>
    </row>
    <row r="71" spans="1:33" ht="51.75" customHeight="1">
      <c r="A71" s="991">
        <v>8</v>
      </c>
      <c r="B71" s="2874" t="s">
        <v>72</v>
      </c>
      <c r="C71" s="2875" t="s">
        <v>72</v>
      </c>
      <c r="D71" s="2875" t="s">
        <v>72</v>
      </c>
      <c r="E71" s="2876" t="s">
        <v>72</v>
      </c>
      <c r="F71" s="256" t="s">
        <v>196</v>
      </c>
      <c r="G71" s="929" t="str">
        <f>'XM.FILE GOC'!$E$70</f>
        <v>80~100</v>
      </c>
      <c r="H71" s="2427" t="str">
        <f>'XM.FILE GOC'!$F$70</f>
        <v>(90±5)</v>
      </c>
      <c r="I71" s="2944" t="s">
        <v>48</v>
      </c>
      <c r="J71" s="2943"/>
      <c r="K71" s="2819">
        <f>'XM.FILE GOC'!AG70</f>
        <v>90</v>
      </c>
      <c r="L71" s="2830"/>
      <c r="M71" s="2401"/>
      <c r="N71" s="957"/>
      <c r="O71" s="957"/>
      <c r="P71" s="958"/>
      <c r="Q71" s="2942" t="s">
        <v>48</v>
      </c>
      <c r="R71" s="2943"/>
      <c r="S71" s="2819">
        <v>90</v>
      </c>
      <c r="T71" s="2819"/>
      <c r="U71" s="2401"/>
      <c r="V71" s="957"/>
      <c r="W71" s="957"/>
      <c r="X71" s="958"/>
      <c r="Y71" s="2944" t="s">
        <v>48</v>
      </c>
      <c r="Z71" s="2943"/>
      <c r="AA71" s="2819">
        <f>'XM.FILE GOC'!AU70</f>
        <v>90</v>
      </c>
      <c r="AB71" s="2819"/>
      <c r="AC71" s="956"/>
      <c r="AD71" s="957"/>
      <c r="AE71" s="957"/>
      <c r="AF71" s="958"/>
      <c r="AG71" s="20"/>
    </row>
    <row r="72" spans="1:33" ht="51.75" customHeight="1">
      <c r="A72" s="49"/>
      <c r="B72" s="2940" t="s">
        <v>111</v>
      </c>
      <c r="C72" s="2940"/>
      <c r="D72" s="2940"/>
      <c r="E72" s="2940"/>
      <c r="F72" s="2940"/>
      <c r="G72" s="2940"/>
      <c r="H72" s="2940"/>
      <c r="I72" s="2940"/>
      <c r="J72" s="2940"/>
      <c r="K72" s="2940"/>
      <c r="L72" s="2940"/>
      <c r="M72" s="2941"/>
      <c r="N72" s="2941"/>
      <c r="O72" s="2941"/>
      <c r="P72" s="2941"/>
      <c r="Q72" s="2940"/>
      <c r="R72" s="2940"/>
      <c r="S72" s="2940"/>
      <c r="T72" s="2940"/>
      <c r="U72" s="2940"/>
      <c r="V72" s="2940"/>
      <c r="W72" s="2940"/>
      <c r="X72" s="2940"/>
      <c r="Y72" s="2940"/>
      <c r="Z72" s="2940"/>
      <c r="AA72" s="2940"/>
      <c r="AB72" s="2940"/>
      <c r="AC72" s="2940"/>
      <c r="AD72" s="2940"/>
      <c r="AE72" s="2940"/>
      <c r="AF72" s="2940"/>
      <c r="AG72" s="2940"/>
    </row>
    <row r="73" spans="1:33" ht="51.75" customHeight="1">
      <c r="A73" s="991" t="s">
        <v>7</v>
      </c>
      <c r="B73" s="2871" t="s">
        <v>93</v>
      </c>
      <c r="C73" s="2872"/>
      <c r="D73" s="2872"/>
      <c r="E73" s="2873"/>
      <c r="F73" s="600" t="s">
        <v>94</v>
      </c>
      <c r="G73" s="1010" t="s">
        <v>1325</v>
      </c>
      <c r="H73" s="2429" t="s">
        <v>1317</v>
      </c>
      <c r="I73" s="2960" t="s">
        <v>112</v>
      </c>
      <c r="J73" s="2960"/>
      <c r="K73" s="2960"/>
      <c r="L73" s="2960"/>
      <c r="M73" s="950"/>
      <c r="N73" s="951"/>
      <c r="O73" s="951"/>
      <c r="P73" s="952"/>
      <c r="Q73" s="2960" t="s">
        <v>112</v>
      </c>
      <c r="R73" s="2960"/>
      <c r="S73" s="2960"/>
      <c r="T73" s="2960"/>
      <c r="U73" s="950"/>
      <c r="V73" s="951"/>
      <c r="W73" s="951"/>
      <c r="X73" s="952"/>
      <c r="Y73" s="2960" t="s">
        <v>112</v>
      </c>
      <c r="Z73" s="2960"/>
      <c r="AA73" s="2960"/>
      <c r="AB73" s="2960"/>
      <c r="AC73" s="950"/>
      <c r="AD73" s="951"/>
      <c r="AE73" s="951"/>
      <c r="AF73" s="952"/>
      <c r="AG73" s="76"/>
    </row>
    <row r="74" spans="1:33" ht="51.75" customHeight="1">
      <c r="A74" s="49">
        <v>1</v>
      </c>
      <c r="B74" s="2954" t="s">
        <v>227</v>
      </c>
      <c r="C74" s="2955"/>
      <c r="D74" s="2955"/>
      <c r="E74" s="2956"/>
      <c r="F74" s="992" t="s">
        <v>49</v>
      </c>
      <c r="G74" s="929" t="str">
        <f>'XM.FILE GOC'!$E$72</f>
        <v>100-200</v>
      </c>
      <c r="H74" s="2427" t="str">
        <f>'XM.FILE GOC'!$F$72</f>
        <v>100-200</v>
      </c>
      <c r="I74" s="2928">
        <f>'XM.FILE GOC'!AD72</f>
        <v>115</v>
      </c>
      <c r="J74" s="2929"/>
      <c r="K74" s="2929"/>
      <c r="L74" s="2929"/>
      <c r="M74" s="959"/>
      <c r="N74" s="936"/>
      <c r="O74" s="936"/>
      <c r="P74" s="960"/>
      <c r="Q74" s="2928">
        <v>110</v>
      </c>
      <c r="R74" s="2929"/>
      <c r="S74" s="2929"/>
      <c r="T74" s="2929"/>
      <c r="U74" s="959"/>
      <c r="V74" s="936"/>
      <c r="W74" s="936"/>
      <c r="X74" s="960"/>
      <c r="Y74" s="2928">
        <f>'XM.GUI MAIL'!AR72</f>
        <v>115</v>
      </c>
      <c r="Z74" s="2929"/>
      <c r="AA74" s="2929"/>
      <c r="AB74" s="2929"/>
      <c r="AC74" s="959"/>
      <c r="AD74" s="936"/>
      <c r="AE74" s="936"/>
      <c r="AF74" s="960"/>
      <c r="AG74" s="22"/>
    </row>
    <row r="75" spans="1:33" ht="51.75" customHeight="1">
      <c r="A75" s="49">
        <v>2</v>
      </c>
      <c r="B75" s="2954" t="s">
        <v>228</v>
      </c>
      <c r="C75" s="2955"/>
      <c r="D75" s="2955"/>
      <c r="E75" s="2956"/>
      <c r="F75" s="992" t="s">
        <v>49</v>
      </c>
      <c r="G75" s="929" t="str">
        <f>'XM.FILE GOC'!$E$73</f>
        <v>20-50</v>
      </c>
      <c r="H75" s="2427" t="str">
        <f>'XM.FILE GOC'!$F$73</f>
        <v>20-50</v>
      </c>
      <c r="I75" s="2928">
        <f>'XM.GUI MAIL'!AD73</f>
        <v>42</v>
      </c>
      <c r="J75" s="2929"/>
      <c r="K75" s="2929"/>
      <c r="L75" s="2929"/>
      <c r="M75" s="961"/>
      <c r="N75" s="962"/>
      <c r="O75" s="962"/>
      <c r="P75" s="963"/>
      <c r="Q75" s="2928">
        <v>42</v>
      </c>
      <c r="R75" s="2929"/>
      <c r="S75" s="2929"/>
      <c r="T75" s="2929"/>
      <c r="U75" s="961"/>
      <c r="V75" s="962"/>
      <c r="W75" s="962"/>
      <c r="X75" s="963"/>
      <c r="Y75" s="2928">
        <f>'XM.GUI MAIL'!AR73</f>
        <v>40</v>
      </c>
      <c r="Z75" s="2929"/>
      <c r="AA75" s="2929"/>
      <c r="AB75" s="2929"/>
      <c r="AC75" s="961"/>
      <c r="AD75" s="962"/>
      <c r="AE75" s="962"/>
      <c r="AF75" s="963"/>
      <c r="AG75" s="22"/>
    </row>
  </sheetData>
  <sheetProtection formatCells="0" formatColumns="0" formatRows="0" insertColumns="0" insertRows="0" insertHyperlinks="0" deleteColumns="0" deleteRows="0" selectLockedCells="1" sort="0" autoFilter="0" pivotTables="0"/>
  <mergeCells count="260">
    <mergeCell ref="I3:L3"/>
    <mergeCell ref="B75:E75"/>
    <mergeCell ref="I75:L75"/>
    <mergeCell ref="Q75:T75"/>
    <mergeCell ref="Y75:AB75"/>
    <mergeCell ref="B72:AG72"/>
    <mergeCell ref="B73:E73"/>
    <mergeCell ref="I73:L73"/>
    <mergeCell ref="Q73:T73"/>
    <mergeCell ref="Y73:AB73"/>
    <mergeCell ref="B74:E74"/>
    <mergeCell ref="I74:L74"/>
    <mergeCell ref="Q74:T74"/>
    <mergeCell ref="Y74:AB74"/>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AA68:AB68"/>
    <mergeCell ref="B69:E69"/>
    <mergeCell ref="I69:J69"/>
    <mergeCell ref="K69:L69"/>
    <mergeCell ref="Q69:R69"/>
    <mergeCell ref="S69:T69"/>
    <mergeCell ref="Y69:Z69"/>
    <mergeCell ref="AA69:AB69"/>
    <mergeCell ref="B68:E68"/>
    <mergeCell ref="I68:J68"/>
    <mergeCell ref="K68:L68"/>
    <mergeCell ref="Q68:R68"/>
    <mergeCell ref="S68:T68"/>
    <mergeCell ref="Y68:Z68"/>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B62:AG62"/>
    <mergeCell ref="B63:E63"/>
    <mergeCell ref="I63:J63"/>
    <mergeCell ref="K63:L63"/>
    <mergeCell ref="Q63:R63"/>
    <mergeCell ref="S63:T63"/>
    <mergeCell ref="Y63:Z63"/>
    <mergeCell ref="AA63:AB63"/>
    <mergeCell ref="A54:A55"/>
    <mergeCell ref="B54:E55"/>
    <mergeCell ref="B56:E56"/>
    <mergeCell ref="B57:E57"/>
    <mergeCell ref="B58:E58"/>
    <mergeCell ref="B59:E59"/>
    <mergeCell ref="B60:E61"/>
    <mergeCell ref="A50:A51"/>
    <mergeCell ref="B52:E52"/>
    <mergeCell ref="B53:E53"/>
    <mergeCell ref="A46:A47"/>
    <mergeCell ref="A48:A49"/>
    <mergeCell ref="B46:C47"/>
    <mergeCell ref="D46:E46"/>
    <mergeCell ref="D48:E48"/>
    <mergeCell ref="B48:C49"/>
    <mergeCell ref="D49:E49"/>
    <mergeCell ref="B50:C51"/>
    <mergeCell ref="D50:E50"/>
    <mergeCell ref="D51:E51"/>
    <mergeCell ref="D47:E47"/>
    <mergeCell ref="AG42:AG43"/>
    <mergeCell ref="J43:L43"/>
    <mergeCell ref="R43:T43"/>
    <mergeCell ref="Z43:AB43"/>
    <mergeCell ref="A44:A45"/>
    <mergeCell ref="AA41:AB41"/>
    <mergeCell ref="A42:A43"/>
    <mergeCell ref="B42:E43"/>
    <mergeCell ref="F42:F43"/>
    <mergeCell ref="G42:G43"/>
    <mergeCell ref="I42:L42"/>
    <mergeCell ref="Q42:T42"/>
    <mergeCell ref="Y42:AB42"/>
    <mergeCell ref="B44:C45"/>
    <mergeCell ref="D44:E44"/>
    <mergeCell ref="D45:E45"/>
    <mergeCell ref="H42:H43"/>
    <mergeCell ref="B41:C41"/>
    <mergeCell ref="I41:L41"/>
    <mergeCell ref="B37:E37"/>
    <mergeCell ref="I37:L37"/>
    <mergeCell ref="Q37:T37"/>
    <mergeCell ref="Y37:AB37"/>
    <mergeCell ref="A39:Z39"/>
    <mergeCell ref="A40:Z40"/>
    <mergeCell ref="AA40:AB40"/>
    <mergeCell ref="B34:AG34"/>
    <mergeCell ref="B35:E35"/>
    <mergeCell ref="I35:L35"/>
    <mergeCell ref="Q35:T35"/>
    <mergeCell ref="Y35:AB35"/>
    <mergeCell ref="B36:E36"/>
    <mergeCell ref="I36:L36"/>
    <mergeCell ref="Q36:T36"/>
    <mergeCell ref="Y36:AB36"/>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5:AB25"/>
    <mergeCell ref="A16:A17"/>
    <mergeCell ref="B16:E17"/>
    <mergeCell ref="B18:E18"/>
    <mergeCell ref="B19:E19"/>
    <mergeCell ref="B20:E20"/>
    <mergeCell ref="B21:E21"/>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2:E23"/>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J5:L5"/>
    <mergeCell ref="R5:T5"/>
    <mergeCell ref="Z5:AB5"/>
    <mergeCell ref="A6:A7"/>
    <mergeCell ref="A1:Z1"/>
    <mergeCell ref="A2:Z2"/>
    <mergeCell ref="AA2:AB2"/>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AC4:AF4"/>
    <mergeCell ref="AD5:AF5"/>
    <mergeCell ref="M42:P42"/>
    <mergeCell ref="N43:P43"/>
    <mergeCell ref="U42:X42"/>
    <mergeCell ref="V43:X43"/>
    <mergeCell ref="AC42:AF42"/>
    <mergeCell ref="AD43:AF43"/>
    <mergeCell ref="AD2:AE2"/>
    <mergeCell ref="AF2:AG2"/>
    <mergeCell ref="AD3:AE3"/>
    <mergeCell ref="AF3:AG3"/>
    <mergeCell ref="AD40:AE40"/>
    <mergeCell ref="AF40:AG40"/>
    <mergeCell ref="AD41:AE41"/>
    <mergeCell ref="AF41:AG41"/>
    <mergeCell ref="AG4:AG5"/>
    <mergeCell ref="B24:AG24"/>
    <mergeCell ref="B25:E25"/>
    <mergeCell ref="I25:J25"/>
    <mergeCell ref="K25:L25"/>
    <mergeCell ref="Q25:R25"/>
    <mergeCell ref="S25:T25"/>
    <mergeCell ref="Y25:Z25"/>
  </mergeCells>
  <phoneticPr fontId="7" type="noConversion"/>
  <conditionalFormatting sqref="I74 Q74 Y74 I36 Q36 Y36">
    <cfRule type="expression" dxfId="5081" priority="1351">
      <formula>I36&lt;100</formula>
    </cfRule>
    <cfRule type="expression" dxfId="5080" priority="1352">
      <formula>I36&gt;200</formula>
    </cfRule>
  </conditionalFormatting>
  <conditionalFormatting sqref="I75 Q75 Y75 Q37 Y37 I37">
    <cfRule type="expression" dxfId="5079" priority="1349">
      <formula>I37&lt;20</formula>
    </cfRule>
    <cfRule type="expression" dxfId="5078" priority="1350">
      <formula>I37&gt;50</formula>
    </cfRule>
  </conditionalFormatting>
  <conditionalFormatting sqref="I19 Q19 Y19">
    <cfRule type="cellIs" dxfId="5077" priority="603" operator="between">
      <formula>15%</formula>
      <formula>16.99%</formula>
    </cfRule>
    <cfRule type="cellIs" dxfId="5076" priority="604" operator="between">
      <formula>27.01%</formula>
      <formula>30%</formula>
    </cfRule>
    <cfRule type="expression" dxfId="5075" priority="605">
      <formula>I19&lt;15%</formula>
    </cfRule>
    <cfRule type="expression" dxfId="5074" priority="606">
      <formula>I19&gt;30%</formula>
    </cfRule>
  </conditionalFormatting>
  <conditionalFormatting sqref="I15 Q15 Y15">
    <cfRule type="expression" dxfId="5073" priority="601">
      <formula>I15&lt;8</formula>
    </cfRule>
    <cfRule type="expression" dxfId="5072" priority="602">
      <formula>I15&gt;12</formula>
    </cfRule>
  </conditionalFormatting>
  <conditionalFormatting sqref="I17 Q17 Y17">
    <cfRule type="cellIs" dxfId="5071" priority="597" operator="between">
      <formula>2</formula>
      <formula>2.199</formula>
    </cfRule>
    <cfRule type="cellIs" dxfId="5070" priority="598" operator="between">
      <formula>2.41</formula>
      <formula>2.5</formula>
    </cfRule>
    <cfRule type="expression" dxfId="5069" priority="599">
      <formula>I17&lt;2</formula>
    </cfRule>
    <cfRule type="expression" dxfId="5068" priority="600">
      <formula>I17&gt;2.5</formula>
    </cfRule>
  </conditionalFormatting>
  <conditionalFormatting sqref="I20 Q20 Y20">
    <cfRule type="expression" dxfId="5067" priority="595">
      <formula>I20&lt;5%</formula>
    </cfRule>
    <cfRule type="expression" dxfId="5066" priority="596">
      <formula>I20&gt;15%</formula>
    </cfRule>
  </conditionalFormatting>
  <conditionalFormatting sqref="I20 Q20 Y20">
    <cfRule type="cellIs" dxfId="5065" priority="593" operator="between">
      <formula>5%</formula>
      <formula>6.99%</formula>
    </cfRule>
    <cfRule type="cellIs" dxfId="5064" priority="594" operator="between">
      <formula>13.1%</formula>
      <formula>15%</formula>
    </cfRule>
  </conditionalFormatting>
  <conditionalFormatting sqref="I6 I8 Q6 Q8 Y6 Y8">
    <cfRule type="cellIs" dxfId="5063" priority="589" operator="between">
      <formula>60</formula>
      <formula>64.99</formula>
    </cfRule>
    <cfRule type="cellIs" dxfId="5062" priority="590" operator="between">
      <formula>75.1</formula>
      <formula>80</formula>
    </cfRule>
    <cfRule type="expression" dxfId="5061" priority="591">
      <formula>I6&lt;60</formula>
    </cfRule>
    <cfRule type="expression" dxfId="5060" priority="592">
      <formula>I6&gt;80</formula>
    </cfRule>
  </conditionalFormatting>
  <conditionalFormatting sqref="I16 Q16 Y16">
    <cfRule type="cellIs" dxfId="5059" priority="586" operator="between">
      <formula>8.01</formula>
      <formula>10</formula>
    </cfRule>
    <cfRule type="expression" dxfId="5058" priority="587">
      <formula>I16&lt;6</formula>
    </cfRule>
    <cfRule type="expression" dxfId="5057" priority="588">
      <formula>I16&gt;10</formula>
    </cfRule>
  </conditionalFormatting>
  <conditionalFormatting sqref="I18 Q18 Y18">
    <cfRule type="cellIs" dxfId="5056" priority="582" operator="between">
      <formula>30%</formula>
      <formula>39.99%</formula>
    </cfRule>
    <cfRule type="cellIs" dxfId="5055" priority="583" operator="between">
      <formula>50.01%</formula>
      <formula>60%</formula>
    </cfRule>
    <cfRule type="expression" dxfId="5054" priority="584">
      <formula>I18&lt;30%</formula>
    </cfRule>
    <cfRule type="expression" dxfId="5053" priority="585">
      <formula>I18&gt;60%</formula>
    </cfRule>
  </conditionalFormatting>
  <conditionalFormatting sqref="I10 I12 Q10 Q12 Y10 Y12 K32 I32 S32 Q32 AA32 Y32">
    <cfRule type="expression" dxfId="5052" priority="580">
      <formula>I10&lt;50</formula>
    </cfRule>
    <cfRule type="expression" dxfId="5051" priority="581">
      <formula>I10&gt;70</formula>
    </cfRule>
  </conditionalFormatting>
  <conditionalFormatting sqref="I14 Q14 Y14">
    <cfRule type="cellIs" dxfId="5050" priority="574" operator="between">
      <formula>130</formula>
      <formula>132.99</formula>
    </cfRule>
    <cfRule type="cellIs" dxfId="5049" priority="575" operator="between">
      <formula>147.1</formula>
      <formula>150</formula>
    </cfRule>
    <cfRule type="expression" dxfId="5048" priority="576">
      <formula>I14&lt;130</formula>
    </cfRule>
    <cfRule type="expression" dxfId="5047" priority="577">
      <formula>I14&gt;150</formula>
    </cfRule>
  </conditionalFormatting>
  <conditionalFormatting sqref="I21 Q21 Y21">
    <cfRule type="cellIs" dxfId="5046" priority="570" operator="between">
      <formula>0.5%</formula>
      <formula>0.599%</formula>
    </cfRule>
    <cfRule type="cellIs" dxfId="5045" priority="571" operator="between">
      <formula>1.41%</formula>
      <formula>1.5%</formula>
    </cfRule>
    <cfRule type="expression" dxfId="5044" priority="572">
      <formula>I21&lt;0.5%</formula>
    </cfRule>
    <cfRule type="expression" dxfId="5043" priority="573">
      <formula>I21&gt;1.5%</formula>
    </cfRule>
  </conditionalFormatting>
  <conditionalFormatting sqref="I57">
    <cfRule type="cellIs" dxfId="5042" priority="492" operator="between">
      <formula>15%</formula>
      <formula>16.99%</formula>
    </cfRule>
    <cfRule type="cellIs" dxfId="5041" priority="493" operator="between">
      <formula>27.01%</formula>
      <formula>30%</formula>
    </cfRule>
    <cfRule type="expression" dxfId="5040" priority="494">
      <formula>I57&lt;15%</formula>
    </cfRule>
    <cfRule type="expression" dxfId="5039" priority="495">
      <formula>I57&gt;30%</formula>
    </cfRule>
  </conditionalFormatting>
  <conditionalFormatting sqref="I53">
    <cfRule type="expression" dxfId="5038" priority="490">
      <formula>I53&lt;8</formula>
    </cfRule>
    <cfRule type="expression" dxfId="5037" priority="491">
      <formula>I53&gt;12</formula>
    </cfRule>
  </conditionalFormatting>
  <conditionalFormatting sqref="I55">
    <cfRule type="cellIs" dxfId="5036" priority="486" operator="between">
      <formula>2</formula>
      <formula>2.199</formula>
    </cfRule>
    <cfRule type="cellIs" dxfId="5035" priority="487" operator="between">
      <formula>2.41</formula>
      <formula>2.5</formula>
    </cfRule>
    <cfRule type="expression" dxfId="5034" priority="488">
      <formula>I55&lt;2</formula>
    </cfRule>
    <cfRule type="expression" dxfId="5033" priority="489">
      <formula>I55&gt;2.5</formula>
    </cfRule>
  </conditionalFormatting>
  <conditionalFormatting sqref="I58">
    <cfRule type="expression" dxfId="5032" priority="484">
      <formula>I58&lt;5%</formula>
    </cfRule>
    <cfRule type="expression" dxfId="5031" priority="485">
      <formula>I58&gt;15%</formula>
    </cfRule>
  </conditionalFormatting>
  <conditionalFormatting sqref="I58">
    <cfRule type="cellIs" dxfId="5030" priority="482" operator="between">
      <formula>5%</formula>
      <formula>6.99%</formula>
    </cfRule>
    <cfRule type="cellIs" dxfId="5029" priority="483" operator="between">
      <formula>13.1%</formula>
      <formula>15%</formula>
    </cfRule>
  </conditionalFormatting>
  <conditionalFormatting sqref="I44 I46">
    <cfRule type="cellIs" dxfId="5028" priority="478" operator="between">
      <formula>60</formula>
      <formula>64.99</formula>
    </cfRule>
    <cfRule type="cellIs" dxfId="5027" priority="479" operator="between">
      <formula>75.1</formula>
      <formula>80</formula>
    </cfRule>
    <cfRule type="expression" dxfId="5026" priority="480">
      <formula>I44&lt;60</formula>
    </cfRule>
    <cfRule type="expression" dxfId="5025" priority="481">
      <formula>I44&gt;80</formula>
    </cfRule>
  </conditionalFormatting>
  <conditionalFormatting sqref="I54">
    <cfRule type="cellIs" dxfId="5024" priority="475" operator="between">
      <formula>8.01</formula>
      <formula>10</formula>
    </cfRule>
    <cfRule type="expression" dxfId="5023" priority="476">
      <formula>I54&lt;6</formula>
    </cfRule>
    <cfRule type="expression" dxfId="5022" priority="477">
      <formula>I54&gt;10</formula>
    </cfRule>
  </conditionalFormatting>
  <conditionalFormatting sqref="I56">
    <cfRule type="cellIs" dxfId="5021" priority="471" operator="between">
      <formula>30%</formula>
      <formula>39.99%</formula>
    </cfRule>
    <cfRule type="cellIs" dxfId="5020" priority="472" operator="between">
      <formula>50.01%</formula>
      <formula>60%</formula>
    </cfRule>
    <cfRule type="expression" dxfId="5019" priority="473">
      <formula>I56&lt;30%</formula>
    </cfRule>
    <cfRule type="expression" dxfId="5018" priority="474">
      <formula>I56&gt;60%</formula>
    </cfRule>
  </conditionalFormatting>
  <conditionalFormatting sqref="I48">
    <cfRule type="expression" dxfId="5017" priority="469">
      <formula>I48&lt;50</formula>
    </cfRule>
    <cfRule type="expression" dxfId="5016" priority="470">
      <formula>I48&gt;70</formula>
    </cfRule>
  </conditionalFormatting>
  <conditionalFormatting sqref="I50">
    <cfRule type="expression" dxfId="5015" priority="467">
      <formula>I50&lt;50</formula>
    </cfRule>
    <cfRule type="expression" dxfId="5014" priority="468">
      <formula>I50&gt;70</formula>
    </cfRule>
  </conditionalFormatting>
  <conditionalFormatting sqref="I52">
    <cfRule type="cellIs" dxfId="5013" priority="463" operator="between">
      <formula>130</formula>
      <formula>132.99</formula>
    </cfRule>
    <cfRule type="cellIs" dxfId="5012" priority="464" operator="between">
      <formula>147.1</formula>
      <formula>150</formula>
    </cfRule>
    <cfRule type="expression" dxfId="5011" priority="465">
      <formula>I52&lt;130</formula>
    </cfRule>
    <cfRule type="expression" dxfId="5010" priority="466">
      <formula>I52&gt;150</formula>
    </cfRule>
  </conditionalFormatting>
  <conditionalFormatting sqref="I59">
    <cfRule type="cellIs" dxfId="5009" priority="459" operator="between">
      <formula>0.5%</formula>
      <formula>0.599%</formula>
    </cfRule>
    <cfRule type="cellIs" dxfId="5008" priority="460" operator="between">
      <formula>1.41%</formula>
      <formula>1.5%</formula>
    </cfRule>
    <cfRule type="expression" dxfId="5007" priority="461">
      <formula>I59&lt;0.5%</formula>
    </cfRule>
    <cfRule type="expression" dxfId="5006" priority="462">
      <formula>I59&gt;1.5%</formula>
    </cfRule>
  </conditionalFormatting>
  <conditionalFormatting sqref="Q57">
    <cfRule type="cellIs" dxfId="5005" priority="455" operator="between">
      <formula>15%</formula>
      <formula>16.99%</formula>
    </cfRule>
    <cfRule type="cellIs" dxfId="5004" priority="456" operator="between">
      <formula>27.01%</formula>
      <formula>30%</formula>
    </cfRule>
    <cfRule type="expression" dxfId="5003" priority="457">
      <formula>Q57&lt;15%</formula>
    </cfRule>
    <cfRule type="expression" dxfId="5002" priority="458">
      <formula>Q57&gt;30%</formula>
    </cfRule>
  </conditionalFormatting>
  <conditionalFormatting sqref="Q53">
    <cfRule type="expression" dxfId="5001" priority="453">
      <formula>Q53&lt;8</formula>
    </cfRule>
    <cfRule type="expression" dxfId="5000" priority="454">
      <formula>Q53&gt;12</formula>
    </cfRule>
  </conditionalFormatting>
  <conditionalFormatting sqref="Q55">
    <cfRule type="cellIs" dxfId="4999" priority="449" operator="between">
      <formula>2</formula>
      <formula>2.199</formula>
    </cfRule>
    <cfRule type="cellIs" dxfId="4998" priority="450" operator="between">
      <formula>2.41</formula>
      <formula>2.5</formula>
    </cfRule>
    <cfRule type="expression" dxfId="4997" priority="451">
      <formula>Q55&lt;2</formula>
    </cfRule>
    <cfRule type="expression" dxfId="4996" priority="452">
      <formula>Q55&gt;2.5</formula>
    </cfRule>
  </conditionalFormatting>
  <conditionalFormatting sqref="Q58">
    <cfRule type="expression" dxfId="4995" priority="447">
      <formula>Q58&lt;5%</formula>
    </cfRule>
    <cfRule type="expression" dxfId="4994" priority="448">
      <formula>Q58&gt;15%</formula>
    </cfRule>
  </conditionalFormatting>
  <conditionalFormatting sqref="Q58">
    <cfRule type="cellIs" dxfId="4993" priority="445" operator="between">
      <formula>5%</formula>
      <formula>6.99%</formula>
    </cfRule>
    <cfRule type="cellIs" dxfId="4992" priority="446" operator="between">
      <formula>13.1%</formula>
      <formula>15%</formula>
    </cfRule>
  </conditionalFormatting>
  <conditionalFormatting sqref="Q44 Q46">
    <cfRule type="cellIs" dxfId="4991" priority="441" operator="between">
      <formula>60</formula>
      <formula>64.99</formula>
    </cfRule>
    <cfRule type="cellIs" dxfId="4990" priority="442" operator="between">
      <formula>75.1</formula>
      <formula>80</formula>
    </cfRule>
    <cfRule type="expression" dxfId="4989" priority="443">
      <formula>Q44&lt;60</formula>
    </cfRule>
    <cfRule type="expression" dxfId="4988" priority="444">
      <formula>Q44&gt;80</formula>
    </cfRule>
  </conditionalFormatting>
  <conditionalFormatting sqref="Q54">
    <cfRule type="cellIs" dxfId="4987" priority="438" operator="between">
      <formula>8.01</formula>
      <formula>10</formula>
    </cfRule>
    <cfRule type="expression" dxfId="4986" priority="439">
      <formula>Q54&lt;6</formula>
    </cfRule>
    <cfRule type="expression" dxfId="4985" priority="440">
      <formula>Q54&gt;10</formula>
    </cfRule>
  </conditionalFormatting>
  <conditionalFormatting sqref="Q56">
    <cfRule type="cellIs" dxfId="4984" priority="434" operator="between">
      <formula>30%</formula>
      <formula>39.99%</formula>
    </cfRule>
    <cfRule type="cellIs" dxfId="4983" priority="435" operator="between">
      <formula>50.01%</formula>
      <formula>60%</formula>
    </cfRule>
    <cfRule type="expression" dxfId="4982" priority="436">
      <formula>Q56&lt;30%</formula>
    </cfRule>
    <cfRule type="expression" dxfId="4981" priority="437">
      <formula>Q56&gt;60%</formula>
    </cfRule>
  </conditionalFormatting>
  <conditionalFormatting sqref="Q48">
    <cfRule type="expression" dxfId="4980" priority="432">
      <formula>Q48&lt;50</formula>
    </cfRule>
    <cfRule type="expression" dxfId="4979" priority="433">
      <formula>Q48&gt;70</formula>
    </cfRule>
  </conditionalFormatting>
  <conditionalFormatting sqref="Q50">
    <cfRule type="expression" dxfId="4978" priority="430">
      <formula>Q50&lt;50</formula>
    </cfRule>
    <cfRule type="expression" dxfId="4977" priority="431">
      <formula>Q50&gt;70</formula>
    </cfRule>
  </conditionalFormatting>
  <conditionalFormatting sqref="Q52">
    <cfRule type="cellIs" dxfId="4976" priority="426" operator="between">
      <formula>130</formula>
      <formula>132.99</formula>
    </cfRule>
    <cfRule type="cellIs" dxfId="4975" priority="427" operator="between">
      <formula>147.1</formula>
      <formula>150</formula>
    </cfRule>
    <cfRule type="expression" dxfId="4974" priority="428">
      <formula>Q52&lt;130</formula>
    </cfRule>
    <cfRule type="expression" dxfId="4973" priority="429">
      <formula>Q52&gt;150</formula>
    </cfRule>
  </conditionalFormatting>
  <conditionalFormatting sqref="Q59">
    <cfRule type="cellIs" dxfId="4972" priority="422" operator="between">
      <formula>0.5%</formula>
      <formula>0.599%</formula>
    </cfRule>
    <cfRule type="cellIs" dxfId="4971" priority="423" operator="between">
      <formula>1.41%</formula>
      <formula>1.5%</formula>
    </cfRule>
    <cfRule type="expression" dxfId="4970" priority="424">
      <formula>Q59&lt;0.5%</formula>
    </cfRule>
    <cfRule type="expression" dxfId="4969" priority="425">
      <formula>Q59&gt;1.5%</formula>
    </cfRule>
  </conditionalFormatting>
  <conditionalFormatting sqref="Y57">
    <cfRule type="cellIs" dxfId="4968" priority="418" operator="between">
      <formula>15%</formula>
      <formula>16.99%</formula>
    </cfRule>
    <cfRule type="cellIs" dxfId="4967" priority="419" operator="between">
      <formula>27.01%</formula>
      <formula>30%</formula>
    </cfRule>
    <cfRule type="expression" dxfId="4966" priority="420">
      <formula>Y57&lt;15%</formula>
    </cfRule>
    <cfRule type="expression" dxfId="4965" priority="421">
      <formula>Y57&gt;30%</formula>
    </cfRule>
  </conditionalFormatting>
  <conditionalFormatting sqref="Y53">
    <cfRule type="expression" dxfId="4964" priority="416">
      <formula>Y53&lt;8</formula>
    </cfRule>
    <cfRule type="expression" dxfId="4963" priority="417">
      <formula>Y53&gt;12</formula>
    </cfRule>
  </conditionalFormatting>
  <conditionalFormatting sqref="Y55">
    <cfRule type="cellIs" dxfId="4962" priority="412" operator="between">
      <formula>2</formula>
      <formula>2.199</formula>
    </cfRule>
    <cfRule type="cellIs" dxfId="4961" priority="413" operator="between">
      <formula>2.41</formula>
      <formula>2.5</formula>
    </cfRule>
    <cfRule type="expression" dxfId="4960" priority="414">
      <formula>Y55&lt;2</formula>
    </cfRule>
    <cfRule type="expression" dxfId="4959" priority="415">
      <formula>Y55&gt;2.5</formula>
    </cfRule>
  </conditionalFormatting>
  <conditionalFormatting sqref="Y58">
    <cfRule type="expression" dxfId="4958" priority="410">
      <formula>Y58&lt;5%</formula>
    </cfRule>
    <cfRule type="expression" dxfId="4957" priority="411">
      <formula>Y58&gt;15%</formula>
    </cfRule>
  </conditionalFormatting>
  <conditionalFormatting sqref="Y58">
    <cfRule type="cellIs" dxfId="4956" priority="408" operator="between">
      <formula>5%</formula>
      <formula>6.99%</formula>
    </cfRule>
    <cfRule type="cellIs" dxfId="4955" priority="409" operator="between">
      <formula>13.1%</formula>
      <formula>15%</formula>
    </cfRule>
  </conditionalFormatting>
  <conditionalFormatting sqref="Y44 Y46">
    <cfRule type="cellIs" dxfId="4954" priority="404" operator="between">
      <formula>60</formula>
      <formula>64.99</formula>
    </cfRule>
    <cfRule type="cellIs" dxfId="4953" priority="405" operator="between">
      <formula>75.1</formula>
      <formula>80</formula>
    </cfRule>
    <cfRule type="expression" dxfId="4952" priority="406">
      <formula>Y44&lt;60</formula>
    </cfRule>
    <cfRule type="expression" dxfId="4951" priority="407">
      <formula>Y44&gt;80</formula>
    </cfRule>
  </conditionalFormatting>
  <conditionalFormatting sqref="Y54">
    <cfRule type="cellIs" dxfId="4950" priority="401" operator="between">
      <formula>8.01</formula>
      <formula>10</formula>
    </cfRule>
    <cfRule type="expression" dxfId="4949" priority="402">
      <formula>Y54&lt;6</formula>
    </cfRule>
    <cfRule type="expression" dxfId="4948" priority="403">
      <formula>Y54&gt;10</formula>
    </cfRule>
  </conditionalFormatting>
  <conditionalFormatting sqref="Y56">
    <cfRule type="cellIs" dxfId="4947" priority="397" operator="between">
      <formula>30%</formula>
      <formula>39.99%</formula>
    </cfRule>
    <cfRule type="cellIs" dxfId="4946" priority="398" operator="between">
      <formula>50.01%</formula>
      <formula>60%</formula>
    </cfRule>
    <cfRule type="expression" dxfId="4945" priority="399">
      <formula>Y56&lt;30%</formula>
    </cfRule>
    <cfRule type="expression" dxfId="4944" priority="400">
      <formula>Y56&gt;60%</formula>
    </cfRule>
  </conditionalFormatting>
  <conditionalFormatting sqref="Y48">
    <cfRule type="expression" dxfId="4943" priority="395">
      <formula>Y48&lt;50</formula>
    </cfRule>
    <cfRule type="expression" dxfId="4942" priority="396">
      <formula>Y48&gt;70</formula>
    </cfRule>
  </conditionalFormatting>
  <conditionalFormatting sqref="Y50">
    <cfRule type="expression" dxfId="4941" priority="393">
      <formula>Y50&lt;50</formula>
    </cfRule>
    <cfRule type="expression" dxfId="4940" priority="394">
      <formula>Y50&gt;70</formula>
    </cfRule>
  </conditionalFormatting>
  <conditionalFormatting sqref="Y52">
    <cfRule type="cellIs" dxfId="4939" priority="389" operator="between">
      <formula>130</formula>
      <formula>132.99</formula>
    </cfRule>
    <cfRule type="cellIs" dxfId="4938" priority="390" operator="between">
      <formula>147.1</formula>
      <formula>150</formula>
    </cfRule>
    <cfRule type="expression" dxfId="4937" priority="391">
      <formula>Y52&lt;130</formula>
    </cfRule>
    <cfRule type="expression" dxfId="4936" priority="392">
      <formula>Y52&gt;150</formula>
    </cfRule>
  </conditionalFormatting>
  <conditionalFormatting sqref="Y59">
    <cfRule type="cellIs" dxfId="4935" priority="385" operator="between">
      <formula>0.5%</formula>
      <formula>0.599%</formula>
    </cfRule>
    <cfRule type="cellIs" dxfId="4934" priority="386" operator="between">
      <formula>1.41%</formula>
      <formula>1.5%</formula>
    </cfRule>
    <cfRule type="expression" dxfId="4933" priority="387">
      <formula>Y59&lt;0.5%</formula>
    </cfRule>
    <cfRule type="expression" dxfId="4932" priority="388">
      <formula>Y59&gt;1.5%</formula>
    </cfRule>
  </conditionalFormatting>
  <conditionalFormatting sqref="K68:L68 I30:L30 Q30:T30 Y30:AB30">
    <cfRule type="cellIs" dxfId="4931" priority="378" operator="between">
      <formula>22</formula>
      <formula>25.99</formula>
    </cfRule>
    <cfRule type="cellIs" dxfId="4930" priority="379" operator="between">
      <formula>34.1</formula>
      <formula>35</formula>
    </cfRule>
    <cfRule type="expression" dxfId="4929" priority="380">
      <formula>I30&lt;22</formula>
    </cfRule>
    <cfRule type="expression" dxfId="4928" priority="381">
      <formula>I30&gt;35</formula>
    </cfRule>
  </conditionalFormatting>
  <conditionalFormatting sqref="K69:L69 I31:L31 Q31:T31 Y31:AB31">
    <cfRule type="cellIs" dxfId="4927" priority="374" operator="between">
      <formula>30</formula>
      <formula>31.99</formula>
    </cfRule>
    <cfRule type="cellIs" dxfId="4926" priority="375" operator="between">
      <formula>36.1</formula>
      <formula>38</formula>
    </cfRule>
    <cfRule type="expression" dxfId="4925" priority="376">
      <formula>I31&lt;30</formula>
    </cfRule>
    <cfRule type="expression" dxfId="4924" priority="377">
      <formula>I31&gt;38</formula>
    </cfRule>
  </conditionalFormatting>
  <conditionalFormatting sqref="K71 K33 S33 AA33">
    <cfRule type="cellIs" dxfId="4923" priority="370" operator="between">
      <formula>80</formula>
      <formula>84.9</formula>
    </cfRule>
    <cfRule type="cellIs" dxfId="4922" priority="371" operator="between">
      <formula>95.1</formula>
      <formula>100</formula>
    </cfRule>
    <cfRule type="expression" dxfId="4921" priority="372">
      <formula>K33&lt;80</formula>
    </cfRule>
    <cfRule type="expression" dxfId="4920" priority="373">
      <formula>K33&gt;100</formula>
    </cfRule>
  </conditionalFormatting>
  <conditionalFormatting sqref="K64:L65 I26:L27 Q26:T27 Y26:AB27">
    <cfRule type="cellIs" dxfId="4919" priority="366" operator="between">
      <formula>50</formula>
      <formula>54.9</formula>
    </cfRule>
    <cfRule type="cellIs" dxfId="4918" priority="367" operator="between">
      <formula>65.1</formula>
      <formula>70</formula>
    </cfRule>
    <cfRule type="expression" dxfId="4917" priority="368">
      <formula>I26&lt;50</formula>
    </cfRule>
    <cfRule type="expression" dxfId="4916" priority="369">
      <formula>I26&gt;70</formula>
    </cfRule>
  </conditionalFormatting>
  <conditionalFormatting sqref="K70">
    <cfRule type="expression" dxfId="4915" priority="361">
      <formula>K70&lt;50</formula>
    </cfRule>
    <cfRule type="expression" dxfId="4914" priority="362">
      <formula>K70&gt;70</formula>
    </cfRule>
  </conditionalFormatting>
  <conditionalFormatting sqref="I68:J68">
    <cfRule type="cellIs" dxfId="4913" priority="354" operator="between">
      <formula>22</formula>
      <formula>25.99</formula>
    </cfRule>
    <cfRule type="cellIs" dxfId="4912" priority="355" operator="between">
      <formula>34.1</formula>
      <formula>35</formula>
    </cfRule>
    <cfRule type="expression" dxfId="4911" priority="356">
      <formula>I68&lt;22</formula>
    </cfRule>
    <cfRule type="expression" dxfId="4910" priority="357">
      <formula>I68&gt;35</formula>
    </cfRule>
  </conditionalFormatting>
  <conditionalFormatting sqref="I69:J69">
    <cfRule type="cellIs" dxfId="4909" priority="350" operator="between">
      <formula>30</formula>
      <formula>31.99</formula>
    </cfRule>
    <cfRule type="cellIs" dxfId="4908" priority="351" operator="between">
      <formula>36.1</formula>
      <formula>38</formula>
    </cfRule>
    <cfRule type="expression" dxfId="4907" priority="352">
      <formula>I69&lt;30</formula>
    </cfRule>
    <cfRule type="expression" dxfId="4906" priority="353">
      <formula>I69&gt;38</formula>
    </cfRule>
  </conditionalFormatting>
  <conditionalFormatting sqref="I64:J65">
    <cfRule type="cellIs" dxfId="4905" priority="346" operator="between">
      <formula>50</formula>
      <formula>54.9</formula>
    </cfRule>
    <cfRule type="cellIs" dxfId="4904" priority="347" operator="between">
      <formula>65.1</formula>
      <formula>70</formula>
    </cfRule>
    <cfRule type="expression" dxfId="4903" priority="348">
      <formula>I64&lt;50</formula>
    </cfRule>
    <cfRule type="expression" dxfId="4902" priority="349">
      <formula>I64&gt;70</formula>
    </cfRule>
  </conditionalFormatting>
  <conditionalFormatting sqref="I70">
    <cfRule type="expression" dxfId="4901" priority="341">
      <formula>I70&lt;50</formula>
    </cfRule>
    <cfRule type="expression" dxfId="4900" priority="342">
      <formula>I70&gt;70</formula>
    </cfRule>
  </conditionalFormatting>
  <conditionalFormatting sqref="S68:T68">
    <cfRule type="cellIs" dxfId="4899" priority="334" operator="between">
      <formula>22</formula>
      <formula>25.99</formula>
    </cfRule>
    <cfRule type="cellIs" dxfId="4898" priority="335" operator="between">
      <formula>34.1</formula>
      <formula>35</formula>
    </cfRule>
    <cfRule type="expression" dxfId="4897" priority="336">
      <formula>S68&lt;22</formula>
    </cfRule>
    <cfRule type="expression" dxfId="4896" priority="337">
      <formula>S68&gt;35</formula>
    </cfRule>
  </conditionalFormatting>
  <conditionalFormatting sqref="S69:T69">
    <cfRule type="cellIs" dxfId="4895" priority="330" operator="between">
      <formula>30</formula>
      <formula>31.99</formula>
    </cfRule>
    <cfRule type="cellIs" dxfId="4894" priority="331" operator="between">
      <formula>36.1</formula>
      <formula>38</formula>
    </cfRule>
    <cfRule type="expression" dxfId="4893" priority="332">
      <formula>S69&lt;30</formula>
    </cfRule>
    <cfRule type="expression" dxfId="4892" priority="333">
      <formula>S69&gt;38</formula>
    </cfRule>
  </conditionalFormatting>
  <conditionalFormatting sqref="S71">
    <cfRule type="cellIs" dxfId="4891" priority="326" operator="between">
      <formula>80</formula>
      <formula>84.9</formula>
    </cfRule>
    <cfRule type="cellIs" dxfId="4890" priority="327" operator="between">
      <formula>95.1</formula>
      <formula>100</formula>
    </cfRule>
    <cfRule type="expression" dxfId="4889" priority="328">
      <formula>S71&lt;80</formula>
    </cfRule>
    <cfRule type="expression" dxfId="4888" priority="329">
      <formula>S71&gt;100</formula>
    </cfRule>
  </conditionalFormatting>
  <conditionalFormatting sqref="S64:T65">
    <cfRule type="cellIs" dxfId="4887" priority="322" operator="between">
      <formula>50</formula>
      <formula>54.9</formula>
    </cfRule>
    <cfRule type="cellIs" dxfId="4886" priority="323" operator="between">
      <formula>65.1</formula>
      <formula>70</formula>
    </cfRule>
    <cfRule type="expression" dxfId="4885" priority="324">
      <formula>S64&lt;50</formula>
    </cfRule>
    <cfRule type="expression" dxfId="4884" priority="325">
      <formula>S64&gt;70</formula>
    </cfRule>
  </conditionalFormatting>
  <conditionalFormatting sqref="S70">
    <cfRule type="expression" dxfId="4883" priority="317">
      <formula>S70&lt;50</formula>
    </cfRule>
    <cfRule type="expression" dxfId="4882" priority="318">
      <formula>S70&gt;70</formula>
    </cfRule>
  </conditionalFormatting>
  <conditionalFormatting sqref="Q68:R68">
    <cfRule type="cellIs" dxfId="4881" priority="310" operator="between">
      <formula>22</formula>
      <formula>25.99</formula>
    </cfRule>
    <cfRule type="cellIs" dxfId="4880" priority="311" operator="between">
      <formula>34.1</formula>
      <formula>35</formula>
    </cfRule>
    <cfRule type="expression" dxfId="4879" priority="312">
      <formula>Q68&lt;22</formula>
    </cfRule>
    <cfRule type="expression" dxfId="4878" priority="313">
      <formula>Q68&gt;35</formula>
    </cfRule>
  </conditionalFormatting>
  <conditionalFormatting sqref="Q69:R69">
    <cfRule type="cellIs" dxfId="4877" priority="306" operator="between">
      <formula>30</formula>
      <formula>31.99</formula>
    </cfRule>
    <cfRule type="cellIs" dxfId="4876" priority="307" operator="between">
      <formula>36.1</formula>
      <formula>38</formula>
    </cfRule>
    <cfRule type="expression" dxfId="4875" priority="308">
      <formula>Q69&lt;30</formula>
    </cfRule>
    <cfRule type="expression" dxfId="4874" priority="309">
      <formula>Q69&gt;38</formula>
    </cfRule>
  </conditionalFormatting>
  <conditionalFormatting sqref="Q64:R65">
    <cfRule type="cellIs" dxfId="4873" priority="302" operator="between">
      <formula>50</formula>
      <formula>54.9</formula>
    </cfRule>
    <cfRule type="cellIs" dxfId="4872" priority="303" operator="between">
      <formula>65.1</formula>
      <formula>70</formula>
    </cfRule>
    <cfRule type="expression" dxfId="4871" priority="304">
      <formula>Q64&lt;50</formula>
    </cfRule>
    <cfRule type="expression" dxfId="4870" priority="305">
      <formula>Q64&gt;70</formula>
    </cfRule>
  </conditionalFormatting>
  <conditionalFormatting sqref="Q70">
    <cfRule type="expression" dxfId="4869" priority="297">
      <formula>Q70&lt;50</formula>
    </cfRule>
    <cfRule type="expression" dxfId="4868" priority="298">
      <formula>Q70&gt;70</formula>
    </cfRule>
  </conditionalFormatting>
  <conditionalFormatting sqref="AA68:AB68">
    <cfRule type="cellIs" dxfId="4867" priority="290" operator="between">
      <formula>22</formula>
      <formula>25.99</formula>
    </cfRule>
    <cfRule type="cellIs" dxfId="4866" priority="291" operator="between">
      <formula>34.1</formula>
      <formula>35</formula>
    </cfRule>
    <cfRule type="expression" dxfId="4865" priority="292">
      <formula>AA68&lt;22</formula>
    </cfRule>
    <cfRule type="expression" dxfId="4864" priority="293">
      <formula>AA68&gt;35</formula>
    </cfRule>
  </conditionalFormatting>
  <conditionalFormatting sqref="AA69:AB69">
    <cfRule type="cellIs" dxfId="4863" priority="286" operator="between">
      <formula>30</formula>
      <formula>31.99</formula>
    </cfRule>
    <cfRule type="cellIs" dxfId="4862" priority="287" operator="between">
      <formula>36.1</formula>
      <formula>38</formula>
    </cfRule>
    <cfRule type="expression" dxfId="4861" priority="288">
      <formula>AA69&lt;30</formula>
    </cfRule>
    <cfRule type="expression" dxfId="4860" priority="289">
      <formula>AA69&gt;38</formula>
    </cfRule>
  </conditionalFormatting>
  <conditionalFormatting sqref="AA71">
    <cfRule type="cellIs" dxfId="4859" priority="282" operator="between">
      <formula>80</formula>
      <formula>84.9</formula>
    </cfRule>
    <cfRule type="cellIs" dxfId="4858" priority="283" operator="between">
      <formula>95.1</formula>
      <formula>100</formula>
    </cfRule>
    <cfRule type="expression" dxfId="4857" priority="284">
      <formula>AA71&lt;80</formula>
    </cfRule>
    <cfRule type="expression" dxfId="4856" priority="285">
      <formula>AA71&gt;100</formula>
    </cfRule>
  </conditionalFormatting>
  <conditionalFormatting sqref="AA64:AB65">
    <cfRule type="cellIs" dxfId="4855" priority="278" operator="between">
      <formula>50</formula>
      <formula>54.9</formula>
    </cfRule>
    <cfRule type="cellIs" dxfId="4854" priority="279" operator="between">
      <formula>65.1</formula>
      <formula>70</formula>
    </cfRule>
    <cfRule type="expression" dxfId="4853" priority="280">
      <formula>AA64&lt;50</formula>
    </cfRule>
    <cfRule type="expression" dxfId="4852" priority="281">
      <formula>AA64&gt;70</formula>
    </cfRule>
  </conditionalFormatting>
  <conditionalFormatting sqref="AA70">
    <cfRule type="expression" dxfId="4851" priority="273">
      <formula>AA70&lt;50</formula>
    </cfRule>
    <cfRule type="expression" dxfId="4850" priority="274">
      <formula>AA70&gt;70</formula>
    </cfRule>
  </conditionalFormatting>
  <conditionalFormatting sqref="Y68:Z68">
    <cfRule type="cellIs" dxfId="4849" priority="266" operator="between">
      <formula>22</formula>
      <formula>25.99</formula>
    </cfRule>
    <cfRule type="cellIs" dxfId="4848" priority="267" operator="between">
      <formula>34.1</formula>
      <formula>35</formula>
    </cfRule>
    <cfRule type="expression" dxfId="4847" priority="268">
      <formula>Y68&lt;22</formula>
    </cfRule>
    <cfRule type="expression" dxfId="4846" priority="269">
      <formula>Y68&gt;35</formula>
    </cfRule>
  </conditionalFormatting>
  <conditionalFormatting sqref="Y69:Z69">
    <cfRule type="cellIs" dxfId="4845" priority="262" operator="between">
      <formula>30</formula>
      <formula>31.99</formula>
    </cfRule>
    <cfRule type="cellIs" dxfId="4844" priority="263" operator="between">
      <formula>36.1</formula>
      <formula>38</formula>
    </cfRule>
    <cfRule type="expression" dxfId="4843" priority="264">
      <formula>Y69&lt;30</formula>
    </cfRule>
    <cfRule type="expression" dxfId="4842" priority="265">
      <formula>Y69&gt;38</formula>
    </cfRule>
  </conditionalFormatting>
  <conditionalFormatting sqref="Y64:Z65">
    <cfRule type="cellIs" dxfId="4841" priority="258" operator="between">
      <formula>50</formula>
      <formula>54.9</formula>
    </cfRule>
    <cfRule type="cellIs" dxfId="4840" priority="259" operator="between">
      <formula>65.1</formula>
      <formula>70</formula>
    </cfRule>
    <cfRule type="expression" dxfId="4839" priority="260">
      <formula>Y64&lt;50</formula>
    </cfRule>
    <cfRule type="expression" dxfId="4838" priority="261">
      <formula>Y64&gt;70</formula>
    </cfRule>
  </conditionalFormatting>
  <conditionalFormatting sqref="Y70">
    <cfRule type="expression" dxfId="4837" priority="253">
      <formula>Y70&lt;50</formula>
    </cfRule>
    <cfRule type="expression" dxfId="4836" priority="254">
      <formula>Y70&gt;70</formula>
    </cfRule>
  </conditionalFormatting>
  <conditionalFormatting sqref="I61">
    <cfRule type="cellIs" dxfId="4835" priority="113" operator="between">
      <formula>1.8</formula>
      <formula>1.999</formula>
    </cfRule>
    <cfRule type="cellIs" dxfId="4834" priority="114" operator="between">
      <formula>2.21</formula>
      <formula>2.4</formula>
    </cfRule>
    <cfRule type="expression" dxfId="4833" priority="115">
      <formula>I61&lt;1.8</formula>
    </cfRule>
    <cfRule type="expression" dxfId="4832" priority="116">
      <formula>I61&gt;2.4</formula>
    </cfRule>
  </conditionalFormatting>
  <conditionalFormatting sqref="Q61">
    <cfRule type="cellIs" dxfId="4831" priority="105" operator="between">
      <formula>1.8</formula>
      <formula>1.999</formula>
    </cfRule>
    <cfRule type="cellIs" dxfId="4830" priority="106" operator="between">
      <formula>2.21</formula>
      <formula>2.4</formula>
    </cfRule>
    <cfRule type="expression" dxfId="4829" priority="107">
      <formula>Q61&lt;1.8</formula>
    </cfRule>
    <cfRule type="expression" dxfId="4828" priority="108">
      <formula>Q61&gt;2.4</formula>
    </cfRule>
  </conditionalFormatting>
  <conditionalFormatting sqref="Y61">
    <cfRule type="cellIs" dxfId="4827" priority="97" operator="between">
      <formula>1.8</formula>
      <formula>1.999</formula>
    </cfRule>
    <cfRule type="cellIs" dxfId="4826" priority="98" operator="between">
      <formula>2.21</formula>
      <formula>2.4</formula>
    </cfRule>
    <cfRule type="expression" dxfId="4825" priority="99">
      <formula>Y61&lt;1.8</formula>
    </cfRule>
    <cfRule type="expression" dxfId="4824" priority="100">
      <formula>Y61&gt;2.4</formula>
    </cfRule>
  </conditionalFormatting>
  <conditionalFormatting sqref="I23">
    <cfRule type="cellIs" dxfId="4823" priority="89" operator="between">
      <formula>1.8</formula>
      <formula>1.999</formula>
    </cfRule>
    <cfRule type="cellIs" dxfId="4822" priority="90" operator="between">
      <formula>2.21</formula>
      <formula>2.4</formula>
    </cfRule>
    <cfRule type="expression" dxfId="4821" priority="91">
      <formula>I23&lt;1.8</formula>
    </cfRule>
    <cfRule type="expression" dxfId="4820" priority="92">
      <formula>I23&gt;2.4</formula>
    </cfRule>
  </conditionalFormatting>
  <conditionalFormatting sqref="Q23">
    <cfRule type="cellIs" dxfId="4819" priority="81" operator="between">
      <formula>1.8</formula>
      <formula>1.999</formula>
    </cfRule>
    <cfRule type="cellIs" dxfId="4818" priority="82" operator="between">
      <formula>2.21</formula>
      <formula>2.4</formula>
    </cfRule>
    <cfRule type="expression" dxfId="4817" priority="83">
      <formula>Q23&lt;1.8</formula>
    </cfRule>
    <cfRule type="expression" dxfId="4816" priority="84">
      <formula>Q23&gt;2.4</formula>
    </cfRule>
  </conditionalFormatting>
  <conditionalFormatting sqref="Y23">
    <cfRule type="cellIs" dxfId="4815" priority="73" operator="between">
      <formula>1.8</formula>
      <formula>1.999</formula>
    </cfRule>
    <cfRule type="cellIs" dxfId="4814" priority="74" operator="between">
      <formula>2.21</formula>
      <formula>2.4</formula>
    </cfRule>
    <cfRule type="expression" dxfId="4813" priority="75">
      <formula>Y23&lt;1.8</formula>
    </cfRule>
    <cfRule type="expression" dxfId="4812" priority="76">
      <formula>Y23&gt;2.4</formula>
    </cfRule>
  </conditionalFormatting>
  <conditionalFormatting sqref="I28">
    <cfRule type="expression" dxfId="4811" priority="71">
      <formula>I28&lt;45</formula>
    </cfRule>
    <cfRule type="expression" dxfId="4810" priority="72">
      <formula>I28&gt;55</formula>
    </cfRule>
  </conditionalFormatting>
  <conditionalFormatting sqref="I29">
    <cfRule type="expression" dxfId="4809" priority="69">
      <formula>I29&lt;45</formula>
    </cfRule>
    <cfRule type="expression" dxfId="4808" priority="70">
      <formula>I29&gt;55</formula>
    </cfRule>
  </conditionalFormatting>
  <conditionalFormatting sqref="K28">
    <cfRule type="expression" dxfId="4807" priority="67">
      <formula>K28&lt;45</formula>
    </cfRule>
    <cfRule type="expression" dxfId="4806" priority="68">
      <formula>K28&gt;55</formula>
    </cfRule>
  </conditionalFormatting>
  <conditionalFormatting sqref="K29">
    <cfRule type="expression" dxfId="4805" priority="65">
      <formula>K29&lt;45</formula>
    </cfRule>
    <cfRule type="expression" dxfId="4804" priority="66">
      <formula>K29&gt;55</formula>
    </cfRule>
  </conditionalFormatting>
  <conditionalFormatting sqref="Q28">
    <cfRule type="expression" dxfId="4803" priority="63">
      <formula>Q28&lt;45</formula>
    </cfRule>
    <cfRule type="expression" dxfId="4802" priority="64">
      <formula>Q28&gt;55</formula>
    </cfRule>
  </conditionalFormatting>
  <conditionalFormatting sqref="Q29">
    <cfRule type="expression" dxfId="4801" priority="61">
      <formula>Q29&lt;45</formula>
    </cfRule>
    <cfRule type="expression" dxfId="4800" priority="62">
      <formula>Q29&gt;55</formula>
    </cfRule>
  </conditionalFormatting>
  <conditionalFormatting sqref="S28">
    <cfRule type="expression" dxfId="4799" priority="59">
      <formula>S28&lt;45</formula>
    </cfRule>
    <cfRule type="expression" dxfId="4798" priority="60">
      <formula>S28&gt;55</formula>
    </cfRule>
  </conditionalFormatting>
  <conditionalFormatting sqref="S29">
    <cfRule type="expression" dxfId="4797" priority="57">
      <formula>S29&lt;45</formula>
    </cfRule>
    <cfRule type="expression" dxfId="4796" priority="58">
      <formula>S29&gt;55</formula>
    </cfRule>
  </conditionalFormatting>
  <conditionalFormatting sqref="Y28">
    <cfRule type="expression" dxfId="4795" priority="55">
      <formula>Y28&lt;45</formula>
    </cfRule>
    <cfRule type="expression" dxfId="4794" priority="56">
      <formula>Y28&gt;55</formula>
    </cfRule>
  </conditionalFormatting>
  <conditionalFormatting sqref="Y29">
    <cfRule type="expression" dxfId="4793" priority="53">
      <formula>Y29&lt;45</formula>
    </cfRule>
    <cfRule type="expression" dxfId="4792" priority="54">
      <formula>Y29&gt;55</formula>
    </cfRule>
  </conditionalFormatting>
  <conditionalFormatting sqref="AA28">
    <cfRule type="expression" dxfId="4791" priority="51">
      <formula>AA28&lt;45</formula>
    </cfRule>
    <cfRule type="expression" dxfId="4790" priority="52">
      <formula>AA28&gt;55</formula>
    </cfRule>
  </conditionalFormatting>
  <conditionalFormatting sqref="AA29">
    <cfRule type="expression" dxfId="4789" priority="49">
      <formula>AA29&lt;45</formula>
    </cfRule>
    <cfRule type="expression" dxfId="4788" priority="50">
      <formula>AA29&gt;55</formula>
    </cfRule>
  </conditionalFormatting>
  <conditionalFormatting sqref="I66">
    <cfRule type="expression" dxfId="4787" priority="47">
      <formula>I66&lt;45</formula>
    </cfRule>
    <cfRule type="expression" dxfId="4786" priority="48">
      <formula>I66&gt;55</formula>
    </cfRule>
  </conditionalFormatting>
  <conditionalFormatting sqref="I67">
    <cfRule type="expression" dxfId="4785" priority="45">
      <formula>I67&lt;45</formula>
    </cfRule>
    <cfRule type="expression" dxfId="4784" priority="46">
      <formula>I67&gt;55</formula>
    </cfRule>
  </conditionalFormatting>
  <conditionalFormatting sqref="K66">
    <cfRule type="expression" dxfId="4783" priority="43">
      <formula>K66&lt;45</formula>
    </cfRule>
    <cfRule type="expression" dxfId="4782" priority="44">
      <formula>K66&gt;55</formula>
    </cfRule>
  </conditionalFormatting>
  <conditionalFormatting sqref="K67">
    <cfRule type="expression" dxfId="4781" priority="41">
      <formula>K67&lt;45</formula>
    </cfRule>
    <cfRule type="expression" dxfId="4780" priority="42">
      <formula>K67&gt;55</formula>
    </cfRule>
  </conditionalFormatting>
  <conditionalFormatting sqref="Q66">
    <cfRule type="expression" dxfId="4779" priority="39">
      <formula>Q66&lt;45</formula>
    </cfRule>
    <cfRule type="expression" dxfId="4778" priority="40">
      <formula>Q66&gt;55</formula>
    </cfRule>
  </conditionalFormatting>
  <conditionalFormatting sqref="Q67">
    <cfRule type="expression" dxfId="4777" priority="37">
      <formula>Q67&lt;45</formula>
    </cfRule>
    <cfRule type="expression" dxfId="4776" priority="38">
      <formula>Q67&gt;55</formula>
    </cfRule>
  </conditionalFormatting>
  <conditionalFormatting sqref="S66">
    <cfRule type="expression" dxfId="4775" priority="35">
      <formula>S66&lt;45</formula>
    </cfRule>
    <cfRule type="expression" dxfId="4774" priority="36">
      <formula>S66&gt;55</formula>
    </cfRule>
  </conditionalFormatting>
  <conditionalFormatting sqref="S67">
    <cfRule type="expression" dxfId="4773" priority="33">
      <formula>S67&lt;45</formula>
    </cfRule>
    <cfRule type="expression" dxfId="4772" priority="34">
      <formula>S67&gt;55</formula>
    </cfRule>
  </conditionalFormatting>
  <conditionalFormatting sqref="Y66">
    <cfRule type="expression" dxfId="4771" priority="31">
      <formula>Y66&lt;45</formula>
    </cfRule>
    <cfRule type="expression" dxfId="4770" priority="32">
      <formula>Y66&gt;55</formula>
    </cfRule>
  </conditionalFormatting>
  <conditionalFormatting sqref="Y67">
    <cfRule type="expression" dxfId="4769" priority="29">
      <formula>Y67&lt;45</formula>
    </cfRule>
    <cfRule type="expression" dxfId="4768" priority="30">
      <formula>Y67&gt;55</formula>
    </cfRule>
  </conditionalFormatting>
  <conditionalFormatting sqref="AA66">
    <cfRule type="expression" dxfId="4767" priority="27">
      <formula>AA66&lt;45</formula>
    </cfRule>
    <cfRule type="expression" dxfId="4766" priority="28">
      <formula>AA66&gt;55</formula>
    </cfRule>
  </conditionalFormatting>
  <conditionalFormatting sqref="AA67">
    <cfRule type="expression" dxfId="4765" priority="25">
      <formula>AA67&lt;45</formula>
    </cfRule>
    <cfRule type="expression" dxfId="4764" priority="26">
      <formula>AA67&gt;55</formula>
    </cfRule>
  </conditionalFormatting>
  <conditionalFormatting sqref="I60">
    <cfRule type="cellIs" dxfId="4763" priority="21" operator="between">
      <formula>5</formula>
      <formula>5.499</formula>
    </cfRule>
    <cfRule type="cellIs" dxfId="4762" priority="22" operator="between">
      <formula>6.51</formula>
      <formula>8</formula>
    </cfRule>
    <cfRule type="expression" dxfId="4761" priority="23">
      <formula>I60&lt;5</formula>
    </cfRule>
    <cfRule type="expression" dxfId="4760" priority="24">
      <formula>I60&gt;8</formula>
    </cfRule>
  </conditionalFormatting>
  <conditionalFormatting sqref="Q60">
    <cfRule type="cellIs" dxfId="4759" priority="17" operator="between">
      <formula>5</formula>
      <formula>5.499</formula>
    </cfRule>
    <cfRule type="cellIs" dxfId="4758" priority="18" operator="between">
      <formula>6.51</formula>
      <formula>8</formula>
    </cfRule>
    <cfRule type="expression" dxfId="4757" priority="19">
      <formula>Q60&lt;5</formula>
    </cfRule>
    <cfRule type="expression" dxfId="4756" priority="20">
      <formula>Q60&gt;8</formula>
    </cfRule>
  </conditionalFormatting>
  <conditionalFormatting sqref="Y60">
    <cfRule type="cellIs" dxfId="4755" priority="13" operator="between">
      <formula>5</formula>
      <formula>5.499</formula>
    </cfRule>
    <cfRule type="cellIs" dxfId="4754" priority="14" operator="between">
      <formula>6.51</formula>
      <formula>8</formula>
    </cfRule>
    <cfRule type="expression" dxfId="4753" priority="15">
      <formula>Y60&lt;5</formula>
    </cfRule>
    <cfRule type="expression" dxfId="4752" priority="16">
      <formula>Y60&gt;8</formula>
    </cfRule>
  </conditionalFormatting>
  <conditionalFormatting sqref="I22">
    <cfRule type="cellIs" dxfId="4751" priority="9" operator="between">
      <formula>5</formula>
      <formula>5.499</formula>
    </cfRule>
    <cfRule type="cellIs" dxfId="4750" priority="10" operator="between">
      <formula>6.51</formula>
      <formula>8</formula>
    </cfRule>
    <cfRule type="expression" dxfId="4749" priority="11">
      <formula>I22&lt;5</formula>
    </cfRule>
    <cfRule type="expression" dxfId="4748" priority="12">
      <formula>I22&gt;8</formula>
    </cfRule>
  </conditionalFormatting>
  <conditionalFormatting sqref="Q22">
    <cfRule type="cellIs" dxfId="4747" priority="5" operator="between">
      <formula>5</formula>
      <formula>5.499</formula>
    </cfRule>
    <cfRule type="cellIs" dxfId="4746" priority="6" operator="between">
      <formula>6.51</formula>
      <formula>8</formula>
    </cfRule>
    <cfRule type="expression" dxfId="4745" priority="7">
      <formula>Q22&lt;5</formula>
    </cfRule>
    <cfRule type="expression" dxfId="4744" priority="8">
      <formula>Q22&gt;8</formula>
    </cfRule>
  </conditionalFormatting>
  <conditionalFormatting sqref="Y22">
    <cfRule type="cellIs" dxfId="4743" priority="1" operator="between">
      <formula>5</formula>
      <formula>5.499</formula>
    </cfRule>
    <cfRule type="cellIs" dxfId="4742" priority="2" operator="between">
      <formula>6.51</formula>
      <formula>8</formula>
    </cfRule>
    <cfRule type="expression" dxfId="4741" priority="3">
      <formula>Y22&lt;5</formula>
    </cfRule>
    <cfRule type="expression" dxfId="4740" priority="4">
      <formula>Y22&gt;8</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AL81"/>
  <sheetViews>
    <sheetView view="pageBreakPreview" topLeftCell="A58" zoomScale="55" zoomScaleNormal="55" zoomScaleSheetLayoutView="55" workbookViewId="0">
      <selection activeCell="AE63" sqref="AE63"/>
    </sheetView>
  </sheetViews>
  <sheetFormatPr defaultRowHeight="16.5"/>
  <cols>
    <col min="1" max="1" width="5" style="1014" customWidth="1"/>
    <col min="2" max="2" width="8" style="1015" customWidth="1"/>
    <col min="3" max="3" width="3.5" style="1015" customWidth="1"/>
    <col min="4" max="4" width="6" style="1015" customWidth="1"/>
    <col min="5" max="5" width="3.25" style="1015" customWidth="1"/>
    <col min="6" max="6" width="7.5" style="1016" customWidth="1"/>
    <col min="7" max="7" width="14.125" style="1016" customWidth="1"/>
    <col min="8" max="8" width="11.625" style="1016" customWidth="1"/>
    <col min="9" max="9" width="8.375" style="1016" customWidth="1"/>
    <col min="10" max="10" width="2.625" style="1016" customWidth="1"/>
    <col min="11" max="11" width="8" style="1016" customWidth="1"/>
    <col min="12" max="12" width="4" style="1016" customWidth="1"/>
    <col min="13" max="13" width="6.625" style="977" customWidth="1"/>
    <col min="14" max="14" width="2.75" style="977" customWidth="1"/>
    <col min="15" max="15" width="8.75" style="977" customWidth="1"/>
    <col min="16" max="16" width="4" style="977" customWidth="1"/>
    <col min="17" max="17" width="8.25" style="1016" customWidth="1"/>
    <col min="18" max="18" width="2.375" style="1016" customWidth="1"/>
    <col min="19" max="19" width="8.25" style="1016" customWidth="1"/>
    <col min="20" max="20" width="4.25" style="1016" customWidth="1"/>
    <col min="21" max="21" width="7.125" style="977" customWidth="1"/>
    <col min="22" max="22" width="4" style="977" customWidth="1"/>
    <col min="23" max="23" width="7.875" style="977" customWidth="1"/>
    <col min="24" max="24" width="3.75" style="977" customWidth="1"/>
    <col min="25" max="25" width="7.5" style="1016" customWidth="1"/>
    <col min="26" max="26" width="4.25" style="1016" customWidth="1"/>
    <col min="27" max="27" width="7.625" style="1016" customWidth="1"/>
    <col min="28" max="28" width="4.875" style="1016" customWidth="1"/>
    <col min="29" max="29" width="7" style="977" customWidth="1"/>
    <col min="30" max="30" width="3.75" style="977" customWidth="1"/>
    <col min="31" max="31" width="7.5" style="977" customWidth="1"/>
    <col min="32" max="32" width="4.25" style="977" customWidth="1"/>
    <col min="33" max="33" width="7.625" style="8" customWidth="1"/>
    <col min="34" max="16384" width="9" style="8"/>
  </cols>
  <sheetData>
    <row r="1" spans="1:38" ht="28.5" customHeight="1">
      <c r="A1" s="2970" t="s">
        <v>136</v>
      </c>
      <c r="B1" s="2970"/>
      <c r="C1" s="2970"/>
      <c r="D1" s="2970"/>
      <c r="E1" s="2970"/>
      <c r="F1" s="2970"/>
      <c r="G1" s="2970"/>
      <c r="H1" s="2970"/>
      <c r="I1" s="2970"/>
      <c r="J1" s="2970"/>
      <c r="K1" s="2970"/>
      <c r="L1" s="2970"/>
      <c r="M1" s="2970"/>
      <c r="N1" s="2970"/>
      <c r="O1" s="2970"/>
      <c r="P1" s="2970"/>
      <c r="Q1" s="2970"/>
      <c r="R1" s="2970"/>
      <c r="S1" s="2970"/>
      <c r="T1" s="2970"/>
      <c r="U1" s="2970"/>
      <c r="V1" s="2970"/>
      <c r="W1" s="2970"/>
      <c r="X1" s="2970"/>
      <c r="Y1" s="2970"/>
      <c r="Z1" s="2970"/>
      <c r="AA1" s="1017"/>
      <c r="AB1" s="1017"/>
      <c r="AC1" s="978"/>
      <c r="AD1" s="978"/>
      <c r="AE1" s="978"/>
      <c r="AF1" s="978"/>
      <c r="AG1" s="64"/>
    </row>
    <row r="2" spans="1:38" ht="51.75" customHeight="1">
      <c r="A2" s="2971" t="s">
        <v>137</v>
      </c>
      <c r="B2" s="2971"/>
      <c r="C2" s="2971"/>
      <c r="D2" s="2971"/>
      <c r="E2" s="2971"/>
      <c r="F2" s="2971"/>
      <c r="G2" s="2971"/>
      <c r="H2" s="2971"/>
      <c r="I2" s="2971"/>
      <c r="J2" s="2971"/>
      <c r="K2" s="2971"/>
      <c r="L2" s="2971"/>
      <c r="M2" s="2971"/>
      <c r="N2" s="2971"/>
      <c r="O2" s="2971"/>
      <c r="P2" s="2971"/>
      <c r="Q2" s="2971"/>
      <c r="R2" s="2971"/>
      <c r="S2" s="2971"/>
      <c r="T2" s="2971"/>
      <c r="U2" s="2971"/>
      <c r="V2" s="2971"/>
      <c r="W2" s="2971"/>
      <c r="X2" s="2971"/>
      <c r="Y2" s="2971"/>
      <c r="Z2" s="2971"/>
      <c r="AA2" s="1017"/>
      <c r="AB2" s="1017"/>
      <c r="AC2" s="978"/>
      <c r="AD2" s="2861" t="s">
        <v>89</v>
      </c>
      <c r="AE2" s="2861"/>
      <c r="AF2" s="2863" t="s">
        <v>90</v>
      </c>
      <c r="AG2" s="2864"/>
    </row>
    <row r="3" spans="1:38" ht="32.25" customHeight="1">
      <c r="A3" s="1002"/>
      <c r="B3" s="1496" t="s">
        <v>128</v>
      </c>
      <c r="C3" s="1497"/>
      <c r="D3" s="1464"/>
      <c r="E3" s="1465"/>
      <c r="F3" s="1466"/>
      <c r="G3" s="1462"/>
      <c r="H3" s="1930" t="str">
        <f>MENU!$AC$9</f>
        <v>Thứ 3,</v>
      </c>
      <c r="I3" s="2901" t="str">
        <f>MENU!$AD$9</f>
        <v>2024/01/09</v>
      </c>
      <c r="J3" s="2902"/>
      <c r="K3" s="2902"/>
      <c r="L3" s="2902"/>
      <c r="M3" s="975"/>
      <c r="N3" s="975"/>
      <c r="O3" s="975"/>
      <c r="P3" s="975"/>
      <c r="Q3" s="1003"/>
      <c r="R3" s="1003"/>
      <c r="S3" s="1003"/>
      <c r="T3" s="1003"/>
      <c r="U3" s="975"/>
      <c r="V3" s="975"/>
      <c r="W3" s="975"/>
      <c r="X3" s="975"/>
      <c r="Y3" s="1003"/>
      <c r="Z3" s="1003"/>
      <c r="AA3" s="1017"/>
      <c r="AB3" s="1017"/>
      <c r="AC3" s="978"/>
      <c r="AD3" s="2862" t="str">
        <f>MENU!AE6</f>
        <v>Trang</v>
      </c>
      <c r="AE3" s="2862"/>
      <c r="AF3" s="2854" t="s">
        <v>11</v>
      </c>
      <c r="AG3" s="2855"/>
    </row>
    <row r="4" spans="1:38" s="65" customFormat="1" ht="46.5" customHeight="1">
      <c r="A4" s="2972" t="s">
        <v>7</v>
      </c>
      <c r="B4" s="2885" t="s">
        <v>77</v>
      </c>
      <c r="C4" s="2886"/>
      <c r="D4" s="2886"/>
      <c r="E4" s="2887"/>
      <c r="F4" s="2883" t="s">
        <v>125</v>
      </c>
      <c r="G4" s="2922" t="s">
        <v>1325</v>
      </c>
      <c r="H4" s="2920" t="s">
        <v>1317</v>
      </c>
      <c r="I4" s="2950">
        <v>0.30208333333333331</v>
      </c>
      <c r="J4" s="2907"/>
      <c r="K4" s="2907"/>
      <c r="L4" s="2908"/>
      <c r="M4" s="2856" t="s">
        <v>940</v>
      </c>
      <c r="N4" s="2986"/>
      <c r="O4" s="2986"/>
      <c r="P4" s="2987"/>
      <c r="Q4" s="2906">
        <v>0.46875</v>
      </c>
      <c r="R4" s="2907"/>
      <c r="S4" s="2907"/>
      <c r="T4" s="2908"/>
      <c r="U4" s="2856" t="s">
        <v>940</v>
      </c>
      <c r="V4" s="2857"/>
      <c r="W4" s="2857"/>
      <c r="X4" s="2858"/>
      <c r="Y4" s="2906">
        <v>0.63541666666666663</v>
      </c>
      <c r="Z4" s="2907"/>
      <c r="AA4" s="2907"/>
      <c r="AB4" s="2908"/>
      <c r="AC4" s="2856" t="s">
        <v>940</v>
      </c>
      <c r="AD4" s="2857"/>
      <c r="AE4" s="2857"/>
      <c r="AF4" s="2858"/>
      <c r="AG4" s="2961" t="s">
        <v>39</v>
      </c>
    </row>
    <row r="5" spans="1:38" s="65" customFormat="1" ht="46.5" customHeight="1">
      <c r="A5" s="2972"/>
      <c r="B5" s="2888"/>
      <c r="C5" s="2889"/>
      <c r="D5" s="2889"/>
      <c r="E5" s="2890"/>
      <c r="F5" s="2884"/>
      <c r="G5" s="2923"/>
      <c r="H5" s="2921"/>
      <c r="I5" s="2414" t="s">
        <v>130</v>
      </c>
      <c r="J5" s="2912" t="s">
        <v>1</v>
      </c>
      <c r="K5" s="2913"/>
      <c r="L5" s="2914"/>
      <c r="M5" s="938" t="s">
        <v>941</v>
      </c>
      <c r="N5" s="2859" t="s">
        <v>1</v>
      </c>
      <c r="O5" s="2859"/>
      <c r="P5" s="2860"/>
      <c r="Q5" s="981" t="s">
        <v>130</v>
      </c>
      <c r="R5" s="2912" t="s">
        <v>1</v>
      </c>
      <c r="S5" s="2913"/>
      <c r="T5" s="2914"/>
      <c r="U5" s="938" t="s">
        <v>130</v>
      </c>
      <c r="V5" s="2859" t="s">
        <v>1</v>
      </c>
      <c r="W5" s="2859"/>
      <c r="X5" s="2860"/>
      <c r="Y5" s="981" t="s">
        <v>130</v>
      </c>
      <c r="Z5" s="2912" t="s">
        <v>1</v>
      </c>
      <c r="AA5" s="2913"/>
      <c r="AB5" s="2914"/>
      <c r="AC5" s="938" t="s">
        <v>130</v>
      </c>
      <c r="AD5" s="2859" t="s">
        <v>1</v>
      </c>
      <c r="AE5" s="2859"/>
      <c r="AF5" s="2860"/>
      <c r="AG5" s="2962"/>
    </row>
    <row r="6" spans="1:38" ht="45.75" customHeight="1">
      <c r="A6" s="2973">
        <v>1</v>
      </c>
      <c r="B6" s="2975" t="s">
        <v>951</v>
      </c>
      <c r="C6" s="2976"/>
      <c r="D6" s="2898" t="s">
        <v>231</v>
      </c>
      <c r="E6" s="2899"/>
      <c r="F6" s="49" t="s">
        <v>4</v>
      </c>
      <c r="G6" s="929" t="str">
        <f>'XM.FILE GOC'!$E$78</f>
        <v>40~60</v>
      </c>
      <c r="H6" s="2427" t="str">
        <f>'XM.FILE GOC'!$F$78</f>
        <v>(50±5)</v>
      </c>
      <c r="I6" s="2430">
        <f>'XM.FILE GOC'!I78</f>
        <v>49.5</v>
      </c>
      <c r="J6" s="1004" t="s">
        <v>8</v>
      </c>
      <c r="K6" s="1005">
        <f>'XM.FILE GOC'!L78</f>
        <v>7.7584999999999997</v>
      </c>
      <c r="L6" s="1006" t="s">
        <v>9</v>
      </c>
      <c r="M6" s="939">
        <v>50.8</v>
      </c>
      <c r="N6" s="940"/>
      <c r="O6" s="1686"/>
      <c r="P6" s="941"/>
      <c r="Q6" s="1473">
        <f>'XM.FILE GOC'!P78</f>
        <v>51.92</v>
      </c>
      <c r="R6" s="1004" t="s">
        <v>8</v>
      </c>
      <c r="S6" s="1005">
        <f>'XM.FILE GOC'!S78</f>
        <v>0</v>
      </c>
      <c r="T6" s="1006" t="s">
        <v>9</v>
      </c>
      <c r="U6" s="939"/>
      <c r="V6" s="940"/>
      <c r="W6" s="1686"/>
      <c r="X6" s="941"/>
      <c r="Y6" s="1473">
        <f>'XM.FILE GOC'!W78</f>
        <v>51.595500000000001</v>
      </c>
      <c r="Z6" s="1004" t="s">
        <v>8</v>
      </c>
      <c r="AA6" s="1005">
        <f>'XM.FILE GOC'!Z78</f>
        <v>0</v>
      </c>
      <c r="AB6" s="1006" t="s">
        <v>9</v>
      </c>
      <c r="AC6" s="939"/>
      <c r="AD6" s="940"/>
      <c r="AE6" s="1686"/>
      <c r="AF6" s="941"/>
      <c r="AG6" s="73" t="s">
        <v>40</v>
      </c>
    </row>
    <row r="7" spans="1:38" ht="45.75" customHeight="1">
      <c r="A7" s="2974"/>
      <c r="B7" s="2977"/>
      <c r="C7" s="2978"/>
      <c r="D7" s="2898" t="s">
        <v>232</v>
      </c>
      <c r="E7" s="2899"/>
      <c r="F7" s="928"/>
      <c r="G7" s="929" t="s">
        <v>1286</v>
      </c>
      <c r="H7" s="2427"/>
      <c r="I7" s="2416"/>
      <c r="J7" s="61"/>
      <c r="K7" s="985">
        <f>K6/25*8.5</f>
        <v>2.6378900000000001</v>
      </c>
      <c r="L7" s="614" t="s">
        <v>10</v>
      </c>
      <c r="M7" s="939"/>
      <c r="N7" s="942"/>
      <c r="O7" s="1684"/>
      <c r="P7" s="943"/>
      <c r="Q7" s="1783"/>
      <c r="R7" s="61"/>
      <c r="S7" s="985">
        <f>S6/25*8.5</f>
        <v>0</v>
      </c>
      <c r="T7" s="614" t="s">
        <v>10</v>
      </c>
      <c r="U7" s="939"/>
      <c r="V7" s="942"/>
      <c r="W7" s="1684"/>
      <c r="X7" s="943"/>
      <c r="Y7" s="1783"/>
      <c r="Z7" s="61"/>
      <c r="AA7" s="985">
        <f>AA6/25*8.5</f>
        <v>0</v>
      </c>
      <c r="AB7" s="614" t="s">
        <v>10</v>
      </c>
      <c r="AC7" s="939"/>
      <c r="AD7" s="942"/>
      <c r="AE7" s="1684"/>
      <c r="AF7" s="943"/>
      <c r="AG7" s="73"/>
    </row>
    <row r="8" spans="1:38" ht="45.75" customHeight="1">
      <c r="A8" s="2973">
        <v>2</v>
      </c>
      <c r="B8" s="2975" t="s">
        <v>952</v>
      </c>
      <c r="C8" s="2976"/>
      <c r="D8" s="2898" t="s">
        <v>231</v>
      </c>
      <c r="E8" s="2899"/>
      <c r="F8" s="49" t="s">
        <v>4</v>
      </c>
      <c r="G8" s="929" t="str">
        <f>'XM.FILE GOC'!$E$80</f>
        <v>40~60</v>
      </c>
      <c r="H8" s="2427" t="str">
        <f>'XM.FILE GOC'!$F$80</f>
        <v>(50±5)</v>
      </c>
      <c r="I8" s="2430">
        <f>'XM.FILE GOC'!I80</f>
        <v>50.297499999999999</v>
      </c>
      <c r="J8" s="1004" t="s">
        <v>8</v>
      </c>
      <c r="K8" s="1005">
        <f>'XM.FILE GOC'!L80</f>
        <v>0</v>
      </c>
      <c r="L8" s="1006" t="s">
        <v>9</v>
      </c>
      <c r="M8" s="939"/>
      <c r="N8" s="940"/>
      <c r="O8" s="1686"/>
      <c r="P8" s="941"/>
      <c r="Q8" s="1473">
        <f>'XM.FILE GOC'!P80</f>
        <v>50.297499999999999</v>
      </c>
      <c r="R8" s="1004" t="s">
        <v>8</v>
      </c>
      <c r="S8" s="1005">
        <f>'XM.FILE GOC'!S80</f>
        <v>0</v>
      </c>
      <c r="T8" s="1006" t="s">
        <v>9</v>
      </c>
      <c r="U8" s="939"/>
      <c r="V8" s="940"/>
      <c r="W8" s="1686"/>
      <c r="X8" s="941"/>
      <c r="Y8" s="1473">
        <f>'XM.FILE GOC'!W80</f>
        <v>50.297499999999999</v>
      </c>
      <c r="Z8" s="1004" t="s">
        <v>8</v>
      </c>
      <c r="AA8" s="1005">
        <f>'XM.FILE GOC'!Z80</f>
        <v>0</v>
      </c>
      <c r="AB8" s="1006" t="s">
        <v>9</v>
      </c>
      <c r="AC8" s="939"/>
      <c r="AD8" s="940"/>
      <c r="AE8" s="1686"/>
      <c r="AF8" s="941"/>
      <c r="AG8" s="73" t="s">
        <v>40</v>
      </c>
    </row>
    <row r="9" spans="1:38" ht="45.75" customHeight="1">
      <c r="A9" s="2974"/>
      <c r="B9" s="2977"/>
      <c r="C9" s="2978"/>
      <c r="D9" s="2898" t="s">
        <v>232</v>
      </c>
      <c r="E9" s="2899"/>
      <c r="F9" s="928"/>
      <c r="G9" s="929" t="s">
        <v>1286</v>
      </c>
      <c r="H9" s="2427"/>
      <c r="I9" s="2416"/>
      <c r="J9" s="61"/>
      <c r="K9" s="985">
        <f>K8/25*8.5</f>
        <v>0</v>
      </c>
      <c r="L9" s="614" t="s">
        <v>10</v>
      </c>
      <c r="M9" s="939"/>
      <c r="N9" s="942"/>
      <c r="O9" s="1684"/>
      <c r="P9" s="943"/>
      <c r="Q9" s="1783"/>
      <c r="R9" s="61"/>
      <c r="S9" s="985">
        <f>S8/25*8.5</f>
        <v>0</v>
      </c>
      <c r="T9" s="614" t="s">
        <v>10</v>
      </c>
      <c r="U9" s="939"/>
      <c r="V9" s="942"/>
      <c r="W9" s="1684"/>
      <c r="X9" s="943"/>
      <c r="Y9" s="1783"/>
      <c r="Z9" s="61"/>
      <c r="AA9" s="985">
        <f>AA8/25*8.5</f>
        <v>0</v>
      </c>
      <c r="AB9" s="614" t="s">
        <v>10</v>
      </c>
      <c r="AC9" s="939"/>
      <c r="AD9" s="942"/>
      <c r="AE9" s="1684"/>
      <c r="AF9" s="943"/>
      <c r="AG9" s="73"/>
    </row>
    <row r="10" spans="1:38" ht="45.75" customHeight="1">
      <c r="A10" s="2973">
        <v>3</v>
      </c>
      <c r="B10" s="2896" t="s">
        <v>953</v>
      </c>
      <c r="C10" s="2897"/>
      <c r="D10" s="2871" t="s">
        <v>233</v>
      </c>
      <c r="E10" s="2873" t="s">
        <v>233</v>
      </c>
      <c r="F10" s="49" t="s">
        <v>4</v>
      </c>
      <c r="G10" s="929" t="str">
        <f>'XM.FILE GOC'!$E$82</f>
        <v>50~70</v>
      </c>
      <c r="H10" s="2427" t="str">
        <f>'XM.FILE GOC'!$F$82</f>
        <v>(60±5)</v>
      </c>
      <c r="I10" s="2430">
        <f>'XM.FILE GOC'!I82</f>
        <v>63.524999999999999</v>
      </c>
      <c r="J10" s="61" t="s">
        <v>8</v>
      </c>
      <c r="K10" s="613">
        <f>'XM.FILE GOC'!L82</f>
        <v>0</v>
      </c>
      <c r="L10" s="614" t="s">
        <v>9</v>
      </c>
      <c r="M10" s="939"/>
      <c r="N10" s="940"/>
      <c r="O10" s="1686"/>
      <c r="P10" s="941"/>
      <c r="Q10" s="1473">
        <f>'XM.FILE GOC'!P82</f>
        <v>63.293999999999997</v>
      </c>
      <c r="R10" s="61" t="s">
        <v>8</v>
      </c>
      <c r="S10" s="613">
        <f>'XM.FILE GOC'!S82</f>
        <v>0</v>
      </c>
      <c r="T10" s="614" t="s">
        <v>9</v>
      </c>
      <c r="U10" s="939"/>
      <c r="V10" s="940"/>
      <c r="W10" s="1686"/>
      <c r="X10" s="941"/>
      <c r="Y10" s="1473">
        <f>'XM.FILE GOC'!W82</f>
        <v>61.908000000000001</v>
      </c>
      <c r="Z10" s="61" t="s">
        <v>8</v>
      </c>
      <c r="AA10" s="613">
        <f>'XM.FILE GOC'!Z82</f>
        <v>0</v>
      </c>
      <c r="AB10" s="1006" t="s">
        <v>9</v>
      </c>
      <c r="AC10" s="939"/>
      <c r="AD10" s="940"/>
      <c r="AE10" s="1686"/>
      <c r="AF10" s="941"/>
      <c r="AG10" s="73" t="s">
        <v>40</v>
      </c>
    </row>
    <row r="11" spans="1:38" ht="45.75" customHeight="1">
      <c r="A11" s="2979"/>
      <c r="B11" s="2897"/>
      <c r="C11" s="2897"/>
      <c r="D11" s="2871" t="s">
        <v>234</v>
      </c>
      <c r="E11" s="2873" t="s">
        <v>234</v>
      </c>
      <c r="F11" s="928"/>
      <c r="G11" s="929" t="s">
        <v>1287</v>
      </c>
      <c r="H11" s="2427"/>
      <c r="I11" s="2416"/>
      <c r="J11" s="61"/>
      <c r="K11" s="985">
        <f>K10/25*8</f>
        <v>0</v>
      </c>
      <c r="L11" s="614" t="s">
        <v>10</v>
      </c>
      <c r="M11" s="939"/>
      <c r="N11" s="942"/>
      <c r="O11" s="1684"/>
      <c r="P11" s="943"/>
      <c r="Q11" s="1783"/>
      <c r="R11" s="61"/>
      <c r="S11" s="985">
        <f>S10/25*8</f>
        <v>0</v>
      </c>
      <c r="T11" s="614" t="s">
        <v>10</v>
      </c>
      <c r="U11" s="939"/>
      <c r="V11" s="942"/>
      <c r="W11" s="1684"/>
      <c r="X11" s="943"/>
      <c r="Y11" s="1783"/>
      <c r="Z11" s="61"/>
      <c r="AA11" s="985">
        <f>AA10/25*8</f>
        <v>0</v>
      </c>
      <c r="AB11" s="614" t="s">
        <v>10</v>
      </c>
      <c r="AC11" s="939"/>
      <c r="AD11" s="942"/>
      <c r="AE11" s="1684"/>
      <c r="AF11" s="943"/>
      <c r="AG11" s="73"/>
    </row>
    <row r="12" spans="1:38" ht="45.75" customHeight="1">
      <c r="A12" s="2973">
        <v>4</v>
      </c>
      <c r="B12" s="2896" t="s">
        <v>954</v>
      </c>
      <c r="C12" s="2897"/>
      <c r="D12" s="2871" t="s">
        <v>233</v>
      </c>
      <c r="E12" s="2873" t="s">
        <v>233</v>
      </c>
      <c r="F12" s="49" t="s">
        <v>4</v>
      </c>
      <c r="G12" s="929" t="str">
        <f>'XM.FILE GOC'!$E$84</f>
        <v>50~70</v>
      </c>
      <c r="H12" s="2427" t="str">
        <f>'XM.FILE GOC'!$F$84</f>
        <v>(60±5)</v>
      </c>
      <c r="I12" s="2430">
        <f>'XM.FILE GOC'!I84</f>
        <v>59.7</v>
      </c>
      <c r="J12" s="1004" t="s">
        <v>8</v>
      </c>
      <c r="K12" s="1005">
        <f>'XM.FILE GOC'!L84</f>
        <v>2.6003999999999756</v>
      </c>
      <c r="L12" s="1006" t="s">
        <v>9</v>
      </c>
      <c r="M12" s="939">
        <v>62.2</v>
      </c>
      <c r="N12" s="940"/>
      <c r="O12" s="1687"/>
      <c r="P12" s="941"/>
      <c r="Q12" s="1473">
        <f>'XM.FILE GOC'!P84</f>
        <v>63.063000000000002</v>
      </c>
      <c r="R12" s="1004" t="s">
        <v>8</v>
      </c>
      <c r="S12" s="1005">
        <f>'XM.FILE GOC'!S84</f>
        <v>0</v>
      </c>
      <c r="T12" s="1006" t="s">
        <v>9</v>
      </c>
      <c r="U12" s="939"/>
      <c r="V12" s="940"/>
      <c r="W12" s="1687"/>
      <c r="X12" s="941"/>
      <c r="Y12" s="1473">
        <f>'XM.FILE GOC'!W84</f>
        <v>60.521999999999998</v>
      </c>
      <c r="Z12" s="1004" t="s">
        <v>8</v>
      </c>
      <c r="AA12" s="1005">
        <f>'XM.FILE GOC'!Z84</f>
        <v>0</v>
      </c>
      <c r="AB12" s="1006" t="s">
        <v>9</v>
      </c>
      <c r="AC12" s="939"/>
      <c r="AD12" s="940"/>
      <c r="AE12" s="1687"/>
      <c r="AF12" s="941"/>
      <c r="AG12" s="73" t="s">
        <v>40</v>
      </c>
    </row>
    <row r="13" spans="1:38" ht="45.75" customHeight="1">
      <c r="A13" s="2979"/>
      <c r="B13" s="2897"/>
      <c r="C13" s="2897"/>
      <c r="D13" s="2871" t="s">
        <v>234</v>
      </c>
      <c r="E13" s="2873" t="s">
        <v>234</v>
      </c>
      <c r="F13" s="928"/>
      <c r="G13" s="929" t="s">
        <v>1287</v>
      </c>
      <c r="H13" s="2427"/>
      <c r="I13" s="2416"/>
      <c r="J13" s="61"/>
      <c r="K13" s="985">
        <f>K12/25*8</f>
        <v>0.83212799999999221</v>
      </c>
      <c r="L13" s="614" t="s">
        <v>10</v>
      </c>
      <c r="M13" s="939"/>
      <c r="N13" s="942"/>
      <c r="O13" s="1684"/>
      <c r="P13" s="943"/>
      <c r="Q13" s="1783"/>
      <c r="R13" s="61"/>
      <c r="S13" s="985">
        <f>S12/25*8</f>
        <v>0</v>
      </c>
      <c r="T13" s="614" t="s">
        <v>10</v>
      </c>
      <c r="U13" s="939"/>
      <c r="V13" s="942"/>
      <c r="W13" s="1684"/>
      <c r="X13" s="943"/>
      <c r="Y13" s="1783"/>
      <c r="Z13" s="61"/>
      <c r="AA13" s="985">
        <f>AA12/25*8</f>
        <v>0</v>
      </c>
      <c r="AB13" s="614" t="s">
        <v>10</v>
      </c>
      <c r="AC13" s="939"/>
      <c r="AD13" s="942"/>
      <c r="AE13" s="1684"/>
      <c r="AF13" s="943"/>
      <c r="AG13" s="73"/>
    </row>
    <row r="14" spans="1:38" ht="45.75" customHeight="1">
      <c r="A14" s="2973">
        <v>5</v>
      </c>
      <c r="B14" s="2997" t="s">
        <v>955</v>
      </c>
      <c r="C14" s="2994" t="s">
        <v>956</v>
      </c>
      <c r="D14" s="2995"/>
      <c r="E14" s="2996"/>
      <c r="F14" s="660" t="s">
        <v>4</v>
      </c>
      <c r="G14" s="929" t="str">
        <f>'XM.FILE GOC'!$E$86</f>
        <v>135~ 145</v>
      </c>
      <c r="H14" s="2427" t="str">
        <f>'XM.FILE GOC'!$F$86</f>
        <v>(140±5)</v>
      </c>
      <c r="I14" s="2432">
        <f>'XM.FILE GOC'!I86</f>
        <v>143.6</v>
      </c>
      <c r="J14" s="1004" t="s">
        <v>8</v>
      </c>
      <c r="K14" s="1005">
        <f>'XM.FILE GOC'!L86</f>
        <v>0</v>
      </c>
      <c r="L14" s="1006" t="s">
        <v>9</v>
      </c>
      <c r="M14" s="939"/>
      <c r="N14" s="940"/>
      <c r="O14" s="1687"/>
      <c r="P14" s="941"/>
      <c r="Q14" s="81">
        <f>'XM.FILE GOC'!P86</f>
        <v>144.80000000000001</v>
      </c>
      <c r="R14" s="1004" t="s">
        <v>8</v>
      </c>
      <c r="S14" s="1005">
        <f>'XM.FILE GOC'!S86</f>
        <v>0</v>
      </c>
      <c r="T14" s="1006" t="s">
        <v>9</v>
      </c>
      <c r="U14" s="939"/>
      <c r="V14" s="940"/>
      <c r="W14" s="1687"/>
      <c r="X14" s="941"/>
      <c r="Y14" s="81">
        <f>'XM.FILE GOC'!W86</f>
        <v>143.19999999999999</v>
      </c>
      <c r="Z14" s="1004" t="s">
        <v>8</v>
      </c>
      <c r="AA14" s="1005">
        <f>'XM.FILE GOC'!Z86</f>
        <v>0</v>
      </c>
      <c r="AB14" s="1006" t="s">
        <v>9</v>
      </c>
      <c r="AC14" s="939"/>
      <c r="AD14" s="940"/>
      <c r="AE14" s="1687"/>
      <c r="AF14" s="941"/>
      <c r="AG14" s="73" t="s">
        <v>41</v>
      </c>
    </row>
    <row r="15" spans="1:38" ht="45.75" customHeight="1">
      <c r="A15" s="2979"/>
      <c r="B15" s="2998"/>
      <c r="C15" s="2994" t="s">
        <v>957</v>
      </c>
      <c r="D15" s="2995"/>
      <c r="E15" s="2996"/>
      <c r="F15" s="660" t="s">
        <v>4</v>
      </c>
      <c r="G15" s="929" t="str">
        <f>'XM.FILE GOC'!$E$87</f>
        <v>7~10</v>
      </c>
      <c r="H15" s="2427" t="str">
        <f>'XM.FILE GOC'!$F$87</f>
        <v>(8.5±1)</v>
      </c>
      <c r="I15" s="2433">
        <f>'XM.FILE GOC'!I87</f>
        <v>8.58</v>
      </c>
      <c r="J15" s="1004" t="s">
        <v>8</v>
      </c>
      <c r="K15" s="1005">
        <f>'XM.FILE GOC'!L87</f>
        <v>0</v>
      </c>
      <c r="L15" s="1006" t="s">
        <v>9</v>
      </c>
      <c r="M15" s="939"/>
      <c r="N15" s="940"/>
      <c r="O15" s="1687"/>
      <c r="P15" s="941"/>
      <c r="Q15" s="2067">
        <f>'XM.FILE GOC'!P87</f>
        <v>8.32</v>
      </c>
      <c r="R15" s="1004" t="s">
        <v>8</v>
      </c>
      <c r="S15" s="1005">
        <f>'XM.FILE GOC'!S87</f>
        <v>9.5518799999999846</v>
      </c>
      <c r="T15" s="1006" t="s">
        <v>9</v>
      </c>
      <c r="U15" s="939">
        <v>8.4</v>
      </c>
      <c r="V15" s="940" t="s">
        <v>8</v>
      </c>
      <c r="W15" s="1687">
        <f>('XM.FILE GOC'!$G$87-U15)*53066/1000</f>
        <v>5.3065999999999809</v>
      </c>
      <c r="X15" s="941" t="s">
        <v>9</v>
      </c>
      <c r="Y15" s="2067">
        <f>'XM.FILE GOC'!W87</f>
        <v>8.3849999999999998</v>
      </c>
      <c r="Z15" s="1004" t="s">
        <v>8</v>
      </c>
      <c r="AA15" s="1005">
        <f>'XM.FILE GOC'!Z87</f>
        <v>6.1025900000000108</v>
      </c>
      <c r="AB15" s="941" t="s">
        <v>9</v>
      </c>
      <c r="AC15" s="939">
        <v>8.5519999999999996</v>
      </c>
      <c r="AD15" s="940"/>
      <c r="AE15" s="1687"/>
      <c r="AF15" s="941"/>
      <c r="AG15" s="73" t="s">
        <v>42</v>
      </c>
    </row>
    <row r="16" spans="1:38" s="7" customFormat="1" ht="45.75" customHeight="1">
      <c r="A16" s="2973">
        <v>6</v>
      </c>
      <c r="B16" s="2980" t="s">
        <v>38</v>
      </c>
      <c r="C16" s="2981"/>
      <c r="D16" s="2981"/>
      <c r="E16" s="2984"/>
      <c r="F16" s="660" t="s">
        <v>3</v>
      </c>
      <c r="G16" s="929" t="str">
        <f>'XM.FILE GOC'!$E$88</f>
        <v>5~8</v>
      </c>
      <c r="H16" s="2427" t="str">
        <f>'XM.FILE GOC'!$F$88</f>
        <v>(6±1)</v>
      </c>
      <c r="I16" s="2434">
        <f>'XM.FILE GOC'!I88</f>
        <v>6.4533899999999997</v>
      </c>
      <c r="J16" s="1004" t="s">
        <v>8</v>
      </c>
      <c r="K16" s="1005">
        <f>'XM.FILE GOC'!L88</f>
        <v>0</v>
      </c>
      <c r="L16" s="1006" t="s">
        <v>10</v>
      </c>
      <c r="M16" s="1670"/>
      <c r="N16" s="942"/>
      <c r="O16" s="1686"/>
      <c r="P16" s="943"/>
      <c r="Q16" s="621">
        <f>'XM.FILE GOC'!P88</f>
        <v>6.4322049999999997</v>
      </c>
      <c r="R16" s="1004" t="s">
        <v>8</v>
      </c>
      <c r="S16" s="1005">
        <f>'XM.FILE GOC'!S88</f>
        <v>0</v>
      </c>
      <c r="T16" s="1006" t="s">
        <v>10</v>
      </c>
      <c r="U16" s="1670"/>
      <c r="V16" s="942"/>
      <c r="W16" s="1686"/>
      <c r="X16" s="943"/>
      <c r="Y16" s="621">
        <f>'XM.FILE GOC'!W88</f>
        <v>6.1568000000000005</v>
      </c>
      <c r="Z16" s="1004" t="s">
        <v>8</v>
      </c>
      <c r="AA16" s="1005">
        <f>'XM.FILE GOC'!Z88</f>
        <v>0</v>
      </c>
      <c r="AB16" s="1006" t="s">
        <v>10</v>
      </c>
      <c r="AC16" s="939"/>
      <c r="AD16" s="942"/>
      <c r="AE16" s="1686"/>
      <c r="AF16" s="943"/>
      <c r="AG16" s="73" t="s">
        <v>43</v>
      </c>
      <c r="AH16" s="1667"/>
      <c r="AI16" s="1666" t="s">
        <v>1452</v>
      </c>
      <c r="AJ16" s="977"/>
      <c r="AK16" s="977"/>
      <c r="AL16" s="977"/>
    </row>
    <row r="17" spans="1:38" ht="45.75" customHeight="1">
      <c r="A17" s="2979"/>
      <c r="B17" s="2982"/>
      <c r="C17" s="2983"/>
      <c r="D17" s="2983"/>
      <c r="E17" s="2985"/>
      <c r="F17" s="660" t="s">
        <v>5</v>
      </c>
      <c r="G17" s="929" t="str">
        <f>'XM.FILE GOC'!$E$89</f>
        <v>2.0~2.4</v>
      </c>
      <c r="H17" s="2427" t="str">
        <f>'XM.FILE GOC'!$F$89</f>
        <v>(2.2±0.1)</v>
      </c>
      <c r="I17" s="2458">
        <f>'XM.FILE GOC'!I89</f>
        <v>2.2599999999999998</v>
      </c>
      <c r="J17" s="1442"/>
      <c r="K17" s="1443"/>
      <c r="L17" s="1444"/>
      <c r="M17" s="1670"/>
      <c r="N17" s="944"/>
      <c r="O17" s="968"/>
      <c r="P17" s="945"/>
      <c r="Q17" s="2456">
        <f>'XM.FILE GOC'!P89</f>
        <v>2.2400000000000002</v>
      </c>
      <c r="R17" s="1442"/>
      <c r="S17" s="1443"/>
      <c r="T17" s="1444"/>
      <c r="U17" s="1670"/>
      <c r="V17" s="944"/>
      <c r="W17" s="968"/>
      <c r="X17" s="945"/>
      <c r="Y17" s="2456">
        <f>'XM.FILE GOC'!W89</f>
        <v>2.25</v>
      </c>
      <c r="Z17" s="1004"/>
      <c r="AA17" s="1005"/>
      <c r="AB17" s="1006"/>
      <c r="AC17" s="939"/>
      <c r="AD17" s="944"/>
      <c r="AE17" s="968"/>
      <c r="AF17" s="945"/>
      <c r="AG17" s="74"/>
      <c r="AH17" s="1668"/>
    </row>
    <row r="18" spans="1:38" ht="45.75" customHeight="1">
      <c r="A18" s="1007">
        <v>7</v>
      </c>
      <c r="B18" s="2988" t="s">
        <v>958</v>
      </c>
      <c r="C18" s="2989"/>
      <c r="D18" s="2989"/>
      <c r="E18" s="2990"/>
      <c r="F18" s="660" t="s">
        <v>6</v>
      </c>
      <c r="G18" s="929" t="str">
        <f>'XM.FILE GOC'!$E$90</f>
        <v>40~50</v>
      </c>
      <c r="H18" s="2427" t="str">
        <f>'XM.FILE GOC'!$F$90</f>
        <v>(45±5)</v>
      </c>
      <c r="I18" s="2435">
        <f>'XM.FILE GOC'!I90</f>
        <v>0.46500000000000002</v>
      </c>
      <c r="J18" s="1004" t="s">
        <v>8</v>
      </c>
      <c r="K18" s="1005">
        <f>'XM.FILE GOC'!L90</f>
        <v>0</v>
      </c>
      <c r="L18" s="1006" t="s">
        <v>10</v>
      </c>
      <c r="M18" s="946"/>
      <c r="N18" s="940"/>
      <c r="O18" s="1686"/>
      <c r="P18" s="941"/>
      <c r="Q18" s="63">
        <f>'XM.FILE GOC'!P90</f>
        <v>0.46400000000000002</v>
      </c>
      <c r="R18" s="1004" t="s">
        <v>8</v>
      </c>
      <c r="S18" s="1005">
        <f>'XM.FILE GOC'!S90</f>
        <v>0</v>
      </c>
      <c r="T18" s="1006" t="s">
        <v>10</v>
      </c>
      <c r="U18" s="946"/>
      <c r="V18" s="940"/>
      <c r="W18" s="1686"/>
      <c r="X18" s="941"/>
      <c r="Y18" s="63">
        <f>'XM.FILE GOC'!W90</f>
        <v>0.46</v>
      </c>
      <c r="Z18" s="1004" t="s">
        <v>8</v>
      </c>
      <c r="AA18" s="1005">
        <f>'XM.FILE GOC'!Z90</f>
        <v>0</v>
      </c>
      <c r="AB18" s="1006" t="s">
        <v>10</v>
      </c>
      <c r="AC18" s="946"/>
      <c r="AD18" s="940"/>
      <c r="AE18" s="1686"/>
      <c r="AF18" s="941"/>
      <c r="AG18" s="73" t="s">
        <v>44</v>
      </c>
    </row>
    <row r="19" spans="1:38" ht="45.75" customHeight="1">
      <c r="A19" s="1007">
        <v>8</v>
      </c>
      <c r="B19" s="2988" t="s">
        <v>959</v>
      </c>
      <c r="C19" s="2989"/>
      <c r="D19" s="2989"/>
      <c r="E19" s="2990"/>
      <c r="F19" s="660" t="s">
        <v>6</v>
      </c>
      <c r="G19" s="929" t="str">
        <f>'XM.FILE GOC'!$E$92</f>
        <v>40~50</v>
      </c>
      <c r="H19" s="2427" t="str">
        <f>'XM.FILE GOC'!$F$92</f>
        <v>(45±5)</v>
      </c>
      <c r="I19" s="2435">
        <f>'XM.FILE GOC'!I92</f>
        <v>0.45168749999999996</v>
      </c>
      <c r="J19" s="1004" t="s">
        <v>8</v>
      </c>
      <c r="K19" s="1005">
        <f>'XM.FILE GOC'!L92</f>
        <v>0</v>
      </c>
      <c r="L19" s="1006" t="s">
        <v>10</v>
      </c>
      <c r="M19" s="946"/>
      <c r="N19" s="942"/>
      <c r="O19" s="1686"/>
      <c r="P19" s="943"/>
      <c r="Q19" s="63">
        <f>'XM.FILE GOC'!P92</f>
        <v>0.43799999999999994</v>
      </c>
      <c r="R19" s="1004" t="s">
        <v>8</v>
      </c>
      <c r="S19" s="1005">
        <f>'XM.FILE GOC'!S92</f>
        <v>48.503076923077188</v>
      </c>
      <c r="T19" s="1006" t="s">
        <v>10</v>
      </c>
      <c r="U19" s="946">
        <v>0.45200000000000001</v>
      </c>
      <c r="V19" s="942"/>
      <c r="W19" s="1686"/>
      <c r="X19" s="943"/>
      <c r="Y19" s="63">
        <f>'XM.FILE GOC'!W92</f>
        <v>0.45800000000000002</v>
      </c>
      <c r="Z19" s="1004" t="s">
        <v>8</v>
      </c>
      <c r="AA19" s="1005">
        <f>'XM.FILE GOC'!Z92</f>
        <v>0</v>
      </c>
      <c r="AB19" s="1006" t="s">
        <v>10</v>
      </c>
      <c r="AC19" s="946"/>
      <c r="AD19" s="942"/>
      <c r="AE19" s="1686"/>
      <c r="AF19" s="943"/>
      <c r="AG19" s="72" t="s">
        <v>44</v>
      </c>
    </row>
    <row r="20" spans="1:38" ht="45.75" customHeight="1">
      <c r="A20" s="1007">
        <v>9</v>
      </c>
      <c r="B20" s="2991" t="s">
        <v>83</v>
      </c>
      <c r="C20" s="2992"/>
      <c r="D20" s="2992"/>
      <c r="E20" s="2993"/>
      <c r="F20" s="660" t="s">
        <v>6</v>
      </c>
      <c r="G20" s="929" t="str">
        <f>'XM.FILE GOC'!$E$93</f>
        <v>10~20</v>
      </c>
      <c r="H20" s="2427" t="str">
        <f>'XM.FILE GOC'!$F$93</f>
        <v>(15±5)</v>
      </c>
      <c r="I20" s="2436">
        <f>'XM.FILE GOC'!I93</f>
        <v>0.1323125</v>
      </c>
      <c r="J20" s="1004" t="s">
        <v>8</v>
      </c>
      <c r="K20" s="1005">
        <f>'XM.FILE GOC'!L93</f>
        <v>19.724612068965513</v>
      </c>
      <c r="L20" s="1006" t="s">
        <v>10</v>
      </c>
      <c r="M20" s="946">
        <v>0.45200000000000001</v>
      </c>
      <c r="N20" s="940"/>
      <c r="O20" s="968"/>
      <c r="P20" s="941"/>
      <c r="Q20" s="310">
        <f>'XM.FILE GOC'!P93</f>
        <v>0.159</v>
      </c>
      <c r="R20" s="1004" t="s">
        <v>8</v>
      </c>
      <c r="S20" s="1005">
        <f>'XM.FILE GOC'!S93</f>
        <v>0</v>
      </c>
      <c r="T20" s="1006" t="s">
        <v>10</v>
      </c>
      <c r="U20" s="946"/>
      <c r="V20" s="940"/>
      <c r="W20" s="968"/>
      <c r="X20" s="941"/>
      <c r="Y20" s="310">
        <f>'XM.FILE GOC'!W93</f>
        <v>0.154</v>
      </c>
      <c r="Z20" s="1004" t="s">
        <v>8</v>
      </c>
      <c r="AA20" s="1005">
        <f>'XM.FILE GOC'!Z93</f>
        <v>0</v>
      </c>
      <c r="AB20" s="1006" t="s">
        <v>10</v>
      </c>
      <c r="AC20" s="946"/>
      <c r="AD20" s="940"/>
      <c r="AE20" s="968"/>
      <c r="AF20" s="941"/>
      <c r="AG20" s="73" t="s">
        <v>45</v>
      </c>
    </row>
    <row r="21" spans="1:38" ht="45.75" customHeight="1">
      <c r="A21" s="1007">
        <v>10</v>
      </c>
      <c r="B21" s="2991" t="s">
        <v>960</v>
      </c>
      <c r="C21" s="2992" t="s">
        <v>960</v>
      </c>
      <c r="D21" s="2992" t="s">
        <v>960</v>
      </c>
      <c r="E21" s="2993" t="s">
        <v>960</v>
      </c>
      <c r="F21" s="660" t="s">
        <v>6</v>
      </c>
      <c r="G21" s="929" t="str">
        <f>'XM.FILE GOC'!$E$94</f>
        <v>(1±0.4)=0.6~1.4</v>
      </c>
      <c r="H21" s="2427" t="str">
        <f>'XM.FILE GOC'!$F$94</f>
        <v>(1±0.4)</v>
      </c>
      <c r="I21" s="2437">
        <f>'XM.FILE GOC'!I94</f>
        <v>1.0500000000000001E-2</v>
      </c>
      <c r="J21" s="1004" t="s">
        <v>8</v>
      </c>
      <c r="K21" s="1008">
        <f>'XM.FILE GOC'!L94</f>
        <v>0</v>
      </c>
      <c r="L21" s="1009" t="s">
        <v>10</v>
      </c>
      <c r="M21" s="946"/>
      <c r="N21" s="942"/>
      <c r="O21" s="1686"/>
      <c r="P21" s="943"/>
      <c r="Q21" s="2390">
        <f>'XM.FILE GOC'!P94</f>
        <v>1.0200000000000001E-2</v>
      </c>
      <c r="R21" s="1004" t="s">
        <v>8</v>
      </c>
      <c r="S21" s="1008">
        <f>'XM.FILE GOC'!S94</f>
        <v>0</v>
      </c>
      <c r="T21" s="1009" t="s">
        <v>10</v>
      </c>
      <c r="U21" s="946"/>
      <c r="V21" s="942"/>
      <c r="W21" s="1686"/>
      <c r="X21" s="943"/>
      <c r="Y21" s="2390">
        <f>'XM.FILE GOC'!W94</f>
        <v>0.01</v>
      </c>
      <c r="Z21" s="1004" t="s">
        <v>8</v>
      </c>
      <c r="AA21" s="1008">
        <f>'XM.FILE GOC'!Z94</f>
        <v>0</v>
      </c>
      <c r="AB21" s="1009" t="s">
        <v>10</v>
      </c>
      <c r="AC21" s="946"/>
      <c r="AD21" s="942"/>
      <c r="AE21" s="1686"/>
      <c r="AF21" s="943"/>
      <c r="AG21" s="73" t="s">
        <v>45</v>
      </c>
    </row>
    <row r="22" spans="1:38" ht="45.75" customHeight="1">
      <c r="A22" s="2387">
        <v>11</v>
      </c>
      <c r="B22" s="2877" t="s">
        <v>75</v>
      </c>
      <c r="C22" s="2878"/>
      <c r="D22" s="2878"/>
      <c r="E22" s="2879"/>
      <c r="F22" s="2" t="s">
        <v>3</v>
      </c>
      <c r="G22" s="929" t="str">
        <f>'XM.GUI MAIL'!$E$95</f>
        <v>5~8</v>
      </c>
      <c r="H22" s="2427" t="str">
        <f>'XM.GUI MAIL'!$F$95</f>
        <v>(6±0.5)</v>
      </c>
      <c r="I22" s="1952">
        <f>'XM.FILE GOC'!I95</f>
        <v>6</v>
      </c>
      <c r="J22" s="1004" t="s">
        <v>8</v>
      </c>
      <c r="K22" s="1005">
        <f>'XM.FILE GOC'!L95</f>
        <v>0</v>
      </c>
      <c r="L22" s="1009" t="s">
        <v>10</v>
      </c>
      <c r="M22" s="2466"/>
      <c r="N22" s="940"/>
      <c r="O22" s="968"/>
      <c r="P22" s="941"/>
      <c r="Q22" s="1952">
        <f>'XM.FILE GOC'!P95</f>
        <v>6.05</v>
      </c>
      <c r="R22" s="1004" t="s">
        <v>8</v>
      </c>
      <c r="S22" s="1005">
        <f>'XM.FILE GOC'!S95</f>
        <v>0</v>
      </c>
      <c r="T22" s="1009" t="s">
        <v>10</v>
      </c>
      <c r="U22" s="2466"/>
      <c r="V22" s="940"/>
      <c r="W22" s="968"/>
      <c r="X22" s="941"/>
      <c r="Y22" s="1952">
        <f>'XM.FILE GOC'!W95</f>
        <v>5.9</v>
      </c>
      <c r="Z22" s="1004" t="s">
        <v>8</v>
      </c>
      <c r="AA22" s="1005">
        <f>'XM.FILE GOC'!Z95</f>
        <v>3.7441684210526183</v>
      </c>
      <c r="AB22" s="1009" t="s">
        <v>10</v>
      </c>
      <c r="AC22" s="2466">
        <v>6</v>
      </c>
      <c r="AD22" s="940"/>
      <c r="AE22" s="968"/>
      <c r="AF22" s="943"/>
      <c r="AG22" s="2386"/>
    </row>
    <row r="23" spans="1:38" ht="45.75" customHeight="1">
      <c r="A23" s="2387">
        <v>12</v>
      </c>
      <c r="B23" s="2880"/>
      <c r="C23" s="2881"/>
      <c r="D23" s="2881"/>
      <c r="E23" s="2882"/>
      <c r="F23" s="2" t="s">
        <v>5</v>
      </c>
      <c r="G23" s="929" t="str">
        <f>'XM.GUI MAIL'!$E$96</f>
        <v>1.8~2.4</v>
      </c>
      <c r="H23" s="2427" t="str">
        <f>'XM.GUI MAIL'!$F$96</f>
        <v>(2.1±0.1)</v>
      </c>
      <c r="I23" s="1869">
        <f>'XM.FILE GOC'!I96</f>
        <v>2.1</v>
      </c>
      <c r="J23" s="1004"/>
      <c r="K23" s="1008"/>
      <c r="L23" s="1009"/>
      <c r="M23" s="947"/>
      <c r="N23" s="979"/>
      <c r="O23" s="1688"/>
      <c r="P23" s="949"/>
      <c r="Q23" s="1869">
        <f>'XM.FILE GOC'!P96</f>
        <v>2.06</v>
      </c>
      <c r="R23" s="1004"/>
      <c r="S23" s="1008"/>
      <c r="T23" s="1009"/>
      <c r="U23" s="947"/>
      <c r="V23" s="979"/>
      <c r="W23" s="1688"/>
      <c r="X23" s="949"/>
      <c r="Y23" s="1869">
        <f>'XM.FILE GOC'!W96</f>
        <v>2.08</v>
      </c>
      <c r="Z23" s="1004"/>
      <c r="AA23" s="1008"/>
      <c r="AB23" s="1009"/>
      <c r="AC23" s="947"/>
      <c r="AD23" s="979"/>
      <c r="AE23" s="1688"/>
      <c r="AF23" s="943"/>
      <c r="AG23" s="2386"/>
    </row>
    <row r="24" spans="1:38" ht="44.25" customHeight="1">
      <c r="A24" s="1007"/>
      <c r="B24" s="2999" t="s">
        <v>2</v>
      </c>
      <c r="C24" s="2999"/>
      <c r="D24" s="2999"/>
      <c r="E24" s="2999"/>
      <c r="F24" s="2999"/>
      <c r="G24" s="2999"/>
      <c r="H24" s="2999"/>
      <c r="I24" s="2999"/>
      <c r="J24" s="2999"/>
      <c r="K24" s="2999"/>
      <c r="L24" s="2999"/>
      <c r="M24" s="2999"/>
      <c r="N24" s="2999"/>
      <c r="O24" s="2999"/>
      <c r="P24" s="2999"/>
      <c r="Q24" s="2999"/>
      <c r="R24" s="2999"/>
      <c r="S24" s="2999"/>
      <c r="T24" s="2999"/>
      <c r="U24" s="2999"/>
      <c r="V24" s="2999"/>
      <c r="W24" s="2999"/>
      <c r="X24" s="2999"/>
      <c r="Y24" s="2999"/>
      <c r="Z24" s="2999"/>
      <c r="AA24" s="2999"/>
      <c r="AB24" s="2999"/>
      <c r="AC24" s="2999"/>
      <c r="AD24" s="2999"/>
      <c r="AE24" s="2999"/>
      <c r="AF24" s="2999"/>
      <c r="AG24" s="2999"/>
    </row>
    <row r="25" spans="1:38" ht="49.5" customHeight="1">
      <c r="A25" s="1007" t="s">
        <v>7</v>
      </c>
      <c r="B25" s="2965" t="s">
        <v>961</v>
      </c>
      <c r="C25" s="2966"/>
      <c r="D25" s="2966"/>
      <c r="E25" s="2967"/>
      <c r="F25" s="1010" t="s">
        <v>962</v>
      </c>
      <c r="G25" s="1010" t="s">
        <v>1325</v>
      </c>
      <c r="H25" s="2429" t="s">
        <v>1317</v>
      </c>
      <c r="I25" s="3000" t="s">
        <v>963</v>
      </c>
      <c r="J25" s="3001"/>
      <c r="K25" s="3002" t="s">
        <v>964</v>
      </c>
      <c r="L25" s="3001"/>
      <c r="M25" s="950"/>
      <c r="N25" s="951"/>
      <c r="O25" s="951"/>
      <c r="P25" s="952"/>
      <c r="Q25" s="3002" t="s">
        <v>963</v>
      </c>
      <c r="R25" s="3001"/>
      <c r="S25" s="3002" t="s">
        <v>964</v>
      </c>
      <c r="T25" s="3001"/>
      <c r="U25" s="950"/>
      <c r="V25" s="951"/>
      <c r="W25" s="951"/>
      <c r="X25" s="952"/>
      <c r="Y25" s="3002" t="s">
        <v>963</v>
      </c>
      <c r="Z25" s="3001"/>
      <c r="AA25" s="3002" t="s">
        <v>964</v>
      </c>
      <c r="AB25" s="3001"/>
      <c r="AC25" s="950"/>
      <c r="AD25" s="951"/>
      <c r="AE25" s="951"/>
      <c r="AF25" s="952"/>
      <c r="AG25" s="10"/>
    </row>
    <row r="26" spans="1:38" ht="45.75" customHeight="1">
      <c r="A26" s="1007">
        <v>1</v>
      </c>
      <c r="B26" s="2965" t="s">
        <v>965</v>
      </c>
      <c r="C26" s="2966"/>
      <c r="D26" s="2966"/>
      <c r="E26" s="2967"/>
      <c r="F26" s="1011" t="s">
        <v>966</v>
      </c>
      <c r="G26" s="929" t="str">
        <f>'XM.FILE GOC'!$E$104</f>
        <v>50~70</v>
      </c>
      <c r="H26" s="2427" t="str">
        <f>'XM.FILE GOC'!$F$104</f>
        <v>(60±5)</v>
      </c>
      <c r="I26" s="2934">
        <f>'XM.GUI MAIL'!I104</f>
        <v>60</v>
      </c>
      <c r="J26" s="2867"/>
      <c r="K26" s="2867">
        <f>'XM.FILE GOC'!L104</f>
        <v>60</v>
      </c>
      <c r="L26" s="2867"/>
      <c r="M26" s="953"/>
      <c r="N26" s="954"/>
      <c r="O26" s="954"/>
      <c r="P26" s="955"/>
      <c r="Q26" s="2867">
        <f>'XM.GUI MAIL'!P104</f>
        <v>60</v>
      </c>
      <c r="R26" s="2867"/>
      <c r="S26" s="2867">
        <f>'XM.FILE GOC'!S104</f>
        <v>60</v>
      </c>
      <c r="T26" s="2867"/>
      <c r="U26" s="953"/>
      <c r="V26" s="954"/>
      <c r="W26" s="954"/>
      <c r="X26" s="955"/>
      <c r="Y26" s="2867">
        <f>'XM.GUI MAIL'!W104</f>
        <v>60</v>
      </c>
      <c r="Z26" s="2867"/>
      <c r="AA26" s="2867">
        <f>'XM.FILE GOC'!Z104</f>
        <v>60</v>
      </c>
      <c r="AB26" s="2867"/>
      <c r="AC26" s="953"/>
      <c r="AD26" s="954"/>
      <c r="AE26" s="954"/>
      <c r="AF26" s="955"/>
      <c r="AG26" s="79"/>
    </row>
    <row r="27" spans="1:38" ht="45.75" customHeight="1">
      <c r="A27" s="1007">
        <v>2</v>
      </c>
      <c r="B27" s="2965" t="s">
        <v>967</v>
      </c>
      <c r="C27" s="2966"/>
      <c r="D27" s="2966"/>
      <c r="E27" s="2967"/>
      <c r="F27" s="1011" t="s">
        <v>966</v>
      </c>
      <c r="G27" s="929" t="str">
        <f>'XM.FILE GOC'!$E$105</f>
        <v>50~70</v>
      </c>
      <c r="H27" s="2427" t="str">
        <f>'XM.FILE GOC'!$F$105</f>
        <v>(60±5)</v>
      </c>
      <c r="I27" s="2934">
        <f>'XM.GUI MAIL'!I105</f>
        <v>61</v>
      </c>
      <c r="J27" s="2867"/>
      <c r="K27" s="2867">
        <f>'XM.FILE GOC'!L105</f>
        <v>61</v>
      </c>
      <c r="L27" s="2867"/>
      <c r="M27" s="953"/>
      <c r="N27" s="954"/>
      <c r="O27" s="954"/>
      <c r="P27" s="955"/>
      <c r="Q27" s="2867">
        <f>'XM.GUI MAIL'!P105</f>
        <v>60</v>
      </c>
      <c r="R27" s="2867"/>
      <c r="S27" s="2867">
        <f>'XM.FILE GOC'!S105</f>
        <v>60</v>
      </c>
      <c r="T27" s="2867"/>
      <c r="U27" s="953"/>
      <c r="V27" s="954"/>
      <c r="W27" s="954"/>
      <c r="X27" s="955"/>
      <c r="Y27" s="2867">
        <f>'XM.GUI MAIL'!W105</f>
        <v>61</v>
      </c>
      <c r="Z27" s="2867"/>
      <c r="AA27" s="2867">
        <f>'XM.FILE GOC'!Z105</f>
        <v>60</v>
      </c>
      <c r="AB27" s="2867"/>
      <c r="AC27" s="953"/>
      <c r="AD27" s="954"/>
      <c r="AE27" s="954"/>
      <c r="AF27" s="955"/>
      <c r="AG27" s="79"/>
    </row>
    <row r="28" spans="1:38" ht="45.75" customHeight="1">
      <c r="A28" s="1434">
        <v>3</v>
      </c>
      <c r="B28" s="2965" t="s">
        <v>968</v>
      </c>
      <c r="C28" s="2966"/>
      <c r="D28" s="2966"/>
      <c r="E28" s="2967"/>
      <c r="F28" s="1011" t="s">
        <v>966</v>
      </c>
      <c r="G28" s="929" t="str">
        <f>'XM.FILE GOC'!$E$106</f>
        <v>50~70</v>
      </c>
      <c r="H28" s="2427" t="str">
        <f>'XM.FILE GOC'!$F$106</f>
        <v>(60±5)</v>
      </c>
      <c r="I28" s="2934">
        <f>'XM.GUI MAIL'!I106</f>
        <v>61</v>
      </c>
      <c r="J28" s="2867"/>
      <c r="K28" s="2867">
        <f>'XM.FILE GOC'!L106</f>
        <v>60</v>
      </c>
      <c r="L28" s="2867"/>
      <c r="M28" s="953"/>
      <c r="N28" s="954"/>
      <c r="O28" s="954"/>
      <c r="P28" s="955"/>
      <c r="Q28" s="2867">
        <f>'XM.GUI MAIL'!P106</f>
        <v>60</v>
      </c>
      <c r="R28" s="2867"/>
      <c r="S28" s="2867">
        <f>'XM.FILE GOC'!S106</f>
        <v>60</v>
      </c>
      <c r="T28" s="2867"/>
      <c r="U28" s="953"/>
      <c r="V28" s="954"/>
      <c r="W28" s="954"/>
      <c r="X28" s="955"/>
      <c r="Y28" s="2867">
        <f>'XM.GUI MAIL'!W106</f>
        <v>59</v>
      </c>
      <c r="Z28" s="2867"/>
      <c r="AA28" s="2867">
        <f>'XM.FILE GOC'!Z106</f>
        <v>58</v>
      </c>
      <c r="AB28" s="2867"/>
      <c r="AC28" s="953"/>
      <c r="AD28" s="954"/>
      <c r="AE28" s="954"/>
      <c r="AF28" s="955"/>
      <c r="AG28" s="79"/>
    </row>
    <row r="29" spans="1:38" ht="45.75" customHeight="1">
      <c r="A29" s="1434">
        <v>4</v>
      </c>
      <c r="B29" s="2965" t="s">
        <v>969</v>
      </c>
      <c r="C29" s="2966"/>
      <c r="D29" s="2966"/>
      <c r="E29" s="2967"/>
      <c r="F29" s="1011" t="s">
        <v>966</v>
      </c>
      <c r="G29" s="929" t="str">
        <f>'XM.FILE GOC'!$E$107</f>
        <v>50~70</v>
      </c>
      <c r="H29" s="2427" t="str">
        <f>'XM.FILE GOC'!$F$107</f>
        <v>(60±5)</v>
      </c>
      <c r="I29" s="2934">
        <f>'XM.GUI MAIL'!I107</f>
        <v>62</v>
      </c>
      <c r="J29" s="2867"/>
      <c r="K29" s="2867">
        <f>'XM.FILE GOC'!L107</f>
        <v>63</v>
      </c>
      <c r="L29" s="2867"/>
      <c r="M29" s="953"/>
      <c r="N29" s="954"/>
      <c r="O29" s="954"/>
      <c r="P29" s="955"/>
      <c r="Q29" s="2867">
        <f>'XM.GUI MAIL'!P107</f>
        <v>63</v>
      </c>
      <c r="R29" s="2867"/>
      <c r="S29" s="2867">
        <f>'XM.FILE GOC'!S107</f>
        <v>64</v>
      </c>
      <c r="T29" s="2867"/>
      <c r="U29" s="953"/>
      <c r="V29" s="954"/>
      <c r="W29" s="954"/>
      <c r="X29" s="955"/>
      <c r="Y29" s="2867">
        <f>'XM.GUI MAIL'!W107</f>
        <v>63</v>
      </c>
      <c r="Z29" s="2867"/>
      <c r="AA29" s="2867">
        <f>'XM.FILE GOC'!Z107</f>
        <v>63</v>
      </c>
      <c r="AB29" s="2867"/>
      <c r="AC29" s="953"/>
      <c r="AD29" s="954"/>
      <c r="AE29" s="954"/>
      <c r="AF29" s="955"/>
      <c r="AG29" s="79"/>
    </row>
    <row r="30" spans="1:38" ht="45.75" customHeight="1">
      <c r="A30" s="1439">
        <v>5</v>
      </c>
      <c r="B30" s="2965" t="s">
        <v>970</v>
      </c>
      <c r="C30" s="2966"/>
      <c r="D30" s="2966"/>
      <c r="E30" s="2967"/>
      <c r="F30" s="1011" t="s">
        <v>966</v>
      </c>
      <c r="G30" s="929" t="str">
        <f>'XM.FILE GOC'!$E$108</f>
        <v>22~28</v>
      </c>
      <c r="H30" s="2427" t="str">
        <f>'XM.FILE GOC'!$F$108</f>
        <v>(25±3)</v>
      </c>
      <c r="I30" s="2968">
        <f>'XM.GUI MAIL'!I108</f>
        <v>25</v>
      </c>
      <c r="J30" s="2969"/>
      <c r="K30" s="2969">
        <f>'XM.FILE GOC'!L108</f>
        <v>25</v>
      </c>
      <c r="L30" s="2969"/>
      <c r="M30" s="953"/>
      <c r="N30" s="954"/>
      <c r="O30" s="954"/>
      <c r="P30" s="955"/>
      <c r="Q30" s="2969">
        <f>'XM.GUI MAIL'!P108</f>
        <v>26</v>
      </c>
      <c r="R30" s="2969"/>
      <c r="S30" s="2969">
        <f>'XM.FILE GOC'!S108</f>
        <v>25</v>
      </c>
      <c r="T30" s="2969"/>
      <c r="U30" s="953"/>
      <c r="V30" s="954"/>
      <c r="W30" s="954"/>
      <c r="X30" s="955"/>
      <c r="Y30" s="2969">
        <f>'XM.GUI MAIL'!W108</f>
        <v>25</v>
      </c>
      <c r="Z30" s="2969"/>
      <c r="AA30" s="2969">
        <f>'XM.FILE GOC'!Z108</f>
        <v>24</v>
      </c>
      <c r="AB30" s="2969"/>
      <c r="AC30" s="953"/>
      <c r="AD30" s="954"/>
      <c r="AE30" s="954"/>
      <c r="AF30" s="955"/>
      <c r="AG30" s="79"/>
    </row>
    <row r="31" spans="1:38" ht="45.75" customHeight="1">
      <c r="A31" s="1439">
        <v>6</v>
      </c>
      <c r="B31" s="2965" t="s">
        <v>971</v>
      </c>
      <c r="C31" s="2966"/>
      <c r="D31" s="2966"/>
      <c r="E31" s="2967"/>
      <c r="F31" s="1011" t="s">
        <v>966</v>
      </c>
      <c r="G31" s="929" t="str">
        <f>'XM.FILE GOC'!$E$109</f>
        <v>30~40</v>
      </c>
      <c r="H31" s="2427" t="str">
        <f>'XM.FILE GOC'!$F$109</f>
        <v>(34±3)</v>
      </c>
      <c r="I31" s="2934">
        <f>'XM.GUI MAIL'!I109</f>
        <v>34</v>
      </c>
      <c r="J31" s="2867"/>
      <c r="K31" s="2867">
        <f>'XM.FILE GOC'!L109</f>
        <v>33</v>
      </c>
      <c r="L31" s="2867"/>
      <c r="M31" s="953"/>
      <c r="N31" s="954"/>
      <c r="O31" s="954"/>
      <c r="P31" s="955"/>
      <c r="Q31" s="2867">
        <f>'XM.GUI MAIL'!P109</f>
        <v>34</v>
      </c>
      <c r="R31" s="2867"/>
      <c r="S31" s="2867">
        <f>'XM.FILE GOC'!S109</f>
        <v>33</v>
      </c>
      <c r="T31" s="2867"/>
      <c r="U31" s="953"/>
      <c r="V31" s="954"/>
      <c r="W31" s="954"/>
      <c r="X31" s="955"/>
      <c r="Y31" s="2867">
        <f>'XM.GUI MAIL'!W109</f>
        <v>34</v>
      </c>
      <c r="Z31" s="2867"/>
      <c r="AA31" s="2867">
        <f>'XM.FILE GOC'!Z109</f>
        <v>33</v>
      </c>
      <c r="AB31" s="2867"/>
      <c r="AC31" s="953"/>
      <c r="AD31" s="954"/>
      <c r="AE31" s="954"/>
      <c r="AF31" s="955"/>
      <c r="AG31" s="79"/>
      <c r="AH31" s="1667"/>
      <c r="AI31" s="1666" t="s">
        <v>1452</v>
      </c>
      <c r="AJ31" s="977"/>
      <c r="AK31" s="977"/>
      <c r="AL31" s="977"/>
    </row>
    <row r="32" spans="1:38" ht="45.75" customHeight="1">
      <c r="A32" s="1439">
        <v>7</v>
      </c>
      <c r="B32" s="2965" t="s">
        <v>972</v>
      </c>
      <c r="C32" s="2966"/>
      <c r="D32" s="2966"/>
      <c r="E32" s="2967"/>
      <c r="F32" s="1011" t="s">
        <v>966</v>
      </c>
      <c r="G32" s="929" t="str">
        <f>'XM.FILE GOC'!$E$110</f>
        <v>55~65</v>
      </c>
      <c r="H32" s="2427" t="str">
        <f>'XM.FILE GOC'!$F$110</f>
        <v>(60±5)</v>
      </c>
      <c r="I32" s="2934">
        <v>57</v>
      </c>
      <c r="J32" s="2867"/>
      <c r="K32" s="2867">
        <v>58</v>
      </c>
      <c r="L32" s="2867"/>
      <c r="M32" s="953"/>
      <c r="N32" s="954"/>
      <c r="O32" s="954"/>
      <c r="P32" s="955"/>
      <c r="Q32" s="2867">
        <f>'XM.GUI MAIL'!P110</f>
        <v>62</v>
      </c>
      <c r="R32" s="2867"/>
      <c r="S32" s="2867">
        <f>'XM.FILE GOC'!S110</f>
        <v>61</v>
      </c>
      <c r="T32" s="2867"/>
      <c r="U32" s="953"/>
      <c r="V32" s="954"/>
      <c r="W32" s="954"/>
      <c r="X32" s="955"/>
      <c r="Y32" s="2867">
        <f>'XM.GUI MAIL'!W110</f>
        <v>58</v>
      </c>
      <c r="Z32" s="2867"/>
      <c r="AA32" s="2867">
        <f>'XM.FILE GOC'!Z110</f>
        <v>57</v>
      </c>
      <c r="AB32" s="2867"/>
      <c r="AC32" s="953"/>
      <c r="AD32" s="954"/>
      <c r="AE32" s="954"/>
      <c r="AF32" s="955"/>
      <c r="AG32" s="79"/>
    </row>
    <row r="33" spans="1:33" ht="45.75" customHeight="1">
      <c r="A33" s="1439">
        <v>8</v>
      </c>
      <c r="B33" s="2965" t="s">
        <v>973</v>
      </c>
      <c r="C33" s="2966"/>
      <c r="D33" s="2966"/>
      <c r="E33" s="2967"/>
      <c r="F33" s="1011" t="s">
        <v>966</v>
      </c>
      <c r="G33" s="929" t="str">
        <f>'XM.FILE GOC'!$E$111</f>
        <v>80~100</v>
      </c>
      <c r="H33" s="2427" t="str">
        <f>'XM.FILE GOC'!$F$111</f>
        <v>(90±5)</v>
      </c>
      <c r="I33" s="3001" t="s">
        <v>48</v>
      </c>
      <c r="J33" s="3008"/>
      <c r="K33" s="2867">
        <f>'XM.FILE GOC'!L111</f>
        <v>94</v>
      </c>
      <c r="L33" s="2867"/>
      <c r="M33" s="953"/>
      <c r="N33" s="954"/>
      <c r="O33" s="954"/>
      <c r="P33" s="955"/>
      <c r="Q33" s="3008" t="s">
        <v>48</v>
      </c>
      <c r="R33" s="3008"/>
      <c r="S33" s="2867">
        <f>'XM.FILE GOC'!S111</f>
        <v>92</v>
      </c>
      <c r="T33" s="2867"/>
      <c r="U33" s="953"/>
      <c r="V33" s="954"/>
      <c r="W33" s="954"/>
      <c r="X33" s="955"/>
      <c r="Y33" s="3008" t="s">
        <v>48</v>
      </c>
      <c r="Z33" s="3008"/>
      <c r="AA33" s="2867">
        <f>'XM.FILE GOC'!Z111</f>
        <v>94</v>
      </c>
      <c r="AB33" s="2867"/>
      <c r="AC33" s="953"/>
      <c r="AD33" s="954"/>
      <c r="AE33" s="954"/>
      <c r="AF33" s="955"/>
      <c r="AG33" s="79"/>
    </row>
    <row r="34" spans="1:33" ht="45.75" customHeight="1">
      <c r="A34" s="1439">
        <v>9</v>
      </c>
      <c r="B34" s="3005" t="s">
        <v>1302</v>
      </c>
      <c r="C34" s="3006"/>
      <c r="D34" s="3006"/>
      <c r="E34" s="3007"/>
      <c r="F34" s="1011" t="s">
        <v>966</v>
      </c>
      <c r="G34" s="929" t="str">
        <f>'XM.FILE GOC'!$E$112</f>
        <v>40~60</v>
      </c>
      <c r="H34" s="2427" t="str">
        <f>'XM.FILE GOC'!$F$112</f>
        <v>(50±10)</v>
      </c>
      <c r="I34" s="3003">
        <f>'XM.FILE GOC'!I112</f>
        <v>52</v>
      </c>
      <c r="J34" s="3004"/>
      <c r="K34" s="3004">
        <f>'XM.FILE GOC'!L112</f>
        <v>51</v>
      </c>
      <c r="L34" s="3004"/>
      <c r="M34" s="953"/>
      <c r="N34" s="954"/>
      <c r="O34" s="954"/>
      <c r="P34" s="955"/>
      <c r="Q34" s="3004">
        <f>'XM.FILE GOC'!P112</f>
        <v>52</v>
      </c>
      <c r="R34" s="3004"/>
      <c r="S34" s="3004">
        <f>'XM.FILE GOC'!S112</f>
        <v>51</v>
      </c>
      <c r="T34" s="3004"/>
      <c r="U34" s="953"/>
      <c r="V34" s="954"/>
      <c r="W34" s="954"/>
      <c r="X34" s="955"/>
      <c r="Y34" s="3004">
        <f>'XM.FILE GOC'!W112</f>
        <v>52</v>
      </c>
      <c r="Z34" s="3004"/>
      <c r="AA34" s="3004">
        <f>'XM.FILE GOC'!Z112</f>
        <v>52</v>
      </c>
      <c r="AB34" s="3004"/>
      <c r="AC34" s="953"/>
      <c r="AD34" s="954"/>
      <c r="AE34" s="954"/>
      <c r="AF34" s="955"/>
      <c r="AG34" s="1440"/>
    </row>
    <row r="35" spans="1:33" ht="45.75" customHeight="1">
      <c r="A35" s="1439">
        <v>10</v>
      </c>
      <c r="B35" s="3005" t="s">
        <v>1305</v>
      </c>
      <c r="C35" s="3006"/>
      <c r="D35" s="3006"/>
      <c r="E35" s="3007"/>
      <c r="F35" s="1011" t="s">
        <v>966</v>
      </c>
      <c r="G35" s="929" t="str">
        <f>'XM.FILE GOC'!$E$113</f>
        <v>50~70</v>
      </c>
      <c r="H35" s="2427" t="str">
        <f>'XM.FILE GOC'!$F$113</f>
        <v>(60±10)</v>
      </c>
      <c r="I35" s="3003">
        <f>'XM.FILE GOC'!I113</f>
        <v>54</v>
      </c>
      <c r="J35" s="3004"/>
      <c r="K35" s="3004">
        <f>'XM.FILE GOC'!L113</f>
        <v>53</v>
      </c>
      <c r="L35" s="3004"/>
      <c r="M35" s="953"/>
      <c r="N35" s="954"/>
      <c r="O35" s="954"/>
      <c r="P35" s="955"/>
      <c r="Q35" s="3004">
        <f>'XM.FILE GOC'!P113</f>
        <v>57</v>
      </c>
      <c r="R35" s="3004"/>
      <c r="S35" s="3004">
        <f>'XM.FILE GOC'!S113</f>
        <v>58</v>
      </c>
      <c r="T35" s="3004"/>
      <c r="U35" s="953"/>
      <c r="V35" s="954"/>
      <c r="W35" s="954"/>
      <c r="X35" s="955"/>
      <c r="Y35" s="3004">
        <f>'XM.FILE GOC'!W113</f>
        <v>60</v>
      </c>
      <c r="Z35" s="3004"/>
      <c r="AA35" s="3004">
        <f>'XM.FILE GOC'!Z113</f>
        <v>61</v>
      </c>
      <c r="AB35" s="3004"/>
      <c r="AC35" s="953"/>
      <c r="AD35" s="954"/>
      <c r="AE35" s="954"/>
      <c r="AF35" s="955"/>
      <c r="AG35" s="1440"/>
    </row>
    <row r="36" spans="1:33" ht="45.75" hidden="1" customHeight="1">
      <c r="A36" s="2399"/>
      <c r="B36" s="3013" t="s">
        <v>992</v>
      </c>
      <c r="C36" s="3014"/>
      <c r="D36" s="3014"/>
      <c r="E36" s="3015"/>
      <c r="F36" s="11" t="s">
        <v>26</v>
      </c>
      <c r="G36" s="1045" t="str">
        <f>'XM.GUI MAIL'!$E$114</f>
        <v>20~30</v>
      </c>
      <c r="H36" s="2431" t="str">
        <f>'XM.GUI MAIL'!$F$114</f>
        <v>20~30</v>
      </c>
      <c r="I36" s="3019">
        <f>'XM.FILE GOC'!I114</f>
        <v>0</v>
      </c>
      <c r="J36" s="2821"/>
      <c r="K36" s="2823">
        <f>'XM.FILE GOC'!L114</f>
        <v>0</v>
      </c>
      <c r="L36" s="2821"/>
      <c r="M36" s="2401"/>
      <c r="N36" s="957"/>
      <c r="O36" s="957"/>
      <c r="P36" s="958"/>
      <c r="Q36" s="2823">
        <f>'XM.FILE GOC'!P114</f>
        <v>0</v>
      </c>
      <c r="R36" s="2821"/>
      <c r="S36" s="2823">
        <f>'XM.FILE GOC'!S114</f>
        <v>0</v>
      </c>
      <c r="T36" s="2821"/>
      <c r="U36" s="2401"/>
      <c r="V36" s="957"/>
      <c r="W36" s="957"/>
      <c r="X36" s="958"/>
      <c r="Y36" s="2823">
        <f>'XM.FILE GOC'!W114</f>
        <v>0</v>
      </c>
      <c r="Z36" s="2821"/>
      <c r="AA36" s="2823">
        <f>'XM.FILE GOC'!Z114</f>
        <v>0</v>
      </c>
      <c r="AB36" s="2821"/>
      <c r="AC36" s="953"/>
      <c r="AD36" s="954"/>
      <c r="AE36" s="954"/>
      <c r="AF36" s="955"/>
      <c r="AG36" s="2400"/>
    </row>
    <row r="37" spans="1:33" ht="45.75" customHeight="1">
      <c r="A37" s="1007"/>
      <c r="B37" s="2999" t="s">
        <v>1326</v>
      </c>
      <c r="C37" s="2999"/>
      <c r="D37" s="2999"/>
      <c r="E37" s="2999"/>
      <c r="F37" s="2999"/>
      <c r="G37" s="2999"/>
      <c r="H37" s="2999"/>
      <c r="I37" s="2999"/>
      <c r="J37" s="2999"/>
      <c r="K37" s="2999"/>
      <c r="L37" s="2999"/>
      <c r="M37" s="2999"/>
      <c r="N37" s="2999"/>
      <c r="O37" s="2999"/>
      <c r="P37" s="2999"/>
      <c r="Q37" s="2999"/>
      <c r="R37" s="2999"/>
      <c r="S37" s="2999"/>
      <c r="T37" s="2999"/>
      <c r="U37" s="2999"/>
      <c r="V37" s="2999"/>
      <c r="W37" s="2999"/>
      <c r="X37" s="2999"/>
      <c r="Y37" s="2999"/>
      <c r="Z37" s="2999"/>
      <c r="AA37" s="2999"/>
      <c r="AB37" s="2999"/>
      <c r="AC37" s="2999"/>
      <c r="AD37" s="2999"/>
      <c r="AE37" s="2999"/>
      <c r="AF37" s="2999"/>
      <c r="AG37" s="2999"/>
    </row>
    <row r="38" spans="1:33" ht="49.5" customHeight="1">
      <c r="A38" s="1007" t="s">
        <v>7</v>
      </c>
      <c r="B38" s="2965" t="s">
        <v>974</v>
      </c>
      <c r="C38" s="2966"/>
      <c r="D38" s="2966"/>
      <c r="E38" s="2967"/>
      <c r="F38" s="1010" t="s">
        <v>738</v>
      </c>
      <c r="G38" s="1010" t="s">
        <v>1325</v>
      </c>
      <c r="H38" s="2429" t="s">
        <v>1317</v>
      </c>
      <c r="I38" s="3000" t="s">
        <v>975</v>
      </c>
      <c r="J38" s="3000"/>
      <c r="K38" s="3000"/>
      <c r="L38" s="3001"/>
      <c r="M38" s="1355"/>
      <c r="N38" s="1356"/>
      <c r="O38" s="1356"/>
      <c r="P38" s="1357"/>
      <c r="Q38" s="3002" t="s">
        <v>975</v>
      </c>
      <c r="R38" s="3000"/>
      <c r="S38" s="3000"/>
      <c r="T38" s="3001"/>
      <c r="U38" s="1355"/>
      <c r="V38" s="1356"/>
      <c r="W38" s="1356"/>
      <c r="X38" s="1357"/>
      <c r="Y38" s="3002" t="s">
        <v>975</v>
      </c>
      <c r="Z38" s="3000"/>
      <c r="AA38" s="3000"/>
      <c r="AB38" s="3001"/>
      <c r="AC38" s="950"/>
      <c r="AD38" s="951"/>
      <c r="AE38" s="951"/>
      <c r="AF38" s="952"/>
      <c r="AG38" s="10"/>
    </row>
    <row r="39" spans="1:33" ht="49.5" customHeight="1">
      <c r="A39" s="1007">
        <v>1</v>
      </c>
      <c r="B39" s="2991" t="s">
        <v>1126</v>
      </c>
      <c r="C39" s="2992"/>
      <c r="D39" s="2992"/>
      <c r="E39" s="2993"/>
      <c r="F39" s="660" t="s">
        <v>49</v>
      </c>
      <c r="G39" s="929" t="str">
        <f>'XM.FILE GOC'!$E$119</f>
        <v>30~50 
(40)</v>
      </c>
      <c r="H39" s="2427" t="str">
        <f>'XM.FILE GOC'!$F$119</f>
        <v>30~50 
(40)</v>
      </c>
      <c r="I39" s="2832">
        <v>48</v>
      </c>
      <c r="J39" s="2832"/>
      <c r="K39" s="2832"/>
      <c r="L39" s="2832"/>
      <c r="M39" s="1361"/>
      <c r="N39" s="1362"/>
      <c r="O39" s="1362"/>
      <c r="P39" s="1363"/>
      <c r="Q39" s="2831">
        <v>45</v>
      </c>
      <c r="R39" s="2832"/>
      <c r="S39" s="2832"/>
      <c r="T39" s="2832"/>
      <c r="U39" s="1361"/>
      <c r="V39" s="1362"/>
      <c r="W39" s="1362"/>
      <c r="X39" s="1363"/>
      <c r="Y39" s="2831">
        <v>47</v>
      </c>
      <c r="Z39" s="2832"/>
      <c r="AA39" s="2832"/>
      <c r="AB39" s="2833"/>
      <c r="AC39" s="959"/>
      <c r="AD39" s="936"/>
      <c r="AE39" s="936"/>
      <c r="AF39" s="960"/>
      <c r="AG39" s="79"/>
    </row>
    <row r="40" spans="1:33" ht="49.5" customHeight="1">
      <c r="A40" s="1007">
        <v>2</v>
      </c>
      <c r="B40" s="2991" t="s">
        <v>227</v>
      </c>
      <c r="C40" s="2992"/>
      <c r="D40" s="2992"/>
      <c r="E40" s="2993"/>
      <c r="F40" s="660" t="s">
        <v>49</v>
      </c>
      <c r="G40" s="929" t="str">
        <f>'XM.FILE GOC'!$E$120</f>
        <v>160~220
(180)</v>
      </c>
      <c r="H40" s="2427" t="str">
        <f>'XM.FILE GOC'!$F$120</f>
        <v>160~220
(180)</v>
      </c>
      <c r="I40" s="2832">
        <f>'XM.GUI MAIL'!I120</f>
        <v>175</v>
      </c>
      <c r="J40" s="2832"/>
      <c r="K40" s="2832"/>
      <c r="L40" s="2832"/>
      <c r="M40" s="1358"/>
      <c r="N40" s="1359"/>
      <c r="O40" s="1359"/>
      <c r="P40" s="1360"/>
      <c r="Q40" s="2831">
        <f>'XM.GUI MAIL'!P120</f>
        <v>178</v>
      </c>
      <c r="R40" s="2832"/>
      <c r="S40" s="2832"/>
      <c r="T40" s="2832"/>
      <c r="U40" s="1358"/>
      <c r="V40" s="1359"/>
      <c r="W40" s="1359"/>
      <c r="X40" s="1360"/>
      <c r="Y40" s="2831">
        <f>'XM.GUI MAIL'!W120</f>
        <v>180</v>
      </c>
      <c r="Z40" s="2832"/>
      <c r="AA40" s="2832"/>
      <c r="AB40" s="2833"/>
      <c r="AC40" s="961"/>
      <c r="AD40" s="962"/>
      <c r="AE40" s="962"/>
      <c r="AF40" s="963"/>
      <c r="AG40" s="79"/>
    </row>
    <row r="41" spans="1:33" ht="33" customHeight="1">
      <c r="A41" s="1012"/>
      <c r="B41" s="2467"/>
      <c r="C41" s="2467"/>
      <c r="D41" s="2467"/>
      <c r="E41" s="2467"/>
      <c r="F41" s="1013"/>
      <c r="G41" s="1013"/>
      <c r="H41" s="1013"/>
      <c r="I41" s="1013"/>
      <c r="J41" s="1013"/>
      <c r="K41" s="1013"/>
      <c r="L41" s="1013"/>
      <c r="M41" s="1013"/>
      <c r="N41" s="1013"/>
      <c r="O41" s="1013"/>
      <c r="P41" s="1013"/>
      <c r="Q41" s="1013"/>
      <c r="R41" s="1013"/>
      <c r="S41" s="1013"/>
      <c r="T41" s="1013"/>
      <c r="U41" s="1013"/>
      <c r="V41" s="1013"/>
      <c r="W41" s="1013"/>
      <c r="X41" s="1013"/>
      <c r="Y41" s="1013"/>
      <c r="Z41" s="1013"/>
      <c r="AA41" s="1013"/>
      <c r="AB41" s="2468"/>
      <c r="AC41" s="936"/>
      <c r="AD41" s="936"/>
      <c r="AE41" s="936"/>
      <c r="AF41" s="936"/>
      <c r="AG41" s="65"/>
    </row>
    <row r="42" spans="1:33" ht="42" customHeight="1">
      <c r="A42" s="2970" t="s">
        <v>136</v>
      </c>
      <c r="B42" s="2970"/>
      <c r="C42" s="2970"/>
      <c r="D42" s="2970"/>
      <c r="E42" s="2970"/>
      <c r="F42" s="2970"/>
      <c r="G42" s="2970"/>
      <c r="H42" s="2970"/>
      <c r="I42" s="2970"/>
      <c r="J42" s="2970"/>
      <c r="K42" s="2970"/>
      <c r="L42" s="2970"/>
      <c r="M42" s="2970"/>
      <c r="N42" s="2970"/>
      <c r="O42" s="2970"/>
      <c r="P42" s="2970"/>
      <c r="Q42" s="2970"/>
      <c r="R42" s="2970"/>
      <c r="S42" s="2970"/>
      <c r="T42" s="2970"/>
      <c r="U42" s="2970"/>
      <c r="V42" s="2970"/>
      <c r="W42" s="2970"/>
      <c r="X42" s="2970"/>
      <c r="Y42" s="2970"/>
      <c r="Z42" s="2970"/>
      <c r="AA42" s="1017"/>
      <c r="AB42" s="1017"/>
      <c r="AC42" s="978"/>
      <c r="AD42" s="978"/>
      <c r="AE42" s="978"/>
      <c r="AF42" s="978"/>
      <c r="AG42" s="64"/>
    </row>
    <row r="43" spans="1:33" ht="51" customHeight="1">
      <c r="A43" s="2971" t="s">
        <v>137</v>
      </c>
      <c r="B43" s="2971"/>
      <c r="C43" s="2971"/>
      <c r="D43" s="2971"/>
      <c r="E43" s="2971"/>
      <c r="F43" s="2971"/>
      <c r="G43" s="2971"/>
      <c r="H43" s="2971"/>
      <c r="I43" s="2971"/>
      <c r="J43" s="2971"/>
      <c r="K43" s="2971"/>
      <c r="L43" s="2971"/>
      <c r="M43" s="2971"/>
      <c r="N43" s="2971"/>
      <c r="O43" s="2971"/>
      <c r="P43" s="2971"/>
      <c r="Q43" s="2971"/>
      <c r="R43" s="2971"/>
      <c r="S43" s="2971"/>
      <c r="T43" s="2971"/>
      <c r="U43" s="2971"/>
      <c r="V43" s="2971"/>
      <c r="W43" s="2971"/>
      <c r="X43" s="2971"/>
      <c r="Y43" s="2971"/>
      <c r="Z43" s="2971"/>
      <c r="AA43" s="2948"/>
      <c r="AB43" s="2948"/>
      <c r="AC43" s="972"/>
      <c r="AD43" s="2861" t="s">
        <v>89</v>
      </c>
      <c r="AE43" s="2861"/>
      <c r="AF43" s="2863" t="s">
        <v>90</v>
      </c>
      <c r="AG43" s="2864"/>
    </row>
    <row r="44" spans="1:33" ht="40.5" customHeight="1">
      <c r="A44" s="1001"/>
      <c r="B44" s="1496" t="s">
        <v>128</v>
      </c>
      <c r="C44" s="1497"/>
      <c r="D44" s="1464"/>
      <c r="E44" s="1465"/>
      <c r="F44" s="1466"/>
      <c r="G44" s="1462"/>
      <c r="H44" s="1930" t="str">
        <f>MENU!$AC$9</f>
        <v>Thứ 3,</v>
      </c>
      <c r="I44" s="2901" t="str">
        <f>MENU!$AD$9</f>
        <v>2024/01/09</v>
      </c>
      <c r="J44" s="2902"/>
      <c r="K44" s="2902"/>
      <c r="L44" s="2902"/>
      <c r="M44" s="975"/>
      <c r="N44" s="975"/>
      <c r="O44" s="975"/>
      <c r="P44" s="975"/>
      <c r="Q44" s="1003"/>
      <c r="R44" s="1003"/>
      <c r="S44" s="1003"/>
      <c r="T44" s="1003"/>
      <c r="U44" s="975"/>
      <c r="V44" s="975"/>
      <c r="W44" s="975"/>
      <c r="X44" s="975"/>
      <c r="Y44" s="1003"/>
      <c r="Z44" s="1003"/>
      <c r="AA44" s="2949"/>
      <c r="AB44" s="2949"/>
      <c r="AC44" s="973"/>
      <c r="AD44" s="2862" t="str">
        <f>MENU!AE7</f>
        <v>L.Yen</v>
      </c>
      <c r="AE44" s="2862"/>
      <c r="AF44" s="2938" t="s">
        <v>11</v>
      </c>
      <c r="AG44" s="2855"/>
    </row>
    <row r="45" spans="1:33" s="65" customFormat="1" ht="36.75" customHeight="1">
      <c r="A45" s="2972" t="s">
        <v>7</v>
      </c>
      <c r="B45" s="2885" t="s">
        <v>77</v>
      </c>
      <c r="C45" s="2886"/>
      <c r="D45" s="2886"/>
      <c r="E45" s="2887"/>
      <c r="F45" s="2883" t="s">
        <v>125</v>
      </c>
      <c r="G45" s="2922" t="s">
        <v>1325</v>
      </c>
      <c r="H45" s="2920" t="s">
        <v>1317</v>
      </c>
      <c r="I45" s="2906">
        <v>0.80208333333333337</v>
      </c>
      <c r="J45" s="2907"/>
      <c r="K45" s="2907"/>
      <c r="L45" s="2908"/>
      <c r="M45" s="2856" t="s">
        <v>945</v>
      </c>
      <c r="N45" s="2857"/>
      <c r="O45" s="2857"/>
      <c r="P45" s="2858"/>
      <c r="Q45" s="2906">
        <v>0.96875</v>
      </c>
      <c r="R45" s="2907"/>
      <c r="S45" s="2907"/>
      <c r="T45" s="2908"/>
      <c r="U45" s="2856" t="s">
        <v>945</v>
      </c>
      <c r="V45" s="2857"/>
      <c r="W45" s="2857"/>
      <c r="X45" s="2858"/>
      <c r="Y45" s="2951">
        <v>0.13541666666666666</v>
      </c>
      <c r="Z45" s="2883"/>
      <c r="AA45" s="2883"/>
      <c r="AB45" s="2883"/>
      <c r="AC45" s="2856" t="s">
        <v>945</v>
      </c>
      <c r="AD45" s="2857"/>
      <c r="AE45" s="2857"/>
      <c r="AF45" s="2858"/>
      <c r="AG45" s="2961" t="s">
        <v>39</v>
      </c>
    </row>
    <row r="46" spans="1:33" s="65" customFormat="1" ht="48.75" customHeight="1">
      <c r="A46" s="2972"/>
      <c r="B46" s="2888"/>
      <c r="C46" s="2889"/>
      <c r="D46" s="2889"/>
      <c r="E46" s="2890"/>
      <c r="F46" s="2884"/>
      <c r="G46" s="2923"/>
      <c r="H46" s="2921"/>
      <c r="I46" s="981" t="s">
        <v>130</v>
      </c>
      <c r="J46" s="2912" t="s">
        <v>1</v>
      </c>
      <c r="K46" s="2913"/>
      <c r="L46" s="2914"/>
      <c r="M46" s="938" t="s">
        <v>130</v>
      </c>
      <c r="N46" s="2859" t="s">
        <v>1</v>
      </c>
      <c r="O46" s="2859"/>
      <c r="P46" s="2860"/>
      <c r="Q46" s="981" t="s">
        <v>130</v>
      </c>
      <c r="R46" s="2912" t="s">
        <v>1</v>
      </c>
      <c r="S46" s="2913"/>
      <c r="T46" s="2914"/>
      <c r="U46" s="938" t="s">
        <v>130</v>
      </c>
      <c r="V46" s="2859" t="s">
        <v>1</v>
      </c>
      <c r="W46" s="2859"/>
      <c r="X46" s="2860"/>
      <c r="Y46" s="981" t="s">
        <v>130</v>
      </c>
      <c r="Z46" s="2912" t="s">
        <v>1</v>
      </c>
      <c r="AA46" s="2913"/>
      <c r="AB46" s="2914"/>
      <c r="AC46" s="938" t="s">
        <v>130</v>
      </c>
      <c r="AD46" s="2859" t="s">
        <v>1</v>
      </c>
      <c r="AE46" s="2859"/>
      <c r="AF46" s="2860"/>
      <c r="AG46" s="2962"/>
    </row>
    <row r="47" spans="1:33" ht="42" customHeight="1">
      <c r="A47" s="2973">
        <v>1</v>
      </c>
      <c r="B47" s="2975" t="s">
        <v>951</v>
      </c>
      <c r="C47" s="2976"/>
      <c r="D47" s="2898" t="s">
        <v>231</v>
      </c>
      <c r="E47" s="2899"/>
      <c r="F47" s="49" t="s">
        <v>4</v>
      </c>
      <c r="G47" s="929" t="str">
        <f>'XM.FILE GOC'!$E$78</f>
        <v>40~60</v>
      </c>
      <c r="H47" s="2427" t="str">
        <f>'XM.FILE GOC'!$F$78</f>
        <v>(50±5)</v>
      </c>
      <c r="I47" s="1473">
        <f>'XM.FILE GOC'!AD78</f>
        <v>51</v>
      </c>
      <c r="J47" s="1004" t="s">
        <v>8</v>
      </c>
      <c r="K47" s="1005">
        <f>'XM.FILE GOC'!AG78</f>
        <v>0</v>
      </c>
      <c r="L47" s="1006" t="s">
        <v>9</v>
      </c>
      <c r="M47" s="939"/>
      <c r="N47" s="940" t="s">
        <v>8</v>
      </c>
      <c r="O47" s="1686"/>
      <c r="P47" s="941" t="s">
        <v>9</v>
      </c>
      <c r="Q47" s="1473">
        <f>'XM.FILE GOC'!AK78</f>
        <v>50.5</v>
      </c>
      <c r="R47" s="1004" t="s">
        <v>8</v>
      </c>
      <c r="S47" s="1005">
        <f>'XM.FILE GOC'!AN78</f>
        <v>0</v>
      </c>
      <c r="T47" s="1006" t="s">
        <v>9</v>
      </c>
      <c r="U47" s="939"/>
      <c r="V47" s="940" t="s">
        <v>8</v>
      </c>
      <c r="W47" s="1686"/>
      <c r="X47" s="941" t="s">
        <v>9</v>
      </c>
      <c r="Y47" s="1473">
        <f>'XM.FILE GOC'!AR78</f>
        <v>50</v>
      </c>
      <c r="Z47" s="1004" t="s">
        <v>8</v>
      </c>
      <c r="AA47" s="1005">
        <f>'XM.FILE GOC'!AU78</f>
        <v>0</v>
      </c>
      <c r="AB47" s="1006" t="s">
        <v>9</v>
      </c>
      <c r="AC47" s="939"/>
      <c r="AD47" s="940" t="s">
        <v>8</v>
      </c>
      <c r="AE47" s="1686"/>
      <c r="AF47" s="941" t="s">
        <v>9</v>
      </c>
      <c r="AG47" s="73" t="s">
        <v>40</v>
      </c>
    </row>
    <row r="48" spans="1:33" ht="42" customHeight="1">
      <c r="A48" s="2974"/>
      <c r="B48" s="2977"/>
      <c r="C48" s="2978"/>
      <c r="D48" s="2898" t="s">
        <v>232</v>
      </c>
      <c r="E48" s="2899"/>
      <c r="F48" s="928"/>
      <c r="G48" s="929" t="s">
        <v>1286</v>
      </c>
      <c r="H48" s="2427"/>
      <c r="I48" s="1783"/>
      <c r="J48" s="61"/>
      <c r="K48" s="985">
        <f>K47/25*8.5</f>
        <v>0</v>
      </c>
      <c r="L48" s="614" t="s">
        <v>10</v>
      </c>
      <c r="M48" s="939"/>
      <c r="N48" s="942" t="s">
        <v>8</v>
      </c>
      <c r="O48" s="1684"/>
      <c r="P48" s="943" t="s">
        <v>10</v>
      </c>
      <c r="Q48" s="1783"/>
      <c r="R48" s="61"/>
      <c r="S48" s="985">
        <f>S47/25*8.5</f>
        <v>0</v>
      </c>
      <c r="T48" s="614" t="s">
        <v>10</v>
      </c>
      <c r="U48" s="939"/>
      <c r="V48" s="942" t="s">
        <v>8</v>
      </c>
      <c r="W48" s="1684"/>
      <c r="X48" s="943" t="s">
        <v>10</v>
      </c>
      <c r="Y48" s="1783"/>
      <c r="Z48" s="61"/>
      <c r="AA48" s="985">
        <f>AA47/25*8.5</f>
        <v>0</v>
      </c>
      <c r="AB48" s="614" t="s">
        <v>10</v>
      </c>
      <c r="AC48" s="939"/>
      <c r="AD48" s="942" t="s">
        <v>8</v>
      </c>
      <c r="AE48" s="1684"/>
      <c r="AF48" s="943" t="s">
        <v>10</v>
      </c>
      <c r="AG48" s="73"/>
    </row>
    <row r="49" spans="1:38" ht="42" customHeight="1">
      <c r="A49" s="2973">
        <v>2</v>
      </c>
      <c r="B49" s="2975" t="s">
        <v>952</v>
      </c>
      <c r="C49" s="2976"/>
      <c r="D49" s="2898" t="s">
        <v>231</v>
      </c>
      <c r="E49" s="2899"/>
      <c r="F49" s="49" t="s">
        <v>4</v>
      </c>
      <c r="G49" s="929" t="str">
        <f>'XM.FILE GOC'!$E$80</f>
        <v>40~60</v>
      </c>
      <c r="H49" s="2427" t="str">
        <f>'XM.FILE GOC'!$F$80</f>
        <v>(50±5)</v>
      </c>
      <c r="I49" s="1473">
        <f>'XM.FILE GOC'!AD80</f>
        <v>50</v>
      </c>
      <c r="J49" s="1004" t="s">
        <v>8</v>
      </c>
      <c r="K49" s="1005">
        <f>'XM.FILE GOC'!AG80</f>
        <v>0</v>
      </c>
      <c r="L49" s="1006" t="s">
        <v>9</v>
      </c>
      <c r="M49" s="939"/>
      <c r="N49" s="940" t="s">
        <v>8</v>
      </c>
      <c r="O49" s="1686"/>
      <c r="P49" s="941" t="s">
        <v>9</v>
      </c>
      <c r="Q49" s="1473">
        <f>'XM.FILE GOC'!AK80</f>
        <v>49.6</v>
      </c>
      <c r="R49" s="1004" t="s">
        <v>8</v>
      </c>
      <c r="S49" s="1005">
        <f>'XM.FILE GOC'!AN80</f>
        <v>4.5899999999999839</v>
      </c>
      <c r="T49" s="1006" t="s">
        <v>9</v>
      </c>
      <c r="U49" s="939">
        <v>51.2</v>
      </c>
      <c r="V49" s="940" t="s">
        <v>8</v>
      </c>
      <c r="W49" s="1686"/>
      <c r="X49" s="941" t="s">
        <v>9</v>
      </c>
      <c r="Y49" s="1473">
        <f>'XM.FILE GOC'!AR80</f>
        <v>51.271000000000001</v>
      </c>
      <c r="Z49" s="1004" t="s">
        <v>8</v>
      </c>
      <c r="AA49" s="1005">
        <f>'XM.FILE GOC'!AU80</f>
        <v>0</v>
      </c>
      <c r="AB49" s="1006" t="s">
        <v>9</v>
      </c>
      <c r="AC49" s="939"/>
      <c r="AD49" s="940" t="s">
        <v>8</v>
      </c>
      <c r="AE49" s="1686"/>
      <c r="AF49" s="941" t="s">
        <v>9</v>
      </c>
      <c r="AG49" s="73" t="s">
        <v>40</v>
      </c>
    </row>
    <row r="50" spans="1:38" ht="42" customHeight="1">
      <c r="A50" s="2974"/>
      <c r="B50" s="2977"/>
      <c r="C50" s="2978"/>
      <c r="D50" s="2898" t="s">
        <v>232</v>
      </c>
      <c r="E50" s="2899"/>
      <c r="F50" s="928"/>
      <c r="G50" s="929" t="s">
        <v>1286</v>
      </c>
      <c r="H50" s="2427"/>
      <c r="I50" s="1783"/>
      <c r="J50" s="61"/>
      <c r="K50" s="985">
        <f>K49/25*8.5</f>
        <v>0</v>
      </c>
      <c r="L50" s="614" t="s">
        <v>10</v>
      </c>
      <c r="M50" s="939"/>
      <c r="N50" s="942" t="s">
        <v>8</v>
      </c>
      <c r="O50" s="1684"/>
      <c r="P50" s="943" t="s">
        <v>10</v>
      </c>
      <c r="Q50" s="1783"/>
      <c r="R50" s="61"/>
      <c r="S50" s="985">
        <f>S49/25*8.5</f>
        <v>1.5605999999999944</v>
      </c>
      <c r="T50" s="614" t="s">
        <v>10</v>
      </c>
      <c r="U50" s="939"/>
      <c r="V50" s="942" t="s">
        <v>8</v>
      </c>
      <c r="W50" s="1684"/>
      <c r="X50" s="943" t="s">
        <v>10</v>
      </c>
      <c r="Y50" s="1783"/>
      <c r="Z50" s="61"/>
      <c r="AA50" s="985">
        <f>AA49/25*8.5</f>
        <v>0</v>
      </c>
      <c r="AB50" s="614" t="s">
        <v>10</v>
      </c>
      <c r="AC50" s="939"/>
      <c r="AD50" s="942" t="s">
        <v>8</v>
      </c>
      <c r="AE50" s="1684"/>
      <c r="AF50" s="943" t="s">
        <v>10</v>
      </c>
      <c r="AG50" s="73"/>
    </row>
    <row r="51" spans="1:38" ht="42" customHeight="1">
      <c r="A51" s="2973">
        <v>3</v>
      </c>
      <c r="B51" s="2896" t="s">
        <v>953</v>
      </c>
      <c r="C51" s="2897"/>
      <c r="D51" s="2871" t="s">
        <v>233</v>
      </c>
      <c r="E51" s="2873" t="s">
        <v>233</v>
      </c>
      <c r="F51" s="49" t="s">
        <v>4</v>
      </c>
      <c r="G51" s="929" t="str">
        <f>'XM.FILE GOC'!$E$82</f>
        <v>50~70</v>
      </c>
      <c r="H51" s="2427" t="str">
        <f>'XM.FILE GOC'!$F$82</f>
        <v>(60±5)</v>
      </c>
      <c r="I51" s="1473">
        <f>'XM.FILE GOC'!AD82</f>
        <v>61.2</v>
      </c>
      <c r="J51" s="61" t="s">
        <v>8</v>
      </c>
      <c r="K51" s="613">
        <f>'XM.FILE GOC'!AG82</f>
        <v>0</v>
      </c>
      <c r="L51" s="614" t="s">
        <v>9</v>
      </c>
      <c r="M51" s="939"/>
      <c r="N51" s="940" t="s">
        <v>8</v>
      </c>
      <c r="O51" s="1686"/>
      <c r="P51" s="941" t="s">
        <v>9</v>
      </c>
      <c r="Q51" s="1473">
        <f>'XM.FILE GOC'!AK82</f>
        <v>60.5</v>
      </c>
      <c r="R51" s="61" t="s">
        <v>8</v>
      </c>
      <c r="S51" s="613">
        <f>'XM.FILE GOC'!AN82</f>
        <v>0</v>
      </c>
      <c r="T51" s="614" t="s">
        <v>9</v>
      </c>
      <c r="U51" s="939"/>
      <c r="V51" s="940" t="s">
        <v>8</v>
      </c>
      <c r="W51" s="1686"/>
      <c r="X51" s="941" t="s">
        <v>9</v>
      </c>
      <c r="Y51" s="1473">
        <f>'XM.FILE GOC'!AR82</f>
        <v>60</v>
      </c>
      <c r="Z51" s="61" t="s">
        <v>8</v>
      </c>
      <c r="AA51" s="613">
        <f>'XM.FILE GOC'!AU82</f>
        <v>0</v>
      </c>
      <c r="AB51" s="1006" t="s">
        <v>9</v>
      </c>
      <c r="AC51" s="939"/>
      <c r="AD51" s="940" t="s">
        <v>8</v>
      </c>
      <c r="AE51" s="1686"/>
      <c r="AF51" s="941" t="s">
        <v>9</v>
      </c>
      <c r="AG51" s="73" t="s">
        <v>40</v>
      </c>
    </row>
    <row r="52" spans="1:38" ht="42" customHeight="1">
      <c r="A52" s="2979"/>
      <c r="B52" s="2897"/>
      <c r="C52" s="2897"/>
      <c r="D52" s="2871" t="s">
        <v>234</v>
      </c>
      <c r="E52" s="2873" t="s">
        <v>234</v>
      </c>
      <c r="F52" s="928"/>
      <c r="G52" s="929" t="s">
        <v>1287</v>
      </c>
      <c r="H52" s="2427"/>
      <c r="I52" s="1783"/>
      <c r="J52" s="61"/>
      <c r="K52" s="985">
        <f>K51/25*8</f>
        <v>0</v>
      </c>
      <c r="L52" s="614" t="s">
        <v>10</v>
      </c>
      <c r="M52" s="939"/>
      <c r="N52" s="942" t="s">
        <v>8</v>
      </c>
      <c r="O52" s="1684"/>
      <c r="P52" s="943" t="s">
        <v>10</v>
      </c>
      <c r="Q52" s="1783"/>
      <c r="R52" s="61"/>
      <c r="S52" s="985">
        <f>S51/25*8</f>
        <v>0</v>
      </c>
      <c r="T52" s="614" t="s">
        <v>10</v>
      </c>
      <c r="U52" s="939"/>
      <c r="V52" s="942" t="s">
        <v>8</v>
      </c>
      <c r="W52" s="1684"/>
      <c r="X52" s="943" t="s">
        <v>10</v>
      </c>
      <c r="Y52" s="1783"/>
      <c r="Z52" s="61"/>
      <c r="AA52" s="985">
        <f>AA51/25*8</f>
        <v>0</v>
      </c>
      <c r="AB52" s="614" t="s">
        <v>10</v>
      </c>
      <c r="AC52" s="939"/>
      <c r="AD52" s="942" t="s">
        <v>8</v>
      </c>
      <c r="AE52" s="1684"/>
      <c r="AF52" s="943" t="s">
        <v>10</v>
      </c>
      <c r="AG52" s="73"/>
    </row>
    <row r="53" spans="1:38" ht="42" customHeight="1">
      <c r="A53" s="2973">
        <v>4</v>
      </c>
      <c r="B53" s="2896" t="s">
        <v>954</v>
      </c>
      <c r="C53" s="2897"/>
      <c r="D53" s="2871" t="s">
        <v>233</v>
      </c>
      <c r="E53" s="2873" t="s">
        <v>233</v>
      </c>
      <c r="F53" s="49" t="s">
        <v>4</v>
      </c>
      <c r="G53" s="929" t="str">
        <f>'XM.FILE GOC'!$E$84</f>
        <v>50~70</v>
      </c>
      <c r="H53" s="2427" t="str">
        <f>'XM.FILE GOC'!$F$84</f>
        <v>(60±5)</v>
      </c>
      <c r="I53" s="1473">
        <f>'XM.FILE GOC'!AD84</f>
        <v>60.06</v>
      </c>
      <c r="J53" s="1004" t="s">
        <v>8</v>
      </c>
      <c r="K53" s="1005">
        <f>'XM.FILE GOC'!AG84</f>
        <v>0</v>
      </c>
      <c r="L53" s="1006" t="s">
        <v>9</v>
      </c>
      <c r="M53" s="939"/>
      <c r="N53" s="940" t="s">
        <v>8</v>
      </c>
      <c r="O53" s="1687"/>
      <c r="P53" s="941" t="s">
        <v>9</v>
      </c>
      <c r="Q53" s="1473">
        <f>'XM.FILE GOC'!AK84</f>
        <v>60</v>
      </c>
      <c r="R53" s="1004" t="s">
        <v>8</v>
      </c>
      <c r="S53" s="1005">
        <f>'XM.FILE GOC'!AN84</f>
        <v>0</v>
      </c>
      <c r="T53" s="1006" t="s">
        <v>9</v>
      </c>
      <c r="U53" s="939"/>
      <c r="V53" s="940" t="s">
        <v>8</v>
      </c>
      <c r="W53" s="1687"/>
      <c r="X53" s="941" t="s">
        <v>9</v>
      </c>
      <c r="Y53" s="1473">
        <f>'XM.FILE GOC'!AR84</f>
        <v>60</v>
      </c>
      <c r="Z53" s="1004" t="s">
        <v>8</v>
      </c>
      <c r="AA53" s="1005">
        <f>'XM.FILE GOC'!AU84</f>
        <v>0</v>
      </c>
      <c r="AB53" s="1006" t="s">
        <v>9</v>
      </c>
      <c r="AC53" s="939"/>
      <c r="AD53" s="940" t="s">
        <v>8</v>
      </c>
      <c r="AE53" s="1687"/>
      <c r="AF53" s="941" t="s">
        <v>9</v>
      </c>
      <c r="AG53" s="73" t="s">
        <v>40</v>
      </c>
    </row>
    <row r="54" spans="1:38" ht="42" customHeight="1">
      <c r="A54" s="2979"/>
      <c r="B54" s="2897"/>
      <c r="C54" s="2897"/>
      <c r="D54" s="2871" t="s">
        <v>234</v>
      </c>
      <c r="E54" s="2873" t="s">
        <v>234</v>
      </c>
      <c r="F54" s="928"/>
      <c r="G54" s="929" t="s">
        <v>1287</v>
      </c>
      <c r="H54" s="2427"/>
      <c r="I54" s="1783"/>
      <c r="J54" s="61"/>
      <c r="K54" s="985">
        <f>K53/25*8</f>
        <v>0</v>
      </c>
      <c r="L54" s="614" t="s">
        <v>10</v>
      </c>
      <c r="M54" s="939"/>
      <c r="N54" s="942" t="s">
        <v>8</v>
      </c>
      <c r="O54" s="1684"/>
      <c r="P54" s="943" t="s">
        <v>10</v>
      </c>
      <c r="Q54" s="1783"/>
      <c r="R54" s="61"/>
      <c r="S54" s="985">
        <f>S53/25*8</f>
        <v>0</v>
      </c>
      <c r="T54" s="614" t="s">
        <v>10</v>
      </c>
      <c r="U54" s="939"/>
      <c r="V54" s="942" t="s">
        <v>8</v>
      </c>
      <c r="W54" s="1684"/>
      <c r="X54" s="943" t="s">
        <v>10</v>
      </c>
      <c r="Y54" s="1783"/>
      <c r="Z54" s="61"/>
      <c r="AA54" s="985">
        <f>AA53/25*8</f>
        <v>0</v>
      </c>
      <c r="AB54" s="614" t="s">
        <v>10</v>
      </c>
      <c r="AC54" s="939"/>
      <c r="AD54" s="942" t="s">
        <v>8</v>
      </c>
      <c r="AE54" s="1684"/>
      <c r="AF54" s="943" t="s">
        <v>10</v>
      </c>
      <c r="AG54" s="73"/>
    </row>
    <row r="55" spans="1:38" ht="42" customHeight="1">
      <c r="A55" s="2973">
        <v>5</v>
      </c>
      <c r="B55" s="2997" t="s">
        <v>955</v>
      </c>
      <c r="C55" s="2994" t="s">
        <v>956</v>
      </c>
      <c r="D55" s="2995"/>
      <c r="E55" s="2996"/>
      <c r="F55" s="660" t="s">
        <v>4</v>
      </c>
      <c r="G55" s="929" t="str">
        <f>'XM.FILE GOC'!$E$86</f>
        <v>135~ 145</v>
      </c>
      <c r="H55" s="2427" t="str">
        <f>'XM.FILE GOC'!$F$86</f>
        <v>(140±5)</v>
      </c>
      <c r="I55" s="81">
        <f>'XM.FILE GOC'!AD86</f>
        <v>142.4</v>
      </c>
      <c r="J55" s="1004" t="s">
        <v>8</v>
      </c>
      <c r="K55" s="1005">
        <f>'XM.FILE GOC'!AG86</f>
        <v>0</v>
      </c>
      <c r="L55" s="1006" t="s">
        <v>9</v>
      </c>
      <c r="M55" s="939"/>
      <c r="N55" s="940" t="s">
        <v>8</v>
      </c>
      <c r="O55" s="1687"/>
      <c r="P55" s="941" t="s">
        <v>9</v>
      </c>
      <c r="Q55" s="81">
        <f>'XM.FILE GOC'!AK86</f>
        <v>142</v>
      </c>
      <c r="R55" s="1004" t="s">
        <v>8</v>
      </c>
      <c r="S55" s="1005">
        <f>'XM.FILE GOC'!AN86</f>
        <v>0</v>
      </c>
      <c r="T55" s="1006" t="s">
        <v>9</v>
      </c>
      <c r="U55" s="939"/>
      <c r="V55" s="940" t="s">
        <v>8</v>
      </c>
      <c r="W55" s="1687"/>
      <c r="X55" s="941" t="s">
        <v>9</v>
      </c>
      <c r="Y55" s="81">
        <f>'XM.FILE GOC'!AR86</f>
        <v>141.80000000000001</v>
      </c>
      <c r="Z55" s="1004" t="s">
        <v>8</v>
      </c>
      <c r="AA55" s="1005">
        <f>'XM.FILE GOC'!AU86</f>
        <v>0</v>
      </c>
      <c r="AB55" s="1006" t="s">
        <v>9</v>
      </c>
      <c r="AC55" s="939"/>
      <c r="AD55" s="940" t="s">
        <v>8</v>
      </c>
      <c r="AE55" s="1687"/>
      <c r="AF55" s="941" t="s">
        <v>9</v>
      </c>
      <c r="AG55" s="73" t="s">
        <v>41</v>
      </c>
    </row>
    <row r="56" spans="1:38" ht="42" customHeight="1">
      <c r="A56" s="2979"/>
      <c r="B56" s="2998"/>
      <c r="C56" s="2994" t="s">
        <v>957</v>
      </c>
      <c r="D56" s="2995"/>
      <c r="E56" s="2996"/>
      <c r="F56" s="660" t="s">
        <v>4</v>
      </c>
      <c r="G56" s="929" t="str">
        <f>'XM.FILE GOC'!$E$87</f>
        <v>7~10</v>
      </c>
      <c r="H56" s="2427" t="str">
        <f>'XM.FILE GOC'!$F$87</f>
        <v>(8.5±1)</v>
      </c>
      <c r="I56" s="2067">
        <f>'XM.FILE GOC'!AD87</f>
        <v>8.4500000000000011</v>
      </c>
      <c r="J56" s="1004" t="s">
        <v>8</v>
      </c>
      <c r="K56" s="1005">
        <f>'XM.FILE GOC'!AG87</f>
        <v>2.6532999999999434</v>
      </c>
      <c r="L56" s="1006" t="s">
        <v>9</v>
      </c>
      <c r="M56" s="939">
        <v>8.6</v>
      </c>
      <c r="N56" s="940" t="s">
        <v>8</v>
      </c>
      <c r="O56" s="1687"/>
      <c r="P56" s="941" t="s">
        <v>9</v>
      </c>
      <c r="Q56" s="2067">
        <f>'XM.FILE GOC'!AK87</f>
        <v>8.6</v>
      </c>
      <c r="R56" s="1004" t="s">
        <v>8</v>
      </c>
      <c r="S56" s="1005">
        <f>'XM.FILE GOC'!AN87</f>
        <v>0</v>
      </c>
      <c r="T56" s="1006" t="s">
        <v>9</v>
      </c>
      <c r="U56" s="939"/>
      <c r="V56" s="940" t="s">
        <v>8</v>
      </c>
      <c r="W56" s="1687"/>
      <c r="X56" s="941" t="s">
        <v>9</v>
      </c>
      <c r="Y56" s="2067">
        <f>'XM.FILE GOC'!AR87</f>
        <v>8.4500000000000011</v>
      </c>
      <c r="Z56" s="1004" t="s">
        <v>8</v>
      </c>
      <c r="AA56" s="1005">
        <f>'XM.FILE GOC'!AU87</f>
        <v>2.6532999999999434</v>
      </c>
      <c r="AB56" s="941" t="s">
        <v>9</v>
      </c>
      <c r="AC56" s="939">
        <v>8.6</v>
      </c>
      <c r="AD56" s="940" t="s">
        <v>8</v>
      </c>
      <c r="AE56" s="1687"/>
      <c r="AF56" s="941" t="s">
        <v>9</v>
      </c>
      <c r="AG56" s="73" t="s">
        <v>42</v>
      </c>
    </row>
    <row r="57" spans="1:38" s="7" customFormat="1" ht="42" customHeight="1">
      <c r="A57" s="2973">
        <v>6</v>
      </c>
      <c r="B57" s="2980" t="s">
        <v>38</v>
      </c>
      <c r="C57" s="2981"/>
      <c r="D57" s="2981"/>
      <c r="E57" s="2984"/>
      <c r="F57" s="660" t="s">
        <v>3</v>
      </c>
      <c r="G57" s="929" t="str">
        <f>'XM.FILE GOC'!$E$88</f>
        <v>5~8</v>
      </c>
      <c r="H57" s="2427" t="str">
        <f>'XM.FILE GOC'!$F$88</f>
        <v>(6±1)</v>
      </c>
      <c r="I57" s="1838">
        <f>'XM.FILE GOC'!AD88</f>
        <v>6.1</v>
      </c>
      <c r="J57" s="1004" t="s">
        <v>8</v>
      </c>
      <c r="K57" s="1005">
        <f>'XM.FILE GOC'!AG88</f>
        <v>0</v>
      </c>
      <c r="L57" s="1006" t="s">
        <v>10</v>
      </c>
      <c r="M57" s="1670"/>
      <c r="N57" s="942" t="s">
        <v>8</v>
      </c>
      <c r="O57" s="1686"/>
      <c r="P57" s="943" t="s">
        <v>10</v>
      </c>
      <c r="Q57" s="621">
        <f>'XM.FILE GOC'!AK88</f>
        <v>6</v>
      </c>
      <c r="R57" s="1004" t="s">
        <v>8</v>
      </c>
      <c r="S57" s="1005">
        <f>'XM.FILE GOC'!AN88</f>
        <v>0</v>
      </c>
      <c r="T57" s="1006" t="s">
        <v>10</v>
      </c>
      <c r="U57" s="1670"/>
      <c r="V57" s="942" t="s">
        <v>8</v>
      </c>
      <c r="W57" s="1686"/>
      <c r="X57" s="943" t="s">
        <v>10</v>
      </c>
      <c r="Y57" s="621">
        <f>'XM.FILE GOC'!AR88</f>
        <v>5.9</v>
      </c>
      <c r="Z57" s="1004" t="s">
        <v>8</v>
      </c>
      <c r="AA57" s="1005">
        <f>'XM.FILE GOC'!AU88</f>
        <v>3.3599999999999879</v>
      </c>
      <c r="AB57" s="1006" t="s">
        <v>10</v>
      </c>
      <c r="AC57" s="939">
        <v>6.2</v>
      </c>
      <c r="AD57" s="942" t="s">
        <v>8</v>
      </c>
      <c r="AE57" s="1686"/>
      <c r="AF57" s="943" t="s">
        <v>10</v>
      </c>
      <c r="AG57" s="73" t="s">
        <v>43</v>
      </c>
      <c r="AH57" s="1667"/>
      <c r="AI57" s="1666" t="s">
        <v>1452</v>
      </c>
      <c r="AJ57" s="977"/>
      <c r="AK57" s="977"/>
      <c r="AL57" s="977"/>
    </row>
    <row r="58" spans="1:38" ht="42" customHeight="1">
      <c r="A58" s="2979"/>
      <c r="B58" s="2982"/>
      <c r="C58" s="2983"/>
      <c r="D58" s="2983"/>
      <c r="E58" s="2985"/>
      <c r="F58" s="660" t="s">
        <v>5</v>
      </c>
      <c r="G58" s="929" t="str">
        <f>'XM.FILE GOC'!$E$89</f>
        <v>2.0~2.4</v>
      </c>
      <c r="H58" s="2427" t="str">
        <f>'XM.FILE GOC'!$F$89</f>
        <v>(2.2±0.1)</v>
      </c>
      <c r="I58" s="2067">
        <f>'XM.FILE GOC'!AD89</f>
        <v>2.23</v>
      </c>
      <c r="J58" s="1442"/>
      <c r="K58" s="1443"/>
      <c r="L58" s="1444"/>
      <c r="M58" s="1670"/>
      <c r="N58" s="944"/>
      <c r="O58" s="968"/>
      <c r="P58" s="945"/>
      <c r="Q58" s="2067">
        <f>'XM.FILE GOC'!AK89</f>
        <v>2.25</v>
      </c>
      <c r="R58" s="1442"/>
      <c r="S58" s="1443"/>
      <c r="T58" s="1444"/>
      <c r="U58" s="1670"/>
      <c r="V58" s="944"/>
      <c r="W58" s="968"/>
      <c r="X58" s="945"/>
      <c r="Y58" s="2067">
        <f>'XM.FILE GOC'!AR89</f>
        <v>2.2000000000000002</v>
      </c>
      <c r="Z58" s="1004"/>
      <c r="AA58" s="1005"/>
      <c r="AB58" s="1006"/>
      <c r="AC58" s="939"/>
      <c r="AD58" s="944"/>
      <c r="AE58" s="968"/>
      <c r="AF58" s="945"/>
      <c r="AG58" s="74"/>
      <c r="AH58" s="1668"/>
    </row>
    <row r="59" spans="1:38" ht="42" customHeight="1">
      <c r="A59" s="1007">
        <v>7</v>
      </c>
      <c r="B59" s="2988" t="s">
        <v>958</v>
      </c>
      <c r="C59" s="2989"/>
      <c r="D59" s="2989"/>
      <c r="E59" s="2990"/>
      <c r="F59" s="660" t="s">
        <v>6</v>
      </c>
      <c r="G59" s="929" t="str">
        <f>'XM.FILE GOC'!$E$90</f>
        <v>40~50</v>
      </c>
      <c r="H59" s="2427" t="str">
        <f>'XM.FILE GOC'!$F$90</f>
        <v>(45±5)</v>
      </c>
      <c r="I59" s="1854">
        <f>'XM.FILE GOC'!AD90</f>
        <v>0.45600000000000002</v>
      </c>
      <c r="J59" s="1004" t="s">
        <v>8</v>
      </c>
      <c r="K59" s="1005">
        <f>'XM.FILE GOC'!AG90</f>
        <v>0</v>
      </c>
      <c r="L59" s="1006" t="s">
        <v>10</v>
      </c>
      <c r="M59" s="946"/>
      <c r="N59" s="940" t="s">
        <v>8</v>
      </c>
      <c r="O59" s="1686"/>
      <c r="P59" s="941" t="s">
        <v>10</v>
      </c>
      <c r="Q59" s="63">
        <f>'XM.FILE GOC'!AK90</f>
        <v>0.45200000000000001</v>
      </c>
      <c r="R59" s="1004" t="s">
        <v>8</v>
      </c>
      <c r="S59" s="1005">
        <f>'XM.FILE GOC'!AN90</f>
        <v>0</v>
      </c>
      <c r="T59" s="1006" t="s">
        <v>10</v>
      </c>
      <c r="U59" s="946"/>
      <c r="V59" s="940" t="s">
        <v>8</v>
      </c>
      <c r="W59" s="1686"/>
      <c r="X59" s="941" t="s">
        <v>10</v>
      </c>
      <c r="Y59" s="63">
        <f>'XM.FILE GOC'!AR90</f>
        <v>0.45</v>
      </c>
      <c r="Z59" s="1004" t="s">
        <v>8</v>
      </c>
      <c r="AA59" s="1005">
        <f>'XM.FILE GOC'!AU90</f>
        <v>0</v>
      </c>
      <c r="AB59" s="1006" t="s">
        <v>10</v>
      </c>
      <c r="AC59" s="946"/>
      <c r="AD59" s="940" t="s">
        <v>8</v>
      </c>
      <c r="AE59" s="1686"/>
      <c r="AF59" s="941" t="s">
        <v>10</v>
      </c>
      <c r="AG59" s="73" t="s">
        <v>44</v>
      </c>
    </row>
    <row r="60" spans="1:38" ht="42" customHeight="1">
      <c r="A60" s="1007">
        <v>8</v>
      </c>
      <c r="B60" s="2988" t="s">
        <v>959</v>
      </c>
      <c r="C60" s="2989"/>
      <c r="D60" s="2989"/>
      <c r="E60" s="2990"/>
      <c r="F60" s="660" t="s">
        <v>6</v>
      </c>
      <c r="G60" s="929" t="str">
        <f>'XM.FILE GOC'!$E$92</f>
        <v>40~50</v>
      </c>
      <c r="H60" s="2427" t="str">
        <f>'XM.FILE GOC'!$F$92</f>
        <v>(45±5)</v>
      </c>
      <c r="I60" s="1854">
        <f>'XM.FILE GOC'!AD92</f>
        <v>0.45168749999999996</v>
      </c>
      <c r="J60" s="1004" t="s">
        <v>8</v>
      </c>
      <c r="K60" s="1005">
        <f>'XM.FILE GOC'!AG92</f>
        <v>0</v>
      </c>
      <c r="L60" s="1006" t="s">
        <v>10</v>
      </c>
      <c r="M60" s="946"/>
      <c r="N60" s="942" t="s">
        <v>8</v>
      </c>
      <c r="O60" s="1686"/>
      <c r="P60" s="943" t="s">
        <v>10</v>
      </c>
      <c r="Q60" s="63">
        <f>'XM.FILE GOC'!AK92</f>
        <v>0.45</v>
      </c>
      <c r="R60" s="1004" t="s">
        <v>8</v>
      </c>
      <c r="S60" s="1005">
        <f>'XM.FILE GOC'!AN92</f>
        <v>0</v>
      </c>
      <c r="T60" s="1006" t="s">
        <v>10</v>
      </c>
      <c r="U60" s="946"/>
      <c r="V60" s="942" t="s">
        <v>8</v>
      </c>
      <c r="W60" s="1686"/>
      <c r="X60" s="943" t="s">
        <v>10</v>
      </c>
      <c r="Y60" s="63">
        <f>'XM.FILE GOC'!AR92</f>
        <v>0.44256250000000003</v>
      </c>
      <c r="Z60" s="1004" t="s">
        <v>8</v>
      </c>
      <c r="AA60" s="1005">
        <f>'XM.FILE GOC'!AU92</f>
        <v>30.061802884615325</v>
      </c>
      <c r="AB60" s="1006" t="s">
        <v>10</v>
      </c>
      <c r="AC60" s="946">
        <v>0.45600000000000002</v>
      </c>
      <c r="AD60" s="942" t="s">
        <v>8</v>
      </c>
      <c r="AE60" s="1686"/>
      <c r="AF60" s="943" t="s">
        <v>10</v>
      </c>
      <c r="AG60" s="72" t="s">
        <v>44</v>
      </c>
    </row>
    <row r="61" spans="1:38" ht="42" customHeight="1">
      <c r="A61" s="1007">
        <v>9</v>
      </c>
      <c r="B61" s="2991" t="s">
        <v>83</v>
      </c>
      <c r="C61" s="2992"/>
      <c r="D61" s="2992"/>
      <c r="E61" s="2993"/>
      <c r="F61" s="660" t="s">
        <v>6</v>
      </c>
      <c r="G61" s="929" t="str">
        <f>'XM.FILE GOC'!$E$93</f>
        <v>10~20</v>
      </c>
      <c r="H61" s="2427" t="str">
        <f>'XM.FILE GOC'!$F$93</f>
        <v>(15±5)</v>
      </c>
      <c r="I61" s="1843">
        <f>'XM.FILE GOC'!AD93</f>
        <v>0.152</v>
      </c>
      <c r="J61" s="1004" t="s">
        <v>8</v>
      </c>
      <c r="K61" s="1005">
        <f>'XM.FILE GOC'!AG93</f>
        <v>0</v>
      </c>
      <c r="L61" s="1006" t="s">
        <v>10</v>
      </c>
      <c r="M61" s="946"/>
      <c r="N61" s="940" t="s">
        <v>8</v>
      </c>
      <c r="O61" s="968"/>
      <c r="P61" s="941" t="s">
        <v>10</v>
      </c>
      <c r="Q61" s="310">
        <f>'XM.FILE GOC'!AK93</f>
        <v>0.15</v>
      </c>
      <c r="R61" s="1004" t="s">
        <v>8</v>
      </c>
      <c r="S61" s="1005">
        <f>'XM.FILE GOC'!AN93</f>
        <v>0</v>
      </c>
      <c r="T61" s="1006" t="s">
        <v>10</v>
      </c>
      <c r="U61" s="946"/>
      <c r="V61" s="940" t="s">
        <v>8</v>
      </c>
      <c r="W61" s="968"/>
      <c r="X61" s="941" t="s">
        <v>10</v>
      </c>
      <c r="Y61" s="310">
        <f>'XM.FILE GOC'!AR93</f>
        <v>0.14599999999999999</v>
      </c>
      <c r="Z61" s="1004" t="s">
        <v>8</v>
      </c>
      <c r="AA61" s="1005">
        <f>'XM.FILE GOC'!AU93</f>
        <v>4.460689655172418</v>
      </c>
      <c r="AB61" s="1006" t="s">
        <v>10</v>
      </c>
      <c r="AC61" s="946">
        <v>0.153</v>
      </c>
      <c r="AD61" s="940" t="s">
        <v>8</v>
      </c>
      <c r="AE61" s="968"/>
      <c r="AF61" s="941" t="s">
        <v>10</v>
      </c>
      <c r="AG61" s="73" t="s">
        <v>45</v>
      </c>
    </row>
    <row r="62" spans="1:38" ht="42" customHeight="1">
      <c r="A62" s="1007">
        <v>10</v>
      </c>
      <c r="B62" s="2991" t="s">
        <v>960</v>
      </c>
      <c r="C62" s="2992" t="s">
        <v>960</v>
      </c>
      <c r="D62" s="2992" t="s">
        <v>960</v>
      </c>
      <c r="E62" s="2993" t="s">
        <v>960</v>
      </c>
      <c r="F62" s="660" t="s">
        <v>6</v>
      </c>
      <c r="G62" s="929" t="str">
        <f>'XM.FILE GOC'!$E$94</f>
        <v>(1±0.4)=0.6~1.4</v>
      </c>
      <c r="H62" s="2427" t="str">
        <f>'XM.FILE GOC'!$F$94</f>
        <v>(1±0.4)</v>
      </c>
      <c r="I62" s="1876">
        <f>'XM.FILE GOC'!AD94</f>
        <v>7.1820000000000009E-3</v>
      </c>
      <c r="J62" s="1004" t="s">
        <v>8</v>
      </c>
      <c r="K62" s="1008">
        <f>'XM.FILE GOC'!AG94</f>
        <v>8.0620927152317847</v>
      </c>
      <c r="L62" s="1009" t="s">
        <v>10</v>
      </c>
      <c r="M62" s="946">
        <v>0.01</v>
      </c>
      <c r="N62" s="942" t="s">
        <v>8</v>
      </c>
      <c r="O62" s="1686"/>
      <c r="P62" s="943" t="s">
        <v>10</v>
      </c>
      <c r="Q62" s="2390">
        <f>'XM.FILE GOC'!AK94</f>
        <v>0.01</v>
      </c>
      <c r="R62" s="1004" t="s">
        <v>8</v>
      </c>
      <c r="S62" s="1008">
        <f>'XM.FILE GOC'!AN94</f>
        <v>0</v>
      </c>
      <c r="T62" s="1009" t="s">
        <v>10</v>
      </c>
      <c r="U62" s="946"/>
      <c r="V62" s="942" t="s">
        <v>8</v>
      </c>
      <c r="W62" s="1686"/>
      <c r="X62" s="943" t="s">
        <v>10</v>
      </c>
      <c r="Y62" s="2390">
        <f>'XM.FILE GOC'!AR94</f>
        <v>8.9999999999999993E-3</v>
      </c>
      <c r="Z62" s="1004" t="s">
        <v>8</v>
      </c>
      <c r="AA62" s="1008">
        <f>'XM.FILE GOC'!AU94</f>
        <v>2.8609271523178834</v>
      </c>
      <c r="AB62" s="1009" t="s">
        <v>10</v>
      </c>
      <c r="AC62" s="946">
        <v>0.01</v>
      </c>
      <c r="AD62" s="942" t="s">
        <v>8</v>
      </c>
      <c r="AE62" s="1686"/>
      <c r="AF62" s="943" t="s">
        <v>10</v>
      </c>
      <c r="AG62" s="73" t="s">
        <v>45</v>
      </c>
    </row>
    <row r="63" spans="1:38" ht="42" customHeight="1">
      <c r="A63" s="2387">
        <v>11</v>
      </c>
      <c r="B63" s="2877" t="s">
        <v>75</v>
      </c>
      <c r="C63" s="2878"/>
      <c r="D63" s="2878"/>
      <c r="E63" s="2879"/>
      <c r="F63" s="2" t="s">
        <v>3</v>
      </c>
      <c r="G63" s="929" t="str">
        <f>'XM.GUI MAIL'!$E$95</f>
        <v>5~8</v>
      </c>
      <c r="H63" s="2427" t="str">
        <f>'XM.GUI MAIL'!$F$95</f>
        <v>(6±0.5)</v>
      </c>
      <c r="I63" s="1952">
        <f>'XM.FILE GOC'!AD95</f>
        <v>6.3</v>
      </c>
      <c r="J63" s="1004" t="s">
        <v>8</v>
      </c>
      <c r="K63" s="1005">
        <f>'XM.FILE GOC'!AG95</f>
        <v>0</v>
      </c>
      <c r="L63" s="1009" t="s">
        <v>10</v>
      </c>
      <c r="M63" s="2466"/>
      <c r="N63" s="940" t="s">
        <v>8</v>
      </c>
      <c r="O63" s="968"/>
      <c r="P63" s="941" t="s">
        <v>10</v>
      </c>
      <c r="Q63" s="1952">
        <f>'XM.FILE GOC'!AK95</f>
        <v>6.2</v>
      </c>
      <c r="R63" s="1004" t="s">
        <v>8</v>
      </c>
      <c r="S63" s="1005">
        <f>'XM.FILE GOC'!AN95</f>
        <v>0</v>
      </c>
      <c r="T63" s="1009" t="s">
        <v>10</v>
      </c>
      <c r="U63" s="2466"/>
      <c r="V63" s="940" t="s">
        <v>8</v>
      </c>
      <c r="W63" s="968"/>
      <c r="X63" s="941" t="s">
        <v>10</v>
      </c>
      <c r="Y63" s="1952">
        <f>'XM.FILE GOC'!AR95</f>
        <v>6</v>
      </c>
      <c r="Z63" s="1004" t="s">
        <v>8</v>
      </c>
      <c r="AA63" s="1005">
        <f>'XM.FILE GOC'!AU95</f>
        <v>0</v>
      </c>
      <c r="AB63" s="1009" t="s">
        <v>10</v>
      </c>
      <c r="AC63" s="2466"/>
      <c r="AD63" s="940" t="s">
        <v>8</v>
      </c>
      <c r="AE63" s="968"/>
      <c r="AF63" s="941" t="s">
        <v>10</v>
      </c>
      <c r="AG63" s="2385"/>
    </row>
    <row r="64" spans="1:38" ht="42" customHeight="1">
      <c r="A64" s="2387">
        <v>12</v>
      </c>
      <c r="B64" s="2880"/>
      <c r="C64" s="2881"/>
      <c r="D64" s="2881"/>
      <c r="E64" s="2882"/>
      <c r="F64" s="2" t="s">
        <v>5</v>
      </c>
      <c r="G64" s="929" t="str">
        <f>'XM.GUI MAIL'!$E$96</f>
        <v>1.8~2.4</v>
      </c>
      <c r="H64" s="2427" t="str">
        <f>'XM.GUI MAIL'!$F$96</f>
        <v>(2.1±0.1)</v>
      </c>
      <c r="I64" s="1869">
        <f>'XM.FILE GOC'!AD96</f>
        <v>2</v>
      </c>
      <c r="J64" s="1004"/>
      <c r="K64" s="1008"/>
      <c r="L64" s="1009"/>
      <c r="M64" s="947"/>
      <c r="N64" s="979"/>
      <c r="O64" s="1688"/>
      <c r="P64" s="949"/>
      <c r="Q64" s="1869">
        <f>'XM.FILE GOC'!AK96</f>
        <v>2.0299999999999998</v>
      </c>
      <c r="R64" s="1004"/>
      <c r="S64" s="1008"/>
      <c r="T64" s="1009"/>
      <c r="U64" s="947"/>
      <c r="V64" s="979"/>
      <c r="W64" s="1688"/>
      <c r="X64" s="949"/>
      <c r="Y64" s="1869">
        <f>'XM.FILE GOC'!AR96</f>
        <v>2.0299999999999998</v>
      </c>
      <c r="Z64" s="1004"/>
      <c r="AA64" s="1008"/>
      <c r="AB64" s="1009"/>
      <c r="AC64" s="947"/>
      <c r="AD64" s="979"/>
      <c r="AE64" s="1688"/>
      <c r="AF64" s="949"/>
      <c r="AG64" s="2385"/>
    </row>
    <row r="65" spans="1:38" ht="35.25" customHeight="1">
      <c r="A65" s="1007"/>
      <c r="B65" s="3009" t="s">
        <v>1327</v>
      </c>
      <c r="C65" s="3010"/>
      <c r="D65" s="3010"/>
      <c r="E65" s="3010"/>
      <c r="F65" s="3010"/>
      <c r="G65" s="3010"/>
      <c r="H65" s="3010"/>
      <c r="I65" s="3010"/>
      <c r="J65" s="3010"/>
      <c r="K65" s="3010"/>
      <c r="L65" s="3010"/>
      <c r="M65" s="3011"/>
      <c r="N65" s="3011"/>
      <c r="O65" s="3011"/>
      <c r="P65" s="3011"/>
      <c r="Q65" s="3010"/>
      <c r="R65" s="3010"/>
      <c r="S65" s="3010"/>
      <c r="T65" s="3010"/>
      <c r="U65" s="3010"/>
      <c r="V65" s="3010"/>
      <c r="W65" s="3010"/>
      <c r="X65" s="3010"/>
      <c r="Y65" s="3010"/>
      <c r="Z65" s="3010"/>
      <c r="AA65" s="3010"/>
      <c r="AB65" s="3010"/>
      <c r="AC65" s="3010"/>
      <c r="AD65" s="3010"/>
      <c r="AE65" s="3010"/>
      <c r="AF65" s="3010"/>
      <c r="AG65" s="3012"/>
    </row>
    <row r="66" spans="1:38" ht="53.25" customHeight="1">
      <c r="A66" s="1007" t="s">
        <v>7</v>
      </c>
      <c r="B66" s="2965" t="s">
        <v>961</v>
      </c>
      <c r="C66" s="2966"/>
      <c r="D66" s="2966"/>
      <c r="E66" s="2967"/>
      <c r="F66" s="1010" t="s">
        <v>962</v>
      </c>
      <c r="G66" s="1010" t="s">
        <v>1325</v>
      </c>
      <c r="H66" s="2429" t="s">
        <v>1317</v>
      </c>
      <c r="I66" s="3002" t="s">
        <v>963</v>
      </c>
      <c r="J66" s="3001"/>
      <c r="K66" s="3002" t="s">
        <v>964</v>
      </c>
      <c r="L66" s="3000"/>
      <c r="M66" s="950"/>
      <c r="N66" s="951"/>
      <c r="O66" s="951"/>
      <c r="P66" s="952"/>
      <c r="Q66" s="3000" t="s">
        <v>963</v>
      </c>
      <c r="R66" s="3001"/>
      <c r="S66" s="3002" t="s">
        <v>964</v>
      </c>
      <c r="T66" s="3001"/>
      <c r="U66" s="950"/>
      <c r="V66" s="951"/>
      <c r="W66" s="951"/>
      <c r="X66" s="952"/>
      <c r="Y66" s="3002" t="s">
        <v>963</v>
      </c>
      <c r="Z66" s="3001"/>
      <c r="AA66" s="3002" t="s">
        <v>964</v>
      </c>
      <c r="AB66" s="3001"/>
      <c r="AC66" s="950"/>
      <c r="AD66" s="951"/>
      <c r="AE66" s="951"/>
      <c r="AF66" s="952"/>
      <c r="AG66" s="10"/>
    </row>
    <row r="67" spans="1:38" ht="49.5" customHeight="1">
      <c r="A67" s="1007">
        <v>1</v>
      </c>
      <c r="B67" s="2965" t="s">
        <v>965</v>
      </c>
      <c r="C67" s="2966"/>
      <c r="D67" s="2966"/>
      <c r="E67" s="2967"/>
      <c r="F67" s="1011" t="s">
        <v>966</v>
      </c>
      <c r="G67" s="929" t="str">
        <f>'XM.FILE GOC'!$E$104</f>
        <v>50~70</v>
      </c>
      <c r="H67" s="2427" t="str">
        <f>'XM.FILE GOC'!$F$104</f>
        <v>(60±5)</v>
      </c>
      <c r="I67" s="2867">
        <f>'XM.GUI MAIL'!AD104</f>
        <v>61</v>
      </c>
      <c r="J67" s="2867"/>
      <c r="K67" s="2867">
        <f>'XM.FILE GOC'!AG104</f>
        <v>60</v>
      </c>
      <c r="L67" s="2964"/>
      <c r="M67" s="953"/>
      <c r="N67" s="954"/>
      <c r="O67" s="954"/>
      <c r="P67" s="955"/>
      <c r="Q67" s="2934">
        <v>61</v>
      </c>
      <c r="R67" s="2867"/>
      <c r="S67" s="2867">
        <v>60</v>
      </c>
      <c r="T67" s="2867"/>
      <c r="U67" s="953"/>
      <c r="V67" s="954"/>
      <c r="W67" s="954"/>
      <c r="X67" s="955"/>
      <c r="Y67" s="2867">
        <f>'XM.GUI MAIL'!AR104</f>
        <v>61</v>
      </c>
      <c r="Z67" s="2867"/>
      <c r="AA67" s="2867">
        <f>'XM.FILE GOC'!AU104</f>
        <v>60</v>
      </c>
      <c r="AB67" s="2867"/>
      <c r="AC67" s="953"/>
      <c r="AD67" s="954"/>
      <c r="AE67" s="954"/>
      <c r="AF67" s="955"/>
      <c r="AG67" s="79"/>
    </row>
    <row r="68" spans="1:38" ht="49.5" customHeight="1">
      <c r="A68" s="1007">
        <v>2</v>
      </c>
      <c r="B68" s="2965" t="s">
        <v>967</v>
      </c>
      <c r="C68" s="2966"/>
      <c r="D68" s="2966"/>
      <c r="E68" s="2967"/>
      <c r="F68" s="1011" t="s">
        <v>966</v>
      </c>
      <c r="G68" s="929" t="str">
        <f>'XM.FILE GOC'!$E$105</f>
        <v>50~70</v>
      </c>
      <c r="H68" s="2427" t="str">
        <f>'XM.FILE GOC'!$F$105</f>
        <v>(60±5)</v>
      </c>
      <c r="I68" s="2867">
        <f>'XM.GUI MAIL'!AD105</f>
        <v>61</v>
      </c>
      <c r="J68" s="2867"/>
      <c r="K68" s="2867">
        <f>'XM.FILE GOC'!AG105</f>
        <v>60</v>
      </c>
      <c r="L68" s="2964"/>
      <c r="M68" s="953"/>
      <c r="N68" s="954"/>
      <c r="O68" s="954"/>
      <c r="P68" s="955"/>
      <c r="Q68" s="2934">
        <v>61</v>
      </c>
      <c r="R68" s="2867"/>
      <c r="S68" s="2867">
        <v>60</v>
      </c>
      <c r="T68" s="2867"/>
      <c r="U68" s="953"/>
      <c r="V68" s="954"/>
      <c r="W68" s="954"/>
      <c r="X68" s="955"/>
      <c r="Y68" s="2867">
        <f>'XM.GUI MAIL'!AR105</f>
        <v>61</v>
      </c>
      <c r="Z68" s="2867"/>
      <c r="AA68" s="2867">
        <f>'XM.FILE GOC'!AU105</f>
        <v>60</v>
      </c>
      <c r="AB68" s="2867"/>
      <c r="AC68" s="953"/>
      <c r="AD68" s="954"/>
      <c r="AE68" s="954"/>
      <c r="AF68" s="955"/>
      <c r="AG68" s="79"/>
    </row>
    <row r="69" spans="1:38" ht="49.5" customHeight="1">
      <c r="A69" s="1439">
        <v>3</v>
      </c>
      <c r="B69" s="2965" t="s">
        <v>968</v>
      </c>
      <c r="C69" s="2966"/>
      <c r="D69" s="2966"/>
      <c r="E69" s="2967"/>
      <c r="F69" s="1011" t="s">
        <v>966</v>
      </c>
      <c r="G69" s="929" t="str">
        <f>'XM.FILE GOC'!$E$106</f>
        <v>50~70</v>
      </c>
      <c r="H69" s="2427" t="str">
        <f>'XM.FILE GOC'!$F$106</f>
        <v>(60±5)</v>
      </c>
      <c r="I69" s="2867">
        <f>'XM.GUI MAIL'!AD106</f>
        <v>60</v>
      </c>
      <c r="J69" s="2867"/>
      <c r="K69" s="2867">
        <f>'XM.FILE GOC'!AG106</f>
        <v>59</v>
      </c>
      <c r="L69" s="2964"/>
      <c r="M69" s="953"/>
      <c r="N69" s="954"/>
      <c r="O69" s="954"/>
      <c r="P69" s="955"/>
      <c r="Q69" s="2934">
        <v>61</v>
      </c>
      <c r="R69" s="2867"/>
      <c r="S69" s="2867">
        <v>60</v>
      </c>
      <c r="T69" s="2867"/>
      <c r="U69" s="953"/>
      <c r="V69" s="954"/>
      <c r="W69" s="954"/>
      <c r="X69" s="955"/>
      <c r="Y69" s="2867">
        <f>'XM.GUI MAIL'!AR106</f>
        <v>61</v>
      </c>
      <c r="Z69" s="2867"/>
      <c r="AA69" s="2867">
        <f>'XM.FILE GOC'!AU106</f>
        <v>60</v>
      </c>
      <c r="AB69" s="2867"/>
      <c r="AC69" s="953"/>
      <c r="AD69" s="954"/>
      <c r="AE69" s="954"/>
      <c r="AF69" s="955"/>
      <c r="AG69" s="79"/>
    </row>
    <row r="70" spans="1:38" ht="49.5" customHeight="1">
      <c r="A70" s="1439">
        <v>4</v>
      </c>
      <c r="B70" s="2965" t="s">
        <v>969</v>
      </c>
      <c r="C70" s="2966"/>
      <c r="D70" s="2966"/>
      <c r="E70" s="2967"/>
      <c r="F70" s="1011" t="s">
        <v>966</v>
      </c>
      <c r="G70" s="929" t="str">
        <f>'XM.FILE GOC'!$E$107</f>
        <v>50~70</v>
      </c>
      <c r="H70" s="2427" t="str">
        <f>'XM.FILE GOC'!$F$107</f>
        <v>(60±5)</v>
      </c>
      <c r="I70" s="2867">
        <f>'XM.GUI MAIL'!AD107</f>
        <v>62</v>
      </c>
      <c r="J70" s="2867"/>
      <c r="K70" s="2867">
        <f>'XM.FILE GOC'!AG107</f>
        <v>61</v>
      </c>
      <c r="L70" s="2964"/>
      <c r="M70" s="953"/>
      <c r="N70" s="954"/>
      <c r="O70" s="954"/>
      <c r="P70" s="955"/>
      <c r="Q70" s="2934">
        <v>61</v>
      </c>
      <c r="R70" s="2867"/>
      <c r="S70" s="2867">
        <v>60</v>
      </c>
      <c r="T70" s="2867"/>
      <c r="U70" s="953"/>
      <c r="V70" s="954"/>
      <c r="W70" s="954"/>
      <c r="X70" s="955"/>
      <c r="Y70" s="2867">
        <f>'XM.GUI MAIL'!AR107</f>
        <v>61</v>
      </c>
      <c r="Z70" s="2867"/>
      <c r="AA70" s="2867">
        <f>'XM.FILE GOC'!AU107</f>
        <v>60</v>
      </c>
      <c r="AB70" s="2867"/>
      <c r="AC70" s="953"/>
      <c r="AD70" s="954"/>
      <c r="AE70" s="954"/>
      <c r="AF70" s="955"/>
      <c r="AG70" s="79"/>
    </row>
    <row r="71" spans="1:38" ht="49.5" customHeight="1">
      <c r="A71" s="1439">
        <v>5</v>
      </c>
      <c r="B71" s="2965" t="s">
        <v>970</v>
      </c>
      <c r="C71" s="2966"/>
      <c r="D71" s="2966"/>
      <c r="E71" s="2967"/>
      <c r="F71" s="1011" t="s">
        <v>966</v>
      </c>
      <c r="G71" s="929" t="str">
        <f>'XM.FILE GOC'!$E$108</f>
        <v>22~28</v>
      </c>
      <c r="H71" s="2427" t="str">
        <f>'XM.FILE GOC'!$F$108</f>
        <v>(25±3)</v>
      </c>
      <c r="I71" s="2969">
        <f>'XM.GUI MAIL'!AD108</f>
        <v>26</v>
      </c>
      <c r="J71" s="2969"/>
      <c r="K71" s="2969">
        <f>'XM.FILE GOC'!AG108</f>
        <v>25</v>
      </c>
      <c r="L71" s="3016"/>
      <c r="M71" s="953"/>
      <c r="N71" s="954"/>
      <c r="O71" s="954"/>
      <c r="P71" s="955"/>
      <c r="Q71" s="2968">
        <v>26</v>
      </c>
      <c r="R71" s="2969"/>
      <c r="S71" s="2969">
        <v>25</v>
      </c>
      <c r="T71" s="2969"/>
      <c r="U71" s="953"/>
      <c r="V71" s="954"/>
      <c r="W71" s="954"/>
      <c r="X71" s="955"/>
      <c r="Y71" s="2969">
        <f>'XM.GUI MAIL'!AR108</f>
        <v>26</v>
      </c>
      <c r="Z71" s="2969"/>
      <c r="AA71" s="2969">
        <f>'XM.FILE GOC'!AU108</f>
        <v>25</v>
      </c>
      <c r="AB71" s="2969"/>
      <c r="AC71" s="953"/>
      <c r="AD71" s="954"/>
      <c r="AE71" s="954"/>
      <c r="AF71" s="955"/>
      <c r="AG71" s="79"/>
    </row>
    <row r="72" spans="1:38" ht="49.5" customHeight="1">
      <c r="A72" s="1439">
        <v>6</v>
      </c>
      <c r="B72" s="2965" t="s">
        <v>971</v>
      </c>
      <c r="C72" s="2966"/>
      <c r="D72" s="2966"/>
      <c r="E72" s="2967"/>
      <c r="F72" s="1011" t="s">
        <v>966</v>
      </c>
      <c r="G72" s="929" t="str">
        <f>'XM.FILE GOC'!$E$109</f>
        <v>30~40</v>
      </c>
      <c r="H72" s="2427" t="str">
        <f>'XM.FILE GOC'!$F$109</f>
        <v>(34±3)</v>
      </c>
      <c r="I72" s="2867">
        <f>'XM.GUI MAIL'!AD109</f>
        <v>34</v>
      </c>
      <c r="J72" s="2867"/>
      <c r="K72" s="2867">
        <f>'XM.FILE GOC'!AG109</f>
        <v>33</v>
      </c>
      <c r="L72" s="2964"/>
      <c r="M72" s="953"/>
      <c r="N72" s="954"/>
      <c r="O72" s="954"/>
      <c r="P72" s="955"/>
      <c r="Q72" s="2934">
        <v>34</v>
      </c>
      <c r="R72" s="2867"/>
      <c r="S72" s="2867">
        <v>33</v>
      </c>
      <c r="T72" s="2867"/>
      <c r="U72" s="953"/>
      <c r="V72" s="954"/>
      <c r="W72" s="954"/>
      <c r="X72" s="955"/>
      <c r="Y72" s="2867">
        <f>'XM.GUI MAIL'!AR109</f>
        <v>34</v>
      </c>
      <c r="Z72" s="2867"/>
      <c r="AA72" s="2867">
        <f>'XM.FILE GOC'!AU109</f>
        <v>33</v>
      </c>
      <c r="AB72" s="2867"/>
      <c r="AC72" s="953"/>
      <c r="AD72" s="954"/>
      <c r="AE72" s="954"/>
      <c r="AF72" s="955"/>
      <c r="AG72" s="79"/>
      <c r="AH72" s="1667"/>
      <c r="AI72" s="1666" t="s">
        <v>1452</v>
      </c>
      <c r="AJ72" s="977"/>
      <c r="AK72" s="977"/>
      <c r="AL72" s="977"/>
    </row>
    <row r="73" spans="1:38" ht="49.5" customHeight="1">
      <c r="A73" s="1439">
        <v>7</v>
      </c>
      <c r="B73" s="2965" t="s">
        <v>972</v>
      </c>
      <c r="C73" s="2966"/>
      <c r="D73" s="2966"/>
      <c r="E73" s="2967"/>
      <c r="F73" s="1011" t="s">
        <v>966</v>
      </c>
      <c r="G73" s="929" t="str">
        <f>'XM.FILE GOC'!$E$110</f>
        <v>55~65</v>
      </c>
      <c r="H73" s="2427" t="str">
        <f>'XM.FILE GOC'!$F$110</f>
        <v>(60±5)</v>
      </c>
      <c r="I73" s="2867">
        <f>'XM.GUI MAIL'!AD110</f>
        <v>61</v>
      </c>
      <c r="J73" s="2867"/>
      <c r="K73" s="2867">
        <f>'XM.FILE GOC'!AG110</f>
        <v>60</v>
      </c>
      <c r="L73" s="2964"/>
      <c r="M73" s="953"/>
      <c r="N73" s="954"/>
      <c r="O73" s="954"/>
      <c r="P73" s="955"/>
      <c r="Q73" s="2934">
        <v>61</v>
      </c>
      <c r="R73" s="2867"/>
      <c r="S73" s="2867">
        <v>60</v>
      </c>
      <c r="T73" s="2867"/>
      <c r="U73" s="953"/>
      <c r="V73" s="954"/>
      <c r="W73" s="954"/>
      <c r="X73" s="955"/>
      <c r="Y73" s="2867">
        <f>'XM.GUI MAIL'!AR110</f>
        <v>59</v>
      </c>
      <c r="Z73" s="2867"/>
      <c r="AA73" s="2867">
        <f>'XM.FILE GOC'!AU110</f>
        <v>58</v>
      </c>
      <c r="AB73" s="2867"/>
      <c r="AC73" s="953"/>
      <c r="AD73" s="954"/>
      <c r="AE73" s="954"/>
      <c r="AF73" s="955"/>
      <c r="AG73" s="79"/>
    </row>
    <row r="74" spans="1:38" ht="49.5" customHeight="1">
      <c r="A74" s="1439">
        <v>8</v>
      </c>
      <c r="B74" s="2965" t="s">
        <v>973</v>
      </c>
      <c r="C74" s="2966"/>
      <c r="D74" s="2966"/>
      <c r="E74" s="2967"/>
      <c r="F74" s="1011" t="s">
        <v>966</v>
      </c>
      <c r="G74" s="929" t="str">
        <f>'XM.FILE GOC'!$E$111</f>
        <v>80~100</v>
      </c>
      <c r="H74" s="2427" t="str">
        <f>'XM.FILE GOC'!$F$111</f>
        <v>(90±5)</v>
      </c>
      <c r="I74" s="3008" t="s">
        <v>48</v>
      </c>
      <c r="J74" s="3008"/>
      <c r="K74" s="2867">
        <f>'XM.FILE GOC'!AG111</f>
        <v>92</v>
      </c>
      <c r="L74" s="2964"/>
      <c r="M74" s="953"/>
      <c r="N74" s="954"/>
      <c r="O74" s="954"/>
      <c r="P74" s="955"/>
      <c r="Q74" s="3001" t="s">
        <v>48</v>
      </c>
      <c r="R74" s="3008"/>
      <c r="S74" s="2867">
        <v>91</v>
      </c>
      <c r="T74" s="2867"/>
      <c r="U74" s="953"/>
      <c r="V74" s="954"/>
      <c r="W74" s="954"/>
      <c r="X74" s="955"/>
      <c r="Y74" s="3008" t="s">
        <v>48</v>
      </c>
      <c r="Z74" s="3008"/>
      <c r="AA74" s="2867">
        <f>'XM.FILE GOC'!AU111</f>
        <v>92</v>
      </c>
      <c r="AB74" s="2867"/>
      <c r="AC74" s="953"/>
      <c r="AD74" s="954"/>
      <c r="AE74" s="954"/>
      <c r="AF74" s="955"/>
      <c r="AG74" s="79"/>
    </row>
    <row r="75" spans="1:38" ht="49.5" customHeight="1">
      <c r="A75" s="1439">
        <v>9</v>
      </c>
      <c r="B75" s="3005" t="s">
        <v>1303</v>
      </c>
      <c r="C75" s="3006"/>
      <c r="D75" s="3006"/>
      <c r="E75" s="3007"/>
      <c r="F75" s="1011" t="s">
        <v>966</v>
      </c>
      <c r="G75" s="929" t="str">
        <f>'XM.FILE GOC'!$E$112</f>
        <v>40~60</v>
      </c>
      <c r="H75" s="2427" t="str">
        <f>'XM.FILE GOC'!$F$112</f>
        <v>(50±10)</v>
      </c>
      <c r="I75" s="3004">
        <f>'XM.FILE GOC'!AD112</f>
        <v>54</v>
      </c>
      <c r="J75" s="3004"/>
      <c r="K75" s="3004">
        <f>'XM.FILE GOC'!AG112</f>
        <v>53</v>
      </c>
      <c r="L75" s="3018"/>
      <c r="M75" s="953"/>
      <c r="N75" s="954"/>
      <c r="O75" s="954"/>
      <c r="P75" s="955"/>
      <c r="Q75" s="3003">
        <v>55</v>
      </c>
      <c r="R75" s="3004"/>
      <c r="S75" s="3004">
        <v>54</v>
      </c>
      <c r="T75" s="3004"/>
      <c r="U75" s="953"/>
      <c r="V75" s="954"/>
      <c r="W75" s="954"/>
      <c r="X75" s="955"/>
      <c r="Y75" s="3004">
        <f>'XM.FILE GOC'!AR112</f>
        <v>51</v>
      </c>
      <c r="Z75" s="3004"/>
      <c r="AA75" s="3004">
        <f>'XM.FILE GOC'!AU112</f>
        <v>50</v>
      </c>
      <c r="AB75" s="3004"/>
      <c r="AC75" s="953"/>
      <c r="AD75" s="954"/>
      <c r="AE75" s="954"/>
      <c r="AF75" s="955"/>
      <c r="AG75" s="927"/>
    </row>
    <row r="76" spans="1:38" ht="49.5" customHeight="1">
      <c r="A76" s="1439">
        <v>10</v>
      </c>
      <c r="B76" s="3005" t="s">
        <v>1305</v>
      </c>
      <c r="C76" s="3006"/>
      <c r="D76" s="3006"/>
      <c r="E76" s="3007"/>
      <c r="F76" s="1011" t="s">
        <v>966</v>
      </c>
      <c r="G76" s="929" t="str">
        <f>'XM.FILE GOC'!$E$113</f>
        <v>50~70</v>
      </c>
      <c r="H76" s="2427" t="str">
        <f>'XM.FILE GOC'!$F$113</f>
        <v>(60±10)</v>
      </c>
      <c r="I76" s="3004">
        <f>'XM.FILE GOC'!AD113</f>
        <v>61</v>
      </c>
      <c r="J76" s="3004"/>
      <c r="K76" s="3004">
        <f>'XM.FILE GOC'!AG113</f>
        <v>60</v>
      </c>
      <c r="L76" s="3018"/>
      <c r="M76" s="953"/>
      <c r="N76" s="954"/>
      <c r="O76" s="954"/>
      <c r="P76" s="955"/>
      <c r="Q76" s="3003">
        <v>61</v>
      </c>
      <c r="R76" s="3004"/>
      <c r="S76" s="3004">
        <v>61</v>
      </c>
      <c r="T76" s="3004"/>
      <c r="U76" s="953"/>
      <c r="V76" s="954"/>
      <c r="W76" s="954"/>
      <c r="X76" s="955"/>
      <c r="Y76" s="3004">
        <f>'XM.FILE GOC'!AR113</f>
        <v>59</v>
      </c>
      <c r="Z76" s="3004"/>
      <c r="AA76" s="3004">
        <f>'XM.FILE GOC'!AU113</f>
        <v>58</v>
      </c>
      <c r="AB76" s="3004"/>
      <c r="AC76" s="953"/>
      <c r="AD76" s="954"/>
      <c r="AE76" s="954"/>
      <c r="AF76" s="955"/>
      <c r="AG76" s="927"/>
    </row>
    <row r="77" spans="1:38" ht="49.5" hidden="1" customHeight="1">
      <c r="A77" s="2399">
        <v>11</v>
      </c>
      <c r="B77" s="3013" t="s">
        <v>992</v>
      </c>
      <c r="C77" s="3014"/>
      <c r="D77" s="3014"/>
      <c r="E77" s="3015"/>
      <c r="F77" s="11" t="s">
        <v>26</v>
      </c>
      <c r="G77" s="1045" t="str">
        <f>'XM.GUI MAIL'!$E$114</f>
        <v>20~30</v>
      </c>
      <c r="H77" s="2431" t="str">
        <f>'XM.GUI MAIL'!$F$114</f>
        <v>20~30</v>
      </c>
      <c r="I77" s="2823">
        <f>'XM.FILE GOC'!AD114</f>
        <v>0</v>
      </c>
      <c r="J77" s="2821"/>
      <c r="K77" s="2823">
        <f>'XM.FILE GOC'!AG114</f>
        <v>0</v>
      </c>
      <c r="L77" s="2824"/>
      <c r="M77" s="2401"/>
      <c r="N77" s="957"/>
      <c r="O77" s="957"/>
      <c r="P77" s="958"/>
      <c r="Q77" s="3019">
        <f>'XM.FILE GOC'!AK114</f>
        <v>0</v>
      </c>
      <c r="R77" s="2821"/>
      <c r="S77" s="2823">
        <f>'XM.FILE GOC'!AN114</f>
        <v>0</v>
      </c>
      <c r="T77" s="2821"/>
      <c r="U77" s="2401"/>
      <c r="V77" s="957"/>
      <c r="W77" s="957"/>
      <c r="X77" s="958"/>
      <c r="Y77" s="2823">
        <f>'XM.FILE GOC'!AR114</f>
        <v>0</v>
      </c>
      <c r="Z77" s="2821"/>
      <c r="AA77" s="3004">
        <f>'XM.FILE GOC'!AU114</f>
        <v>0</v>
      </c>
      <c r="AB77" s="3004"/>
      <c r="AC77" s="954"/>
      <c r="AD77" s="954"/>
      <c r="AE77" s="954"/>
      <c r="AF77" s="954"/>
      <c r="AG77" s="927"/>
    </row>
    <row r="78" spans="1:38" ht="36.75" customHeight="1">
      <c r="A78" s="1007"/>
      <c r="B78" s="3009" t="s">
        <v>1326</v>
      </c>
      <c r="C78" s="3010"/>
      <c r="D78" s="3010"/>
      <c r="E78" s="3010"/>
      <c r="F78" s="3010"/>
      <c r="G78" s="3010"/>
      <c r="H78" s="3010"/>
      <c r="I78" s="3010"/>
      <c r="J78" s="3010"/>
      <c r="K78" s="3010"/>
      <c r="L78" s="3010"/>
      <c r="M78" s="3017"/>
      <c r="N78" s="3017"/>
      <c r="O78" s="3017"/>
      <c r="P78" s="3017"/>
      <c r="Q78" s="3010"/>
      <c r="R78" s="3010"/>
      <c r="S78" s="3010"/>
      <c r="T78" s="3010"/>
      <c r="U78" s="3010"/>
      <c r="V78" s="3010"/>
      <c r="W78" s="3010"/>
      <c r="X78" s="3010"/>
      <c r="Y78" s="3010"/>
      <c r="Z78" s="3010"/>
      <c r="AA78" s="3010"/>
      <c r="AB78" s="3010"/>
      <c r="AC78" s="3010"/>
      <c r="AD78" s="3010"/>
      <c r="AE78" s="3010"/>
      <c r="AF78" s="3010"/>
      <c r="AG78" s="3012"/>
    </row>
    <row r="79" spans="1:38" ht="51.75" customHeight="1">
      <c r="A79" s="1007" t="s">
        <v>7</v>
      </c>
      <c r="B79" s="2965" t="s">
        <v>974</v>
      </c>
      <c r="C79" s="2966"/>
      <c r="D79" s="2966"/>
      <c r="E79" s="2967"/>
      <c r="F79" s="1010" t="s">
        <v>738</v>
      </c>
      <c r="G79" s="1010" t="s">
        <v>1325</v>
      </c>
      <c r="H79" s="2429" t="s">
        <v>1317</v>
      </c>
      <c r="I79" s="3002" t="s">
        <v>975</v>
      </c>
      <c r="J79" s="3000"/>
      <c r="K79" s="3000"/>
      <c r="L79" s="3001"/>
      <c r="M79" s="950"/>
      <c r="N79" s="951"/>
      <c r="O79" s="951"/>
      <c r="P79" s="952"/>
      <c r="Q79" s="3002" t="s">
        <v>975</v>
      </c>
      <c r="R79" s="3000"/>
      <c r="S79" s="3000"/>
      <c r="T79" s="3001"/>
      <c r="U79" s="950"/>
      <c r="V79" s="951"/>
      <c r="W79" s="951"/>
      <c r="X79" s="952"/>
      <c r="Y79" s="3002" t="s">
        <v>975</v>
      </c>
      <c r="Z79" s="3000"/>
      <c r="AA79" s="3000"/>
      <c r="AB79" s="3001"/>
      <c r="AC79" s="950"/>
      <c r="AD79" s="951"/>
      <c r="AE79" s="951"/>
      <c r="AF79" s="952"/>
      <c r="AG79" s="10"/>
    </row>
    <row r="80" spans="1:38" ht="60.75" customHeight="1">
      <c r="A80" s="1007">
        <v>1</v>
      </c>
      <c r="B80" s="2991" t="s">
        <v>1123</v>
      </c>
      <c r="C80" s="2992"/>
      <c r="D80" s="2992"/>
      <c r="E80" s="2993"/>
      <c r="F80" s="660" t="s">
        <v>49</v>
      </c>
      <c r="G80" s="929" t="str">
        <f>'XM.FILE GOC'!$E$119</f>
        <v>30~50 
(40)</v>
      </c>
      <c r="H80" s="2427" t="str">
        <f>'XM.FILE GOC'!$F$119</f>
        <v>30~50 
(40)</v>
      </c>
      <c r="I80" s="2831">
        <f>'XM.GUI MAIL'!AD119</f>
        <v>48</v>
      </c>
      <c r="J80" s="2832"/>
      <c r="K80" s="2832"/>
      <c r="L80" s="2832"/>
      <c r="M80" s="1361"/>
      <c r="N80" s="1362"/>
      <c r="O80" s="1362"/>
      <c r="P80" s="1363"/>
      <c r="Q80" s="2831">
        <v>49</v>
      </c>
      <c r="R80" s="2832"/>
      <c r="S80" s="2832"/>
      <c r="T80" s="2832"/>
      <c r="U80" s="1361"/>
      <c r="V80" s="1362"/>
      <c r="W80" s="1362"/>
      <c r="X80" s="1363"/>
      <c r="Y80" s="2831">
        <f>'XM.GUI MAIL'!AR119</f>
        <v>50</v>
      </c>
      <c r="Z80" s="2832"/>
      <c r="AA80" s="2832"/>
      <c r="AB80" s="2833"/>
      <c r="AC80" s="959"/>
      <c r="AD80" s="936"/>
      <c r="AE80" s="936"/>
      <c r="AF80" s="960"/>
      <c r="AG80" s="79"/>
    </row>
    <row r="81" spans="1:33" ht="60.75" customHeight="1">
      <c r="A81" s="1007">
        <v>2</v>
      </c>
      <c r="B81" s="2991" t="s">
        <v>227</v>
      </c>
      <c r="C81" s="2992"/>
      <c r="D81" s="2992"/>
      <c r="E81" s="2993"/>
      <c r="F81" s="660" t="s">
        <v>49</v>
      </c>
      <c r="G81" s="929" t="str">
        <f>'XM.FILE GOC'!$E$120</f>
        <v>160~220
(180)</v>
      </c>
      <c r="H81" s="2427" t="str">
        <f>'XM.FILE GOC'!$F$120</f>
        <v>160~220
(180)</v>
      </c>
      <c r="I81" s="2831">
        <f>'XM.GUI MAIL'!AD120</f>
        <v>175</v>
      </c>
      <c r="J81" s="2832"/>
      <c r="K81" s="2832"/>
      <c r="L81" s="2832"/>
      <c r="M81" s="1358"/>
      <c r="N81" s="1359"/>
      <c r="O81" s="1359"/>
      <c r="P81" s="1360"/>
      <c r="Q81" s="2831">
        <v>175</v>
      </c>
      <c r="R81" s="2832"/>
      <c r="S81" s="2832"/>
      <c r="T81" s="2832"/>
      <c r="U81" s="1358"/>
      <c r="V81" s="1359"/>
      <c r="W81" s="1359"/>
      <c r="X81" s="1360"/>
      <c r="Y81" s="2831">
        <f>'XM.GUI MAIL'!AR120</f>
        <v>175</v>
      </c>
      <c r="Z81" s="2832"/>
      <c r="AA81" s="2832"/>
      <c r="AB81" s="2833"/>
      <c r="AC81" s="961"/>
      <c r="AD81" s="962"/>
      <c r="AE81" s="962"/>
      <c r="AF81" s="963"/>
      <c r="AG81" s="79"/>
    </row>
  </sheetData>
  <sheetProtection selectLockedCells="1"/>
  <mergeCells count="304">
    <mergeCell ref="I36:J36"/>
    <mergeCell ref="K36:L36"/>
    <mergeCell ref="Q36:R36"/>
    <mergeCell ref="S36:T36"/>
    <mergeCell ref="Y36:Z36"/>
    <mergeCell ref="AA36:AB36"/>
    <mergeCell ref="I77:J77"/>
    <mergeCell ref="K77:L77"/>
    <mergeCell ref="Q77:R77"/>
    <mergeCell ref="S77:T77"/>
    <mergeCell ref="Y77:Z77"/>
    <mergeCell ref="AA77:AB77"/>
    <mergeCell ref="I76:J76"/>
    <mergeCell ref="K76:L76"/>
    <mergeCell ref="Q76:R76"/>
    <mergeCell ref="S76:T76"/>
    <mergeCell ref="Y76:Z76"/>
    <mergeCell ref="AA76:AB76"/>
    <mergeCell ref="I74:J74"/>
    <mergeCell ref="S73:T73"/>
    <mergeCell ref="Y73:Z73"/>
    <mergeCell ref="AA69:AB69"/>
    <mergeCell ref="AA67:AB67"/>
    <mergeCell ref="I35:J35"/>
    <mergeCell ref="K35:L35"/>
    <mergeCell ref="Q35:R35"/>
    <mergeCell ref="S35:T35"/>
    <mergeCell ref="Y35:Z35"/>
    <mergeCell ref="AA35:AB35"/>
    <mergeCell ref="B75:E75"/>
    <mergeCell ref="I75:J75"/>
    <mergeCell ref="K75:L75"/>
    <mergeCell ref="Q75:R75"/>
    <mergeCell ref="S75:T75"/>
    <mergeCell ref="Y75:Z75"/>
    <mergeCell ref="AA75:AB75"/>
    <mergeCell ref="AA73:AB73"/>
    <mergeCell ref="K74:L74"/>
    <mergeCell ref="Q74:R74"/>
    <mergeCell ref="S74:T74"/>
    <mergeCell ref="Y74:Z74"/>
    <mergeCell ref="AA74:AB74"/>
    <mergeCell ref="B73:E73"/>
    <mergeCell ref="I73:J73"/>
    <mergeCell ref="K73:L73"/>
    <mergeCell ref="Q73:R73"/>
    <mergeCell ref="B36:E36"/>
    <mergeCell ref="AD2:AE2"/>
    <mergeCell ref="AF2:AG2"/>
    <mergeCell ref="AD3:AE3"/>
    <mergeCell ref="AF3:AG3"/>
    <mergeCell ref="M45:P45"/>
    <mergeCell ref="N46:P46"/>
    <mergeCell ref="U45:X45"/>
    <mergeCell ref="V46:X46"/>
    <mergeCell ref="AC45:AF45"/>
    <mergeCell ref="AD46:AF46"/>
    <mergeCell ref="AD43:AE43"/>
    <mergeCell ref="AF43:AG43"/>
    <mergeCell ref="AD44:AE44"/>
    <mergeCell ref="AF44:AG44"/>
    <mergeCell ref="AA44:AB44"/>
    <mergeCell ref="AA32:AB32"/>
    <mergeCell ref="AA30:AB30"/>
    <mergeCell ref="AA28:AB28"/>
    <mergeCell ref="AA26:AB26"/>
    <mergeCell ref="A42:Z42"/>
    <mergeCell ref="A43:Z43"/>
    <mergeCell ref="AA43:AB43"/>
    <mergeCell ref="I3:L3"/>
    <mergeCell ref="I44:L44"/>
    <mergeCell ref="B81:E81"/>
    <mergeCell ref="I81:L81"/>
    <mergeCell ref="Q81:T81"/>
    <mergeCell ref="Y81:AB81"/>
    <mergeCell ref="B78:AG78"/>
    <mergeCell ref="B79:E79"/>
    <mergeCell ref="I79:L79"/>
    <mergeCell ref="Q79:T79"/>
    <mergeCell ref="Y79:AB79"/>
    <mergeCell ref="B80:E80"/>
    <mergeCell ref="I80:L80"/>
    <mergeCell ref="Q80:T80"/>
    <mergeCell ref="Y80:AB80"/>
    <mergeCell ref="B77:E77"/>
    <mergeCell ref="B76:E76"/>
    <mergeCell ref="B74:E74"/>
    <mergeCell ref="AA71:AB71"/>
    <mergeCell ref="B72:E72"/>
    <mergeCell ref="I72:J72"/>
    <mergeCell ref="K72:L72"/>
    <mergeCell ref="Q72:R72"/>
    <mergeCell ref="S72:T72"/>
    <mergeCell ref="Y72:Z72"/>
    <mergeCell ref="AA72:AB72"/>
    <mergeCell ref="B71:E71"/>
    <mergeCell ref="I71:J71"/>
    <mergeCell ref="K71:L71"/>
    <mergeCell ref="Q71:R71"/>
    <mergeCell ref="S71:T71"/>
    <mergeCell ref="Y71:Z71"/>
    <mergeCell ref="B70:E70"/>
    <mergeCell ref="I70:J70"/>
    <mergeCell ref="K70:L70"/>
    <mergeCell ref="Q70:R70"/>
    <mergeCell ref="S70:T70"/>
    <mergeCell ref="Y70:Z70"/>
    <mergeCell ref="AA70:AB70"/>
    <mergeCell ref="B69:E69"/>
    <mergeCell ref="I69:J69"/>
    <mergeCell ref="K69:L69"/>
    <mergeCell ref="Q69:R69"/>
    <mergeCell ref="S69:T69"/>
    <mergeCell ref="Y69:Z69"/>
    <mergeCell ref="B68:E68"/>
    <mergeCell ref="I68:J68"/>
    <mergeCell ref="K68:L68"/>
    <mergeCell ref="Q68:R68"/>
    <mergeCell ref="S68:T68"/>
    <mergeCell ref="Y68:Z68"/>
    <mergeCell ref="AA68:AB68"/>
    <mergeCell ref="B67:E67"/>
    <mergeCell ref="I67:J67"/>
    <mergeCell ref="K67:L67"/>
    <mergeCell ref="Q67:R67"/>
    <mergeCell ref="S67:T67"/>
    <mergeCell ref="Y67:Z67"/>
    <mergeCell ref="B62:E62"/>
    <mergeCell ref="B65:AG65"/>
    <mergeCell ref="B66:E66"/>
    <mergeCell ref="I66:J66"/>
    <mergeCell ref="K66:L66"/>
    <mergeCell ref="Q66:R66"/>
    <mergeCell ref="S66:T66"/>
    <mergeCell ref="Y66:Z66"/>
    <mergeCell ref="AA66:AB66"/>
    <mergeCell ref="B63:E64"/>
    <mergeCell ref="B60:E60"/>
    <mergeCell ref="B61:E61"/>
    <mergeCell ref="A53:A54"/>
    <mergeCell ref="B53:C54"/>
    <mergeCell ref="D53:E53"/>
    <mergeCell ref="D54:E54"/>
    <mergeCell ref="A55:A56"/>
    <mergeCell ref="B55:B56"/>
    <mergeCell ref="C55:E55"/>
    <mergeCell ref="C56:E56"/>
    <mergeCell ref="F45:F46"/>
    <mergeCell ref="G45:G46"/>
    <mergeCell ref="I45:L45"/>
    <mergeCell ref="Q45:T45"/>
    <mergeCell ref="Y45:AB45"/>
    <mergeCell ref="A57:A58"/>
    <mergeCell ref="B57:D58"/>
    <mergeCell ref="E57:E58"/>
    <mergeCell ref="B59:E59"/>
    <mergeCell ref="A49:A50"/>
    <mergeCell ref="B49:C50"/>
    <mergeCell ref="D49:E49"/>
    <mergeCell ref="D50:E50"/>
    <mergeCell ref="A51:A52"/>
    <mergeCell ref="B51:C52"/>
    <mergeCell ref="D51:E51"/>
    <mergeCell ref="D52:E52"/>
    <mergeCell ref="H45:H46"/>
    <mergeCell ref="B35:E35"/>
    <mergeCell ref="B40:E40"/>
    <mergeCell ref="A47:A48"/>
    <mergeCell ref="B47:C48"/>
    <mergeCell ref="D47:E47"/>
    <mergeCell ref="D48:E48"/>
    <mergeCell ref="A45:A46"/>
    <mergeCell ref="B45:E46"/>
    <mergeCell ref="B39:E39"/>
    <mergeCell ref="B37:AG37"/>
    <mergeCell ref="B38:E38"/>
    <mergeCell ref="I40:L40"/>
    <mergeCell ref="Q40:T40"/>
    <mergeCell ref="Y40:AB40"/>
    <mergeCell ref="I38:L38"/>
    <mergeCell ref="Q38:T38"/>
    <mergeCell ref="AG45:AG46"/>
    <mergeCell ref="J46:L46"/>
    <mergeCell ref="R46:T46"/>
    <mergeCell ref="Z46:AB46"/>
    <mergeCell ref="Y38:AB38"/>
    <mergeCell ref="I39:L39"/>
    <mergeCell ref="Q39:T39"/>
    <mergeCell ref="Y39:AB39"/>
    <mergeCell ref="Q30:R30"/>
    <mergeCell ref="S30:T30"/>
    <mergeCell ref="Y30:Z30"/>
    <mergeCell ref="B33:E33"/>
    <mergeCell ref="I33:J33"/>
    <mergeCell ref="K33:L33"/>
    <mergeCell ref="Q33:R33"/>
    <mergeCell ref="S33:T33"/>
    <mergeCell ref="Y33:Z33"/>
    <mergeCell ref="B31:E31"/>
    <mergeCell ref="I31:J31"/>
    <mergeCell ref="K31:L31"/>
    <mergeCell ref="Q31:R31"/>
    <mergeCell ref="S31:T31"/>
    <mergeCell ref="Y31:Z31"/>
    <mergeCell ref="Q32:R32"/>
    <mergeCell ref="S32:T32"/>
    <mergeCell ref="Y32:Z32"/>
    <mergeCell ref="AA33:AB33"/>
    <mergeCell ref="B32:E32"/>
    <mergeCell ref="I32:J32"/>
    <mergeCell ref="K32:L32"/>
    <mergeCell ref="I34:J34"/>
    <mergeCell ref="K34:L34"/>
    <mergeCell ref="Q34:R34"/>
    <mergeCell ref="S34:T34"/>
    <mergeCell ref="Y34:Z34"/>
    <mergeCell ref="B34:E34"/>
    <mergeCell ref="AA34:AB34"/>
    <mergeCell ref="B29:E29"/>
    <mergeCell ref="I29:J29"/>
    <mergeCell ref="K29:L29"/>
    <mergeCell ref="Q29:R29"/>
    <mergeCell ref="S29:T29"/>
    <mergeCell ref="Y29:Z29"/>
    <mergeCell ref="AA29:AB29"/>
    <mergeCell ref="B28:E28"/>
    <mergeCell ref="I28:J28"/>
    <mergeCell ref="K28:L28"/>
    <mergeCell ref="Q28:R28"/>
    <mergeCell ref="S28:T28"/>
    <mergeCell ref="Y28:Z28"/>
    <mergeCell ref="B27:E27"/>
    <mergeCell ref="I27:J27"/>
    <mergeCell ref="K27:L27"/>
    <mergeCell ref="Q27:R27"/>
    <mergeCell ref="S27:T27"/>
    <mergeCell ref="Y27:Z27"/>
    <mergeCell ref="AA27:AB27"/>
    <mergeCell ref="B26:E26"/>
    <mergeCell ref="I26:J26"/>
    <mergeCell ref="K26:L26"/>
    <mergeCell ref="Q26:R26"/>
    <mergeCell ref="S26:T26"/>
    <mergeCell ref="Y26:Z26"/>
    <mergeCell ref="B21:E21"/>
    <mergeCell ref="B24:AG24"/>
    <mergeCell ref="B25:E25"/>
    <mergeCell ref="I25:J25"/>
    <mergeCell ref="K25:L25"/>
    <mergeCell ref="Q25:R25"/>
    <mergeCell ref="S25:T25"/>
    <mergeCell ref="Y25:Z25"/>
    <mergeCell ref="AA25:AB25"/>
    <mergeCell ref="B22:E23"/>
    <mergeCell ref="B18:E18"/>
    <mergeCell ref="B19:E19"/>
    <mergeCell ref="B20:E20"/>
    <mergeCell ref="A12:A13"/>
    <mergeCell ref="B12:C13"/>
    <mergeCell ref="D12:E12"/>
    <mergeCell ref="D13:E13"/>
    <mergeCell ref="A14:A15"/>
    <mergeCell ref="C14:E14"/>
    <mergeCell ref="C15:E15"/>
    <mergeCell ref="B14:B15"/>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AA31:AB31"/>
    <mergeCell ref="B30:E30"/>
    <mergeCell ref="I30:J30"/>
    <mergeCell ref="K30:L30"/>
    <mergeCell ref="A1:Z1"/>
    <mergeCell ref="A2:Z2"/>
    <mergeCell ref="A4:A5"/>
    <mergeCell ref="B4:E5"/>
    <mergeCell ref="F4:F5"/>
    <mergeCell ref="G4:G5"/>
    <mergeCell ref="I4:L4"/>
    <mergeCell ref="Q4:T4"/>
    <mergeCell ref="Y4:AB4"/>
    <mergeCell ref="A8:A9"/>
    <mergeCell ref="B8:C9"/>
    <mergeCell ref="D8:E8"/>
    <mergeCell ref="D9:E9"/>
    <mergeCell ref="A10:A11"/>
    <mergeCell ref="B10:C11"/>
    <mergeCell ref="D10:E10"/>
    <mergeCell ref="D11:E11"/>
    <mergeCell ref="A16:A17"/>
    <mergeCell ref="B16:D17"/>
    <mergeCell ref="E16:E17"/>
  </mergeCells>
  <phoneticPr fontId="7" type="noConversion"/>
  <conditionalFormatting sqref="I39 Y39 Q39">
    <cfRule type="expression" dxfId="4739" priority="2047">
      <formula>I39&lt;30</formula>
    </cfRule>
    <cfRule type="expression" dxfId="4738" priority="2048">
      <formula>I39&gt;50</formula>
    </cfRule>
  </conditionalFormatting>
  <conditionalFormatting sqref="Y40 Q40 I40">
    <cfRule type="expression" dxfId="4737" priority="2045">
      <formula>I40&lt;160</formula>
    </cfRule>
    <cfRule type="expression" dxfId="4736" priority="2046">
      <formula>I40&gt;220</formula>
    </cfRule>
  </conditionalFormatting>
  <conditionalFormatting sqref="I80">
    <cfRule type="expression" dxfId="4735" priority="2035">
      <formula>I80&lt;30</formula>
    </cfRule>
    <cfRule type="expression" dxfId="4734" priority="2036">
      <formula>I80&gt;50</formula>
    </cfRule>
  </conditionalFormatting>
  <conditionalFormatting sqref="I81">
    <cfRule type="expression" dxfId="4733" priority="2033">
      <formula>I81&lt;160</formula>
    </cfRule>
    <cfRule type="expression" dxfId="4732" priority="2034">
      <formula>I81&gt;220</formula>
    </cfRule>
  </conditionalFormatting>
  <conditionalFormatting sqref="Y80">
    <cfRule type="expression" dxfId="4731" priority="2031">
      <formula>Y80&lt;30</formula>
    </cfRule>
    <cfRule type="expression" dxfId="4730" priority="2032">
      <formula>Y80&gt;50</formula>
    </cfRule>
  </conditionalFormatting>
  <conditionalFormatting sqref="Y81">
    <cfRule type="expression" dxfId="4729" priority="2029">
      <formula>Y81&lt;160</formula>
    </cfRule>
    <cfRule type="expression" dxfId="4728" priority="2030">
      <formula>Y81&gt;220</formula>
    </cfRule>
  </conditionalFormatting>
  <conditionalFormatting sqref="Q80">
    <cfRule type="expression" dxfId="4727" priority="2027">
      <formula>Q80&lt;30</formula>
    </cfRule>
    <cfRule type="expression" dxfId="4726" priority="2028">
      <formula>Q80&gt;50</formula>
    </cfRule>
  </conditionalFormatting>
  <conditionalFormatting sqref="Q81">
    <cfRule type="expression" dxfId="4725" priority="2025">
      <formula>Q81&lt;160</formula>
    </cfRule>
    <cfRule type="expression" dxfId="4724" priority="2026">
      <formula>Q81&gt;220</formula>
    </cfRule>
  </conditionalFormatting>
  <conditionalFormatting sqref="I71:L71 Q71:T71 Y71:AB71 I30:L30 Q30:T30 Y30:AB30">
    <cfRule type="expression" dxfId="4723" priority="573">
      <formula>I30&lt;22</formula>
    </cfRule>
    <cfRule type="expression" dxfId="4722" priority="574">
      <formula>I30&gt;28</formula>
    </cfRule>
  </conditionalFormatting>
  <conditionalFormatting sqref="I67:L70 Q67:T70 Y67:AB70 I26:L29 Q26:T29 Y26:AB29">
    <cfRule type="cellIs" dxfId="4721" priority="569" operator="between">
      <formula>50</formula>
      <formula>54.9</formula>
    </cfRule>
    <cfRule type="cellIs" dxfId="4720" priority="570" operator="between">
      <formula>65.1</formula>
      <formula>70</formula>
    </cfRule>
    <cfRule type="expression" dxfId="4719" priority="571">
      <formula>I26&lt;50</formula>
    </cfRule>
    <cfRule type="expression" dxfId="4718" priority="572">
      <formula>I26&gt;70</formula>
    </cfRule>
  </conditionalFormatting>
  <conditionalFormatting sqref="K72 I72 S72 Q72 AA72 Y72 K31 I31 S31 Q31 AA31 Y31">
    <cfRule type="cellIs" dxfId="4717" priority="565" operator="between">
      <formula>30</formula>
      <formula>30.9</formula>
    </cfRule>
    <cfRule type="cellIs" dxfId="4716" priority="566" operator="between">
      <formula>37.1</formula>
      <formula>40</formula>
    </cfRule>
    <cfRule type="expression" dxfId="4715" priority="567">
      <formula>I31&lt;30</formula>
    </cfRule>
    <cfRule type="expression" dxfId="4714" priority="568">
      <formula>I31&gt;40</formula>
    </cfRule>
  </conditionalFormatting>
  <conditionalFormatting sqref="K73 I73 S73 Q73 AA73 Y73 K32 I32 S32 Q32 AA32 Y32">
    <cfRule type="expression" dxfId="4713" priority="563">
      <formula>I32&lt;55</formula>
    </cfRule>
    <cfRule type="expression" dxfId="4712" priority="564">
      <formula>I32&gt;65</formula>
    </cfRule>
  </conditionalFormatting>
  <conditionalFormatting sqref="K74 S74 AA74 K33 S33 AA33">
    <cfRule type="cellIs" dxfId="4711" priority="559" operator="between">
      <formula>80</formula>
      <formula>84.9</formula>
    </cfRule>
    <cfRule type="cellIs" dxfId="4710" priority="560" operator="between">
      <formula>95.1</formula>
      <formula>100</formula>
    </cfRule>
    <cfRule type="expression" dxfId="4709" priority="561">
      <formula>K33&lt;80</formula>
    </cfRule>
    <cfRule type="expression" dxfId="4708" priority="562">
      <formula>K33&gt;100</formula>
    </cfRule>
  </conditionalFormatting>
  <conditionalFormatting sqref="K75 K34 I34 S34 Q34 AA34 Y34">
    <cfRule type="expression" dxfId="4707" priority="557">
      <formula>I34&lt;40</formula>
    </cfRule>
    <cfRule type="expression" dxfId="4706" priority="558">
      <formula>I34&gt;60</formula>
    </cfRule>
  </conditionalFormatting>
  <conditionalFormatting sqref="K76 I35 S35 Q35 AA35 Y35 K35">
    <cfRule type="expression" dxfId="4705" priority="555">
      <formula>I35&lt;50</formula>
    </cfRule>
    <cfRule type="expression" dxfId="4704" priority="556">
      <formula>I35&gt;70</formula>
    </cfRule>
  </conditionalFormatting>
  <conditionalFormatting sqref="I75">
    <cfRule type="expression" dxfId="4703" priority="533">
      <formula>I75&lt;40</formula>
    </cfRule>
    <cfRule type="expression" dxfId="4702" priority="534">
      <formula>I75&gt;60</formula>
    </cfRule>
  </conditionalFormatting>
  <conditionalFormatting sqref="I76">
    <cfRule type="expression" dxfId="4701" priority="531">
      <formula>I76&lt;50</formula>
    </cfRule>
    <cfRule type="expression" dxfId="4700" priority="532">
      <formula>I76&gt;70</formula>
    </cfRule>
  </conditionalFormatting>
  <conditionalFormatting sqref="S75">
    <cfRule type="expression" dxfId="4699" priority="509">
      <formula>S75&lt;40</formula>
    </cfRule>
    <cfRule type="expression" dxfId="4698" priority="510">
      <formula>S75&gt;60</formula>
    </cfRule>
  </conditionalFormatting>
  <conditionalFormatting sqref="S76">
    <cfRule type="expression" dxfId="4697" priority="507">
      <formula>S76&lt;50</formula>
    </cfRule>
    <cfRule type="expression" dxfId="4696" priority="508">
      <formula>S76&gt;70</formula>
    </cfRule>
  </conditionalFormatting>
  <conditionalFormatting sqref="Q75">
    <cfRule type="expression" dxfId="4695" priority="489">
      <formula>Q75&lt;40</formula>
    </cfRule>
    <cfRule type="expression" dxfId="4694" priority="490">
      <formula>Q75&gt;60</formula>
    </cfRule>
  </conditionalFormatting>
  <conditionalFormatting sqref="Q76">
    <cfRule type="expression" dxfId="4693" priority="487">
      <formula>Q76&lt;50</formula>
    </cfRule>
    <cfRule type="expression" dxfId="4692" priority="488">
      <formula>Q76&gt;70</formula>
    </cfRule>
  </conditionalFormatting>
  <conditionalFormatting sqref="AA75">
    <cfRule type="expression" dxfId="4691" priority="465">
      <formula>AA75&lt;40</formula>
    </cfRule>
    <cfRule type="expression" dxfId="4690" priority="466">
      <formula>AA75&gt;60</formula>
    </cfRule>
  </conditionalFormatting>
  <conditionalFormatting sqref="AA76">
    <cfRule type="expression" dxfId="4689" priority="463">
      <formula>AA76&lt;50</formula>
    </cfRule>
    <cfRule type="expression" dxfId="4688" priority="464">
      <formula>AA76&gt;70</formula>
    </cfRule>
  </conditionalFormatting>
  <conditionalFormatting sqref="Y75">
    <cfRule type="expression" dxfId="4687" priority="445">
      <formula>Y75&lt;40</formula>
    </cfRule>
    <cfRule type="expression" dxfId="4686" priority="446">
      <formula>Y75&gt;60</formula>
    </cfRule>
  </conditionalFormatting>
  <conditionalFormatting sqref="Y76">
    <cfRule type="expression" dxfId="4685" priority="443">
      <formula>Y76&lt;50</formula>
    </cfRule>
    <cfRule type="expression" dxfId="4684" priority="444">
      <formula>Y76&gt;70</formula>
    </cfRule>
  </conditionalFormatting>
  <conditionalFormatting sqref="I55 Q55 Y55 I14 Q14 Y14">
    <cfRule type="expression" dxfId="4683" priority="306" stopIfTrue="1">
      <formula>I14&lt;135</formula>
    </cfRule>
  </conditionalFormatting>
  <conditionalFormatting sqref="I55 Q55 Y55 I14 Q14 Y14">
    <cfRule type="expression" dxfId="4682" priority="305" stopIfTrue="1">
      <formula>I14&gt;145</formula>
    </cfRule>
  </conditionalFormatting>
  <conditionalFormatting sqref="I57 Q57 Y57 I16 Q16 Y16">
    <cfRule type="cellIs" dxfId="4681" priority="300" operator="between">
      <formula>7.01</formula>
      <formula>8</formula>
    </cfRule>
    <cfRule type="expression" dxfId="4680" priority="301">
      <formula>I16&lt;5</formula>
    </cfRule>
    <cfRule type="expression" dxfId="4679" priority="302">
      <formula>I16&gt;8</formula>
    </cfRule>
  </conditionalFormatting>
  <conditionalFormatting sqref="I61 Q61 Y61 I20 Q20 Y20">
    <cfRule type="expression" dxfId="4678" priority="296">
      <formula>I20&lt;10%</formula>
    </cfRule>
    <cfRule type="expression" dxfId="4677" priority="297">
      <formula>I20&gt;20%</formula>
    </cfRule>
  </conditionalFormatting>
  <conditionalFormatting sqref="I51 I53 Q51 Q53 Y51 Y53 I10 I12 Q10 Q12 Y10 Y12">
    <cfRule type="cellIs" dxfId="4676" priority="292" operator="between">
      <formula>50</formula>
      <formula>54.99</formula>
    </cfRule>
    <cfRule type="cellIs" dxfId="4675" priority="293" operator="between">
      <formula>65.01</formula>
      <formula>70</formula>
    </cfRule>
    <cfRule type="expression" dxfId="4674" priority="294">
      <formula>I10&lt;50</formula>
    </cfRule>
    <cfRule type="expression" dxfId="4673" priority="295">
      <formula>I10&gt;70</formula>
    </cfRule>
  </conditionalFormatting>
  <conditionalFormatting sqref="I47 I49 Q47 Q49 Y47 Y49 I6 I8 Q6 Q8 Y6 Y8">
    <cfRule type="cellIs" dxfId="4672" priority="288" operator="between">
      <formula>40</formula>
      <formula>44.99</formula>
    </cfRule>
    <cfRule type="cellIs" dxfId="4671" priority="289" operator="between">
      <formula>55.1</formula>
      <formula>60</formula>
    </cfRule>
    <cfRule type="expression" dxfId="4670" priority="290">
      <formula>I6&lt;40</formula>
    </cfRule>
    <cfRule type="expression" dxfId="4669" priority="291">
      <formula>I6&gt;60</formula>
    </cfRule>
  </conditionalFormatting>
  <conditionalFormatting sqref="I59:I60 Q59:Q60 Y59:Y60 I18:I19 Q18:Q19 Y18:Y19">
    <cfRule type="expression" dxfId="4668" priority="286">
      <formula>I18&lt;40%</formula>
    </cfRule>
    <cfRule type="expression" dxfId="4667" priority="287">
      <formula>I18&gt;50%</formula>
    </cfRule>
  </conditionalFormatting>
  <conditionalFormatting sqref="I62 Q62 Y62 I21 Q21 Y21">
    <cfRule type="expression" dxfId="4666" priority="284">
      <formula>I21&lt;0.6%</formula>
    </cfRule>
    <cfRule type="expression" dxfId="4665" priority="285">
      <formula>I21&gt;1.4%</formula>
    </cfRule>
  </conditionalFormatting>
  <conditionalFormatting sqref="I77 I36 K36 Q36 S36 Y36 AA36">
    <cfRule type="expression" dxfId="4664" priority="119">
      <formula>I36&lt;20</formula>
    </cfRule>
    <cfRule type="expression" dxfId="4663" priority="120">
      <formula>I36&gt;30</formula>
    </cfRule>
  </conditionalFormatting>
  <conditionalFormatting sqref="K77">
    <cfRule type="expression" dxfId="4662" priority="117">
      <formula>K77&lt;20</formula>
    </cfRule>
    <cfRule type="expression" dxfId="4661" priority="118">
      <formula>K77&gt;30</formula>
    </cfRule>
  </conditionalFormatting>
  <conditionalFormatting sqref="Q77">
    <cfRule type="expression" dxfId="4660" priority="115">
      <formula>Q77&lt;20</formula>
    </cfRule>
    <cfRule type="expression" dxfId="4659" priority="116">
      <formula>Q77&gt;30</formula>
    </cfRule>
  </conditionalFormatting>
  <conditionalFormatting sqref="S77">
    <cfRule type="expression" dxfId="4658" priority="113">
      <formula>S77&lt;20</formula>
    </cfRule>
    <cfRule type="expression" dxfId="4657" priority="114">
      <formula>S77&gt;30</formula>
    </cfRule>
  </conditionalFormatting>
  <conditionalFormatting sqref="Y77">
    <cfRule type="expression" dxfId="4656" priority="111">
      <formula>Y77&lt;20</formula>
    </cfRule>
    <cfRule type="expression" dxfId="4655" priority="112">
      <formula>Y77&gt;30</formula>
    </cfRule>
  </conditionalFormatting>
  <conditionalFormatting sqref="AA77">
    <cfRule type="expression" dxfId="4654" priority="109">
      <formula>AA77&lt;20</formula>
    </cfRule>
    <cfRule type="expression" dxfId="4653" priority="110">
      <formula>AA77&gt;30</formula>
    </cfRule>
  </conditionalFormatting>
  <conditionalFormatting sqref="I15">
    <cfRule type="cellIs" dxfId="4652" priority="93" operator="between">
      <formula>7</formula>
      <formula>7.499</formula>
    </cfRule>
    <cfRule type="cellIs" dxfId="4651" priority="94" operator="between">
      <formula>9.51</formula>
      <formula>10</formula>
    </cfRule>
    <cfRule type="expression" dxfId="4650" priority="95">
      <formula>I15&lt;7</formula>
    </cfRule>
    <cfRule type="expression" dxfId="4649" priority="96">
      <formula>I15&gt;10</formula>
    </cfRule>
  </conditionalFormatting>
  <conditionalFormatting sqref="Q15">
    <cfRule type="cellIs" dxfId="4648" priority="89" operator="between">
      <formula>7</formula>
      <formula>7.499</formula>
    </cfRule>
    <cfRule type="cellIs" dxfId="4647" priority="90" operator="between">
      <formula>9.51</formula>
      <formula>10</formula>
    </cfRule>
    <cfRule type="expression" dxfId="4646" priority="91">
      <formula>Q15&lt;7</formula>
    </cfRule>
    <cfRule type="expression" dxfId="4645" priority="92">
      <formula>Q15&gt;10</formula>
    </cfRule>
  </conditionalFormatting>
  <conditionalFormatting sqref="Y15">
    <cfRule type="cellIs" dxfId="4644" priority="85" operator="between">
      <formula>7</formula>
      <formula>7.499</formula>
    </cfRule>
    <cfRule type="cellIs" dxfId="4643" priority="86" operator="between">
      <formula>9.51</formula>
      <formula>10</formula>
    </cfRule>
    <cfRule type="expression" dxfId="4642" priority="87">
      <formula>Y15&lt;7</formula>
    </cfRule>
    <cfRule type="expression" dxfId="4641" priority="88">
      <formula>Y15&gt;10</formula>
    </cfRule>
  </conditionalFormatting>
  <conditionalFormatting sqref="I56">
    <cfRule type="cellIs" dxfId="4640" priority="81" operator="between">
      <formula>7</formula>
      <formula>7.499</formula>
    </cfRule>
    <cfRule type="cellIs" dxfId="4639" priority="82" operator="between">
      <formula>9.51</formula>
      <formula>10</formula>
    </cfRule>
    <cfRule type="expression" dxfId="4638" priority="83">
      <formula>I56&lt;7</formula>
    </cfRule>
    <cfRule type="expression" dxfId="4637" priority="84">
      <formula>I56&gt;10</formula>
    </cfRule>
  </conditionalFormatting>
  <conditionalFormatting sqref="Q56">
    <cfRule type="cellIs" dxfId="4636" priority="77" operator="between">
      <formula>7</formula>
      <formula>7.499</formula>
    </cfRule>
    <cfRule type="cellIs" dxfId="4635" priority="78" operator="between">
      <formula>9.51</formula>
      <formula>10</formula>
    </cfRule>
    <cfRule type="expression" dxfId="4634" priority="79">
      <formula>Q56&lt;7</formula>
    </cfRule>
    <cfRule type="expression" dxfId="4633" priority="80">
      <formula>Q56&gt;10</formula>
    </cfRule>
  </conditionalFormatting>
  <conditionalFormatting sqref="Y56">
    <cfRule type="cellIs" dxfId="4632" priority="73" operator="between">
      <formula>7</formula>
      <formula>7.499</formula>
    </cfRule>
    <cfRule type="cellIs" dxfId="4631" priority="74" operator="between">
      <formula>9.51</formula>
      <formula>10</formula>
    </cfRule>
    <cfRule type="expression" dxfId="4630" priority="75">
      <formula>Y56&lt;7</formula>
    </cfRule>
    <cfRule type="expression" dxfId="4629" priority="76">
      <formula>Y56&gt;10</formula>
    </cfRule>
  </conditionalFormatting>
  <conditionalFormatting sqref="I58">
    <cfRule type="cellIs" dxfId="4628" priority="69" operator="between">
      <formula>2</formula>
      <formula>2.099</formula>
    </cfRule>
    <cfRule type="cellIs" dxfId="4627" priority="70" operator="between">
      <formula>2.31</formula>
      <formula>2.4</formula>
    </cfRule>
    <cfRule type="expression" dxfId="4626" priority="71">
      <formula>I58&lt;2</formula>
    </cfRule>
    <cfRule type="expression" dxfId="4625" priority="72">
      <formula>I58&gt;2.4</formula>
    </cfRule>
  </conditionalFormatting>
  <conditionalFormatting sqref="Q58">
    <cfRule type="cellIs" dxfId="4624" priority="65" operator="between">
      <formula>2</formula>
      <formula>2.099</formula>
    </cfRule>
    <cfRule type="cellIs" dxfId="4623" priority="66" operator="between">
      <formula>2.31</formula>
      <formula>2.4</formula>
    </cfRule>
    <cfRule type="expression" dxfId="4622" priority="67">
      <formula>Q58&lt;2</formula>
    </cfRule>
    <cfRule type="expression" dxfId="4621" priority="68">
      <formula>Q58&gt;2.4</formula>
    </cfRule>
  </conditionalFormatting>
  <conditionalFormatting sqref="Y58">
    <cfRule type="cellIs" dxfId="4620" priority="61" operator="between">
      <formula>2</formula>
      <formula>2.099</formula>
    </cfRule>
    <cfRule type="cellIs" dxfId="4619" priority="62" operator="between">
      <formula>2.31</formula>
      <formula>2.4</formula>
    </cfRule>
    <cfRule type="expression" dxfId="4618" priority="63">
      <formula>Y58&lt;2</formula>
    </cfRule>
    <cfRule type="expression" dxfId="4617" priority="64">
      <formula>Y58&gt;2.4</formula>
    </cfRule>
  </conditionalFormatting>
  <conditionalFormatting sqref="I17">
    <cfRule type="cellIs" dxfId="4616" priority="57" operator="between">
      <formula>2</formula>
      <formula>2.099</formula>
    </cfRule>
    <cfRule type="cellIs" dxfId="4615" priority="58" operator="between">
      <formula>2.31</formula>
      <formula>2.4</formula>
    </cfRule>
    <cfRule type="expression" dxfId="4614" priority="59">
      <formula>I17&lt;2</formula>
    </cfRule>
    <cfRule type="expression" dxfId="4613" priority="60">
      <formula>I17&gt;2.4</formula>
    </cfRule>
  </conditionalFormatting>
  <conditionalFormatting sqref="Q17">
    <cfRule type="cellIs" dxfId="4612" priority="53" operator="between">
      <formula>2</formula>
      <formula>2.099</formula>
    </cfRule>
    <cfRule type="cellIs" dxfId="4611" priority="54" operator="between">
      <formula>2.31</formula>
      <formula>2.4</formula>
    </cfRule>
    <cfRule type="expression" dxfId="4610" priority="55">
      <formula>Q17&lt;2</formula>
    </cfRule>
    <cfRule type="expression" dxfId="4609" priority="56">
      <formula>Q17&gt;2.4</formula>
    </cfRule>
  </conditionalFormatting>
  <conditionalFormatting sqref="Y17">
    <cfRule type="cellIs" dxfId="4608" priority="49" operator="between">
      <formula>2</formula>
      <formula>2.099</formula>
    </cfRule>
    <cfRule type="cellIs" dxfId="4607" priority="50" operator="between">
      <formula>2.31</formula>
      <formula>2.4</formula>
    </cfRule>
    <cfRule type="expression" dxfId="4606" priority="51">
      <formula>Y17&lt;2</formula>
    </cfRule>
    <cfRule type="expression" dxfId="4605" priority="52">
      <formula>Y17&gt;2.4</formula>
    </cfRule>
  </conditionalFormatting>
  <conditionalFormatting sqref="I22">
    <cfRule type="cellIs" dxfId="4604" priority="45" operator="between">
      <formula>5</formula>
      <formula>5.499</formula>
    </cfRule>
    <cfRule type="cellIs" dxfId="4603" priority="46" operator="between">
      <formula>6.51</formula>
      <formula>8</formula>
    </cfRule>
    <cfRule type="expression" dxfId="4602" priority="47">
      <formula>I22&lt;5</formula>
    </cfRule>
    <cfRule type="expression" dxfId="4601" priority="48">
      <formula>I22&gt;8</formula>
    </cfRule>
  </conditionalFormatting>
  <conditionalFormatting sqref="I23">
    <cfRule type="cellIs" dxfId="4600" priority="41" operator="between">
      <formula>1.8</formula>
      <formula>1.999</formula>
    </cfRule>
    <cfRule type="cellIs" dxfId="4599" priority="42" operator="between">
      <formula>2.21</formula>
      <formula>2.4</formula>
    </cfRule>
    <cfRule type="expression" dxfId="4598" priority="43">
      <formula>I23&lt;1.8</formula>
    </cfRule>
    <cfRule type="expression" dxfId="4597" priority="44">
      <formula>I23&gt;2.4</formula>
    </cfRule>
  </conditionalFormatting>
  <conditionalFormatting sqref="Q22">
    <cfRule type="cellIs" dxfId="4596" priority="37" operator="between">
      <formula>5</formula>
      <formula>5.499</formula>
    </cfRule>
    <cfRule type="cellIs" dxfId="4595" priority="38" operator="between">
      <formula>6.51</formula>
      <formula>8</formula>
    </cfRule>
    <cfRule type="expression" dxfId="4594" priority="39">
      <formula>Q22&lt;5</formula>
    </cfRule>
    <cfRule type="expression" dxfId="4593" priority="40">
      <formula>Q22&gt;8</formula>
    </cfRule>
  </conditionalFormatting>
  <conditionalFormatting sqref="Q23">
    <cfRule type="cellIs" dxfId="4592" priority="33" operator="between">
      <formula>1.8</formula>
      <formula>1.999</formula>
    </cfRule>
    <cfRule type="cellIs" dxfId="4591" priority="34" operator="between">
      <formula>2.21</formula>
      <formula>2.4</formula>
    </cfRule>
    <cfRule type="expression" dxfId="4590" priority="35">
      <formula>Q23&lt;1.8</formula>
    </cfRule>
    <cfRule type="expression" dxfId="4589" priority="36">
      <formula>Q23&gt;2.4</formula>
    </cfRule>
  </conditionalFormatting>
  <conditionalFormatting sqref="Y22">
    <cfRule type="cellIs" dxfId="4588" priority="29" operator="between">
      <formula>5</formula>
      <formula>5.499</formula>
    </cfRule>
    <cfRule type="cellIs" dxfId="4587" priority="30" operator="between">
      <formula>6.51</formula>
      <formula>8</formula>
    </cfRule>
    <cfRule type="expression" dxfId="4586" priority="31">
      <formula>Y22&lt;5</formula>
    </cfRule>
    <cfRule type="expression" dxfId="4585" priority="32">
      <formula>Y22&gt;8</formula>
    </cfRule>
  </conditionalFormatting>
  <conditionalFormatting sqref="Y23">
    <cfRule type="cellIs" dxfId="4584" priority="25" operator="between">
      <formula>1.8</formula>
      <formula>1.999</formula>
    </cfRule>
    <cfRule type="cellIs" dxfId="4583" priority="26" operator="between">
      <formula>2.21</formula>
      <formula>2.4</formula>
    </cfRule>
    <cfRule type="expression" dxfId="4582" priority="27">
      <formula>Y23&lt;1.8</formula>
    </cfRule>
    <cfRule type="expression" dxfId="4581" priority="28">
      <formula>Y23&gt;2.4</formula>
    </cfRule>
  </conditionalFormatting>
  <conditionalFormatting sqref="I63">
    <cfRule type="cellIs" dxfId="4580" priority="21" operator="between">
      <formula>5</formula>
      <formula>5.499</formula>
    </cfRule>
    <cfRule type="cellIs" dxfId="4579" priority="22" operator="between">
      <formula>6.51</formula>
      <formula>8</formula>
    </cfRule>
    <cfRule type="expression" dxfId="4578" priority="23">
      <formula>I63&lt;5</formula>
    </cfRule>
    <cfRule type="expression" dxfId="4577" priority="24">
      <formula>I63&gt;8</formula>
    </cfRule>
  </conditionalFormatting>
  <conditionalFormatting sqref="I64">
    <cfRule type="cellIs" dxfId="4576" priority="17" operator="between">
      <formula>1.8</formula>
      <formula>1.999</formula>
    </cfRule>
    <cfRule type="cellIs" dxfId="4575" priority="18" operator="between">
      <formula>2.21</formula>
      <formula>2.4</formula>
    </cfRule>
    <cfRule type="expression" dxfId="4574" priority="19">
      <formula>I64&lt;1.8</formula>
    </cfRule>
    <cfRule type="expression" dxfId="4573" priority="20">
      <formula>I64&gt;2.4</formula>
    </cfRule>
  </conditionalFormatting>
  <conditionalFormatting sqref="Q63">
    <cfRule type="cellIs" dxfId="4572" priority="13" operator="between">
      <formula>5</formula>
      <formula>5.499</formula>
    </cfRule>
    <cfRule type="cellIs" dxfId="4571" priority="14" operator="between">
      <formula>6.51</formula>
      <formula>8</formula>
    </cfRule>
    <cfRule type="expression" dxfId="4570" priority="15">
      <formula>Q63&lt;5</formula>
    </cfRule>
    <cfRule type="expression" dxfId="4569" priority="16">
      <formula>Q63&gt;8</formula>
    </cfRule>
  </conditionalFormatting>
  <conditionalFormatting sqref="Q64">
    <cfRule type="cellIs" dxfId="4568" priority="9" operator="between">
      <formula>1.8</formula>
      <formula>1.999</formula>
    </cfRule>
    <cfRule type="cellIs" dxfId="4567" priority="10" operator="between">
      <formula>2.21</formula>
      <formula>2.4</formula>
    </cfRule>
    <cfRule type="expression" dxfId="4566" priority="11">
      <formula>Q64&lt;1.8</formula>
    </cfRule>
    <cfRule type="expression" dxfId="4565" priority="12">
      <formula>Q64&gt;2.4</formula>
    </cfRule>
  </conditionalFormatting>
  <conditionalFormatting sqref="Y63">
    <cfRule type="cellIs" dxfId="4564" priority="5" operator="between">
      <formula>5</formula>
      <formula>5.499</formula>
    </cfRule>
    <cfRule type="cellIs" dxfId="4563" priority="6" operator="between">
      <formula>6.51</formula>
      <formula>8</formula>
    </cfRule>
    <cfRule type="expression" dxfId="4562" priority="7">
      <formula>Y63&lt;5</formula>
    </cfRule>
    <cfRule type="expression" dxfId="4561" priority="8">
      <formula>Y63&gt;8</formula>
    </cfRule>
  </conditionalFormatting>
  <conditionalFormatting sqref="Y64">
    <cfRule type="cellIs" dxfId="4560" priority="1" operator="between">
      <formula>1.8</formula>
      <formula>1.999</formula>
    </cfRule>
    <cfRule type="cellIs" dxfId="4559" priority="2" operator="between">
      <formula>2.21</formula>
      <formula>2.4</formula>
    </cfRule>
    <cfRule type="expression" dxfId="4558" priority="3">
      <formula>Y64&lt;1.8</formula>
    </cfRule>
    <cfRule type="expression" dxfId="4557" priority="4">
      <formula>Y64&gt;2.4</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tabColor rgb="FFFFFF00"/>
  </sheetPr>
  <dimension ref="A1:BC81"/>
  <sheetViews>
    <sheetView view="pageBreakPreview" topLeftCell="A44" zoomScale="55" zoomScaleNormal="55" zoomScaleSheetLayoutView="55" workbookViewId="0">
      <selection activeCell="AE62" sqref="AE62"/>
    </sheetView>
  </sheetViews>
  <sheetFormatPr defaultRowHeight="16.5"/>
  <cols>
    <col min="1" max="1" width="5" style="1014" customWidth="1"/>
    <col min="2" max="2" width="8" style="1015" customWidth="1"/>
    <col min="3" max="3" width="3.5" style="1015" customWidth="1"/>
    <col min="4" max="4" width="6" style="1015" customWidth="1"/>
    <col min="5" max="5" width="3.25" style="1015" customWidth="1"/>
    <col min="6" max="6" width="7.5" style="1016" customWidth="1"/>
    <col min="7" max="7" width="14.125" style="1016" customWidth="1"/>
    <col min="8" max="8" width="11.625" style="1016" customWidth="1"/>
    <col min="9" max="9" width="8.375" style="1016" customWidth="1"/>
    <col min="10" max="10" width="2.625" style="1016" customWidth="1"/>
    <col min="11" max="11" width="8" style="1016" customWidth="1"/>
    <col min="12" max="12" width="4" style="1016" customWidth="1"/>
    <col min="13" max="13" width="8" style="977" customWidth="1"/>
    <col min="14" max="14" width="2.75" style="977" customWidth="1"/>
    <col min="15" max="15" width="8.75" style="977" customWidth="1"/>
    <col min="16" max="16" width="4" style="977" customWidth="1"/>
    <col min="17" max="17" width="8.25" style="1016" customWidth="1"/>
    <col min="18" max="18" width="2.375" style="1016" customWidth="1"/>
    <col min="19" max="19" width="8.25" style="1016" customWidth="1"/>
    <col min="20" max="20" width="4.25" style="1016" customWidth="1"/>
    <col min="21" max="21" width="7.625" style="977" customWidth="1"/>
    <col min="22" max="22" width="4" style="977" customWidth="1"/>
    <col min="23" max="23" width="7.875" style="977" customWidth="1"/>
    <col min="24" max="24" width="3.75" style="977" customWidth="1"/>
    <col min="25" max="25" width="7.5" style="1016" customWidth="1"/>
    <col min="26" max="26" width="4.25" style="1016" customWidth="1"/>
    <col min="27" max="27" width="7.625" style="1016" customWidth="1"/>
    <col min="28" max="28" width="4.875" style="1016" customWidth="1"/>
    <col min="29" max="29" width="7.5" style="977" customWidth="1"/>
    <col min="30" max="30" width="3.75" style="977" customWidth="1"/>
    <col min="31" max="31" width="7.5" style="977" customWidth="1"/>
    <col min="32" max="32" width="4.25" style="977" customWidth="1"/>
    <col min="33" max="33" width="7.625" style="8" customWidth="1"/>
    <col min="34" max="16384" width="9" style="8"/>
  </cols>
  <sheetData>
    <row r="1" spans="1:35" ht="28.5" customHeight="1">
      <c r="A1" s="2970" t="s">
        <v>136</v>
      </c>
      <c r="B1" s="2970"/>
      <c r="C1" s="2970"/>
      <c r="D1" s="2970"/>
      <c r="E1" s="2970"/>
      <c r="F1" s="2970"/>
      <c r="G1" s="2970"/>
      <c r="H1" s="2970"/>
      <c r="I1" s="2970"/>
      <c r="J1" s="2970"/>
      <c r="K1" s="2970"/>
      <c r="L1" s="2970"/>
      <c r="M1" s="2970"/>
      <c r="N1" s="2970"/>
      <c r="O1" s="2970"/>
      <c r="P1" s="2970"/>
      <c r="Q1" s="2970"/>
      <c r="R1" s="2970"/>
      <c r="S1" s="2970"/>
      <c r="T1" s="2970"/>
      <c r="U1" s="2970"/>
      <c r="V1" s="2970"/>
      <c r="W1" s="2970"/>
      <c r="X1" s="2970"/>
      <c r="Y1" s="2970"/>
      <c r="Z1" s="2970"/>
      <c r="AA1" s="1017"/>
      <c r="AB1" s="1017"/>
      <c r="AC1" s="978"/>
      <c r="AD1" s="978"/>
      <c r="AE1" s="978"/>
      <c r="AF1" s="978"/>
      <c r="AG1" s="64"/>
    </row>
    <row r="2" spans="1:35" ht="51.75" customHeight="1">
      <c r="A2" s="2971" t="s">
        <v>137</v>
      </c>
      <c r="B2" s="2971"/>
      <c r="C2" s="2971"/>
      <c r="D2" s="2971"/>
      <c r="E2" s="2971"/>
      <c r="F2" s="2971"/>
      <c r="G2" s="2971"/>
      <c r="H2" s="2971"/>
      <c r="I2" s="2971"/>
      <c r="J2" s="2971"/>
      <c r="K2" s="2971"/>
      <c r="L2" s="2971"/>
      <c r="M2" s="2971"/>
      <c r="N2" s="2971"/>
      <c r="O2" s="2971"/>
      <c r="P2" s="2971"/>
      <c r="Q2" s="2971"/>
      <c r="R2" s="2971"/>
      <c r="S2" s="2971"/>
      <c r="T2" s="2971"/>
      <c r="U2" s="2971"/>
      <c r="V2" s="2971"/>
      <c r="W2" s="2971"/>
      <c r="X2" s="2971"/>
      <c r="Y2" s="2971"/>
      <c r="Z2" s="2971"/>
      <c r="AA2" s="1017"/>
      <c r="AB2" s="1017"/>
      <c r="AC2" s="978"/>
      <c r="AD2" s="2861" t="s">
        <v>89</v>
      </c>
      <c r="AE2" s="2861"/>
      <c r="AF2" s="2863" t="s">
        <v>90</v>
      </c>
      <c r="AG2" s="2864"/>
    </row>
    <row r="3" spans="1:35" ht="32.25" customHeight="1">
      <c r="A3" s="1002"/>
      <c r="B3" s="1496" t="s">
        <v>128</v>
      </c>
      <c r="C3" s="1497"/>
      <c r="D3" s="1464"/>
      <c r="E3" s="1465"/>
      <c r="F3" s="1466"/>
      <c r="G3" s="1462"/>
      <c r="H3" s="1930" t="str">
        <f>MENU!$AC$9</f>
        <v>Thứ 3,</v>
      </c>
      <c r="I3" s="2901" t="str">
        <f>MENU!$AD$9</f>
        <v>2024/01/09</v>
      </c>
      <c r="J3" s="2902"/>
      <c r="K3" s="2902"/>
      <c r="L3" s="2902"/>
      <c r="M3" s="975"/>
      <c r="N3" s="975"/>
      <c r="O3" s="975"/>
      <c r="P3" s="975"/>
      <c r="Q3" s="1003"/>
      <c r="R3" s="1003"/>
      <c r="S3" s="1003"/>
      <c r="T3" s="1003"/>
      <c r="U3" s="975"/>
      <c r="V3" s="975"/>
      <c r="W3" s="975"/>
      <c r="X3" s="975"/>
      <c r="Y3" s="1003"/>
      <c r="Z3" s="1003"/>
      <c r="AA3" s="1017"/>
      <c r="AB3" s="1017"/>
      <c r="AC3" s="978"/>
      <c r="AD3" s="2862" t="str">
        <f>MENU!AE6</f>
        <v>Trang</v>
      </c>
      <c r="AE3" s="2862"/>
      <c r="AF3" s="2854" t="s">
        <v>11</v>
      </c>
      <c r="AG3" s="2855"/>
    </row>
    <row r="4" spans="1:35" s="65" customFormat="1" ht="46.5" customHeight="1">
      <c r="A4" s="2972" t="s">
        <v>7</v>
      </c>
      <c r="B4" s="2885" t="s">
        <v>77</v>
      </c>
      <c r="C4" s="2886"/>
      <c r="D4" s="2886"/>
      <c r="E4" s="2887"/>
      <c r="F4" s="2883" t="s">
        <v>125</v>
      </c>
      <c r="G4" s="2922" t="s">
        <v>1325</v>
      </c>
      <c r="H4" s="2920" t="s">
        <v>1317</v>
      </c>
      <c r="I4" s="2906">
        <v>0.30208333333333331</v>
      </c>
      <c r="J4" s="2907"/>
      <c r="K4" s="2907"/>
      <c r="L4" s="2908"/>
      <c r="M4" s="2856" t="s">
        <v>940</v>
      </c>
      <c r="N4" s="2986"/>
      <c r="O4" s="2986"/>
      <c r="P4" s="2987"/>
      <c r="Q4" s="2906">
        <v>0.46875</v>
      </c>
      <c r="R4" s="2907"/>
      <c r="S4" s="2907"/>
      <c r="T4" s="2908"/>
      <c r="U4" s="2856" t="s">
        <v>940</v>
      </c>
      <c r="V4" s="2857"/>
      <c r="W4" s="2857"/>
      <c r="X4" s="2858"/>
      <c r="Y4" s="2906">
        <v>0.63541666666666663</v>
      </c>
      <c r="Z4" s="2907"/>
      <c r="AA4" s="2907"/>
      <c r="AB4" s="2908"/>
      <c r="AC4" s="2856" t="s">
        <v>940</v>
      </c>
      <c r="AD4" s="2857"/>
      <c r="AE4" s="2857"/>
      <c r="AF4" s="2858"/>
      <c r="AG4" s="2961" t="s">
        <v>39</v>
      </c>
    </row>
    <row r="5" spans="1:35" s="65" customFormat="1" ht="46.5" customHeight="1">
      <c r="A5" s="2972"/>
      <c r="B5" s="2888"/>
      <c r="C5" s="2889"/>
      <c r="D5" s="2889"/>
      <c r="E5" s="2890"/>
      <c r="F5" s="2884"/>
      <c r="G5" s="2923"/>
      <c r="H5" s="2921"/>
      <c r="I5" s="981" t="s">
        <v>130</v>
      </c>
      <c r="J5" s="2912" t="s">
        <v>1</v>
      </c>
      <c r="K5" s="2913"/>
      <c r="L5" s="2914"/>
      <c r="M5" s="938" t="s">
        <v>941</v>
      </c>
      <c r="N5" s="2859" t="s">
        <v>1</v>
      </c>
      <c r="O5" s="2859"/>
      <c r="P5" s="2860"/>
      <c r="Q5" s="981" t="s">
        <v>130</v>
      </c>
      <c r="R5" s="2912" t="s">
        <v>1</v>
      </c>
      <c r="S5" s="2913"/>
      <c r="T5" s="2914"/>
      <c r="U5" s="938" t="s">
        <v>130</v>
      </c>
      <c r="V5" s="2859" t="s">
        <v>1</v>
      </c>
      <c r="W5" s="2859"/>
      <c r="X5" s="2860"/>
      <c r="Y5" s="981" t="s">
        <v>130</v>
      </c>
      <c r="Z5" s="2912" t="s">
        <v>1</v>
      </c>
      <c r="AA5" s="2913"/>
      <c r="AB5" s="2914"/>
      <c r="AC5" s="938" t="s">
        <v>130</v>
      </c>
      <c r="AD5" s="2859" t="s">
        <v>1</v>
      </c>
      <c r="AE5" s="2859"/>
      <c r="AF5" s="2860"/>
      <c r="AG5" s="2962"/>
    </row>
    <row r="6" spans="1:35" ht="49.5" customHeight="1">
      <c r="A6" s="2973">
        <v>1</v>
      </c>
      <c r="B6" s="2975" t="s">
        <v>951</v>
      </c>
      <c r="C6" s="2976"/>
      <c r="D6" s="2898" t="s">
        <v>231</v>
      </c>
      <c r="E6" s="2899"/>
      <c r="F6" s="1665" t="s">
        <v>4</v>
      </c>
      <c r="G6" s="929" t="str">
        <f>'XM.FILE GOC'!$E$78</f>
        <v>40~60</v>
      </c>
      <c r="H6" s="2427" t="str">
        <f>'XM.FILE GOC'!$F$78</f>
        <v>(50±5)</v>
      </c>
      <c r="I6" s="2430">
        <f>'XM.FILE GOC'!I78</f>
        <v>49.5</v>
      </c>
      <c r="J6" s="1004" t="s">
        <v>8</v>
      </c>
      <c r="K6" s="1005">
        <f>'XM.FILE GOC'!L78</f>
        <v>7.7584999999999997</v>
      </c>
      <c r="L6" s="1006" t="s">
        <v>9</v>
      </c>
      <c r="M6" s="1670">
        <f>'3.XT-C kh.mau HALO'!M6</f>
        <v>50.8</v>
      </c>
      <c r="N6" s="940" t="s">
        <v>8</v>
      </c>
      <c r="O6" s="1686">
        <f>IF(M6=0,"",('XM.FILE GOC'!$G$78-M6)*15517/1000)</f>
        <v>-12.413599999999956</v>
      </c>
      <c r="P6" s="941" t="s">
        <v>9</v>
      </c>
      <c r="Q6" s="2430">
        <f>'XM.FILE GOC'!P78</f>
        <v>51.92</v>
      </c>
      <c r="R6" s="1004" t="s">
        <v>8</v>
      </c>
      <c r="S6" s="1005">
        <f>'XM.FILE GOC'!S78</f>
        <v>0</v>
      </c>
      <c r="T6" s="1006" t="s">
        <v>9</v>
      </c>
      <c r="U6" s="1670">
        <f>'3.XT-C kh.mau HALO'!U6</f>
        <v>0</v>
      </c>
      <c r="V6" s="940" t="s">
        <v>8</v>
      </c>
      <c r="W6" s="1686" t="str">
        <f>IF(U6=0,"",('XM.FILE GOC'!$G$78-U6)*15517/1000)</f>
        <v/>
      </c>
      <c r="X6" s="941" t="s">
        <v>9</v>
      </c>
      <c r="Y6" s="2430">
        <f>'XM.FILE GOC'!W78</f>
        <v>51.595500000000001</v>
      </c>
      <c r="Z6" s="1004" t="s">
        <v>8</v>
      </c>
      <c r="AA6" s="1005">
        <f>'XM.FILE GOC'!Z78</f>
        <v>0</v>
      </c>
      <c r="AB6" s="1006" t="s">
        <v>9</v>
      </c>
      <c r="AC6" s="1670">
        <f>'3.XT-C kh.mau HALO'!AC6</f>
        <v>0</v>
      </c>
      <c r="AD6" s="940" t="s">
        <v>8</v>
      </c>
      <c r="AE6" s="1686" t="str">
        <f>IF(AC6=0,"",('XM.FILE GOC'!$G$78-AC6)*15517/1000)</f>
        <v/>
      </c>
      <c r="AF6" s="941" t="s">
        <v>9</v>
      </c>
      <c r="AG6" s="1662" t="s">
        <v>40</v>
      </c>
    </row>
    <row r="7" spans="1:35" ht="49.5" customHeight="1">
      <c r="A7" s="2974"/>
      <c r="B7" s="2977"/>
      <c r="C7" s="2978"/>
      <c r="D7" s="2898" t="s">
        <v>232</v>
      </c>
      <c r="E7" s="2899"/>
      <c r="F7" s="928"/>
      <c r="G7" s="929" t="s">
        <v>1286</v>
      </c>
      <c r="H7" s="2427"/>
      <c r="I7" s="2416"/>
      <c r="J7" s="61"/>
      <c r="K7" s="985">
        <f>K6/25*8.5</f>
        <v>2.6378900000000001</v>
      </c>
      <c r="L7" s="614" t="s">
        <v>10</v>
      </c>
      <c r="M7" s="1670">
        <f>'3.XT-C kh.mau HALO'!M7</f>
        <v>0</v>
      </c>
      <c r="N7" s="942" t="s">
        <v>8</v>
      </c>
      <c r="O7" s="1684">
        <f>IF(M6=0,"",O6/25*8.5)</f>
        <v>-4.2206239999999848</v>
      </c>
      <c r="P7" s="943" t="s">
        <v>10</v>
      </c>
      <c r="Q7" s="2416"/>
      <c r="R7" s="61"/>
      <c r="S7" s="985">
        <f>S6/25*8.5</f>
        <v>0</v>
      </c>
      <c r="T7" s="614" t="s">
        <v>10</v>
      </c>
      <c r="U7" s="1670">
        <f>'3.XT-C kh.mau HALO'!U7</f>
        <v>0</v>
      </c>
      <c r="V7" s="942" t="s">
        <v>8</v>
      </c>
      <c r="W7" s="1684" t="str">
        <f>IF(U6=0,"",W6/25*8.5)</f>
        <v/>
      </c>
      <c r="X7" s="943" t="s">
        <v>10</v>
      </c>
      <c r="Y7" s="2416"/>
      <c r="Z7" s="61"/>
      <c r="AA7" s="985">
        <f>AA6/25*8.5</f>
        <v>0</v>
      </c>
      <c r="AB7" s="614" t="s">
        <v>10</v>
      </c>
      <c r="AC7" s="1670">
        <f>'3.XT-C kh.mau HALO'!AC7</f>
        <v>0</v>
      </c>
      <c r="AD7" s="942" t="s">
        <v>8</v>
      </c>
      <c r="AE7" s="1684" t="str">
        <f>IF(AC6=0,"",AE6/25*8.5)</f>
        <v/>
      </c>
      <c r="AF7" s="943" t="s">
        <v>10</v>
      </c>
      <c r="AG7" s="1662"/>
    </row>
    <row r="8" spans="1:35" ht="49.5" customHeight="1">
      <c r="A8" s="2973">
        <v>2</v>
      </c>
      <c r="B8" s="2975" t="s">
        <v>952</v>
      </c>
      <c r="C8" s="2976"/>
      <c r="D8" s="2898" t="s">
        <v>231</v>
      </c>
      <c r="E8" s="2899"/>
      <c r="F8" s="1665" t="s">
        <v>4</v>
      </c>
      <c r="G8" s="929" t="str">
        <f>'XM.FILE GOC'!$E$80</f>
        <v>40~60</v>
      </c>
      <c r="H8" s="2427" t="str">
        <f>'XM.FILE GOC'!$F$80</f>
        <v>(50±5)</v>
      </c>
      <c r="I8" s="2430">
        <f>'XM.FILE GOC'!I80</f>
        <v>50.297499999999999</v>
      </c>
      <c r="J8" s="1004" t="s">
        <v>8</v>
      </c>
      <c r="K8" s="1005">
        <f>'XM.FILE GOC'!L80</f>
        <v>0</v>
      </c>
      <c r="L8" s="1006" t="s">
        <v>9</v>
      </c>
      <c r="M8" s="1670">
        <f>'3.XT-C kh.mau HALO'!M8</f>
        <v>0</v>
      </c>
      <c r="N8" s="940" t="s">
        <v>8</v>
      </c>
      <c r="O8" s="1686" t="str">
        <f>IF(M8=0,"",('XM.FILE GOC'!$G$80-M8)*11475/1000)</f>
        <v/>
      </c>
      <c r="P8" s="941" t="s">
        <v>9</v>
      </c>
      <c r="Q8" s="2430">
        <f>'XM.FILE GOC'!P80</f>
        <v>50.297499999999999</v>
      </c>
      <c r="R8" s="1004" t="s">
        <v>8</v>
      </c>
      <c r="S8" s="1005">
        <f>'XM.FILE GOC'!S80</f>
        <v>0</v>
      </c>
      <c r="T8" s="1006" t="s">
        <v>9</v>
      </c>
      <c r="U8" s="1670">
        <f>'3.XT-C kh.mau HALO'!U8</f>
        <v>0</v>
      </c>
      <c r="V8" s="940" t="s">
        <v>8</v>
      </c>
      <c r="W8" s="1686" t="str">
        <f>IF(U8=0,"",('XM.FILE GOC'!$G$80-U8)*11475/1000)</f>
        <v/>
      </c>
      <c r="X8" s="941" t="s">
        <v>9</v>
      </c>
      <c r="Y8" s="2430">
        <f>'XM.FILE GOC'!W80</f>
        <v>50.297499999999999</v>
      </c>
      <c r="Z8" s="1004" t="s">
        <v>8</v>
      </c>
      <c r="AA8" s="1005">
        <f>'XM.FILE GOC'!Z80</f>
        <v>0</v>
      </c>
      <c r="AB8" s="1006" t="s">
        <v>9</v>
      </c>
      <c r="AC8" s="1670">
        <f>'3.XT-C kh.mau HALO'!AC8</f>
        <v>0</v>
      </c>
      <c r="AD8" s="940" t="s">
        <v>8</v>
      </c>
      <c r="AE8" s="1686" t="str">
        <f>IF(AC8=0,"",('XM.FILE GOC'!$G$80-AC8)*11475/1000)</f>
        <v/>
      </c>
      <c r="AF8" s="941" t="s">
        <v>9</v>
      </c>
      <c r="AG8" s="1662" t="s">
        <v>40</v>
      </c>
    </row>
    <row r="9" spans="1:35" ht="49.5" customHeight="1">
      <c r="A9" s="2974"/>
      <c r="B9" s="2977"/>
      <c r="C9" s="2978"/>
      <c r="D9" s="2898" t="s">
        <v>232</v>
      </c>
      <c r="E9" s="2899"/>
      <c r="F9" s="928"/>
      <c r="G9" s="929" t="s">
        <v>1286</v>
      </c>
      <c r="H9" s="2427"/>
      <c r="I9" s="2416"/>
      <c r="J9" s="61"/>
      <c r="K9" s="985">
        <f>K8/25*8.5</f>
        <v>0</v>
      </c>
      <c r="L9" s="614" t="s">
        <v>10</v>
      </c>
      <c r="M9" s="1670">
        <f>'3.XT-C kh.mau HALO'!M9</f>
        <v>0</v>
      </c>
      <c r="N9" s="942" t="s">
        <v>8</v>
      </c>
      <c r="O9" s="1684" t="str">
        <f>IF(M8=0,"",O8/25*8.5)</f>
        <v/>
      </c>
      <c r="P9" s="943" t="s">
        <v>10</v>
      </c>
      <c r="Q9" s="2416"/>
      <c r="R9" s="61"/>
      <c r="S9" s="985">
        <f>S8/25*8.5</f>
        <v>0</v>
      </c>
      <c r="T9" s="614" t="s">
        <v>10</v>
      </c>
      <c r="U9" s="1670">
        <f>'3.XT-C kh.mau HALO'!U9</f>
        <v>0</v>
      </c>
      <c r="V9" s="942" t="s">
        <v>8</v>
      </c>
      <c r="W9" s="1684" t="str">
        <f>IF(U8=0,"",W8/25*8.5)</f>
        <v/>
      </c>
      <c r="X9" s="943" t="s">
        <v>10</v>
      </c>
      <c r="Y9" s="2416"/>
      <c r="Z9" s="61"/>
      <c r="AA9" s="985">
        <f>AA8/25*8.5</f>
        <v>0</v>
      </c>
      <c r="AB9" s="614" t="s">
        <v>10</v>
      </c>
      <c r="AC9" s="1670">
        <f>'3.XT-C kh.mau HALO'!AC9</f>
        <v>0</v>
      </c>
      <c r="AD9" s="942" t="s">
        <v>8</v>
      </c>
      <c r="AE9" s="1684" t="str">
        <f>IF(AC8=0,"",AE8/25*8.5)</f>
        <v/>
      </c>
      <c r="AF9" s="943" t="s">
        <v>10</v>
      </c>
      <c r="AG9" s="1662"/>
    </row>
    <row r="10" spans="1:35" ht="49.5" customHeight="1">
      <c r="A10" s="2973">
        <v>3</v>
      </c>
      <c r="B10" s="2896" t="s">
        <v>953</v>
      </c>
      <c r="C10" s="2897"/>
      <c r="D10" s="2871" t="s">
        <v>233</v>
      </c>
      <c r="E10" s="2873" t="s">
        <v>233</v>
      </c>
      <c r="F10" s="1665" t="s">
        <v>4</v>
      </c>
      <c r="G10" s="929" t="str">
        <f>'XM.FILE GOC'!$E$82</f>
        <v>50~70</v>
      </c>
      <c r="H10" s="2427" t="str">
        <f>'XM.FILE GOC'!$F$82</f>
        <v>(60±5)</v>
      </c>
      <c r="I10" s="2430">
        <f>'XM.FILE GOC'!I82</f>
        <v>63.524999999999999</v>
      </c>
      <c r="J10" s="61" t="s">
        <v>8</v>
      </c>
      <c r="K10" s="613">
        <f>'XM.FILE GOC'!L82</f>
        <v>0</v>
      </c>
      <c r="L10" s="614" t="s">
        <v>9</v>
      </c>
      <c r="M10" s="1670">
        <f>'3.XT-C kh.mau HALO'!M10</f>
        <v>0</v>
      </c>
      <c r="N10" s="940" t="s">
        <v>8</v>
      </c>
      <c r="O10" s="1686" t="str">
        <f>IF(M10=0,"",('XM.FILE GOC'!$G$82-M10)*8200/1000)</f>
        <v/>
      </c>
      <c r="P10" s="941" t="s">
        <v>9</v>
      </c>
      <c r="Q10" s="2430">
        <f>'XM.FILE GOC'!P82</f>
        <v>63.293999999999997</v>
      </c>
      <c r="R10" s="61" t="s">
        <v>8</v>
      </c>
      <c r="S10" s="613">
        <f>'XM.FILE GOC'!S82</f>
        <v>0</v>
      </c>
      <c r="T10" s="614" t="s">
        <v>9</v>
      </c>
      <c r="U10" s="1670">
        <f>'3.XT-C kh.mau HALO'!U10</f>
        <v>0</v>
      </c>
      <c r="V10" s="940" t="s">
        <v>8</v>
      </c>
      <c r="W10" s="1686" t="str">
        <f>IF(U10=0,"",('XM.FILE GOC'!$G$82-U10)*8200/1000)</f>
        <v/>
      </c>
      <c r="X10" s="941" t="s">
        <v>9</v>
      </c>
      <c r="Y10" s="2430">
        <f>'XM.FILE GOC'!W82</f>
        <v>61.908000000000001</v>
      </c>
      <c r="Z10" s="61" t="s">
        <v>8</v>
      </c>
      <c r="AA10" s="613">
        <f>'XM.FILE GOC'!Z82</f>
        <v>0</v>
      </c>
      <c r="AB10" s="1006" t="s">
        <v>9</v>
      </c>
      <c r="AC10" s="1670">
        <f>'3.XT-C kh.mau HALO'!AC10</f>
        <v>0</v>
      </c>
      <c r="AD10" s="940" t="s">
        <v>8</v>
      </c>
      <c r="AE10" s="1686" t="str">
        <f>IF(AC10=0,"",('XM.FILE GOC'!$G$82-AC10)*8200/1000)</f>
        <v/>
      </c>
      <c r="AF10" s="941" t="s">
        <v>9</v>
      </c>
      <c r="AG10" s="1662" t="s">
        <v>40</v>
      </c>
    </row>
    <row r="11" spans="1:35" ht="49.5" customHeight="1">
      <c r="A11" s="2979"/>
      <c r="B11" s="2897"/>
      <c r="C11" s="2897"/>
      <c r="D11" s="2871" t="s">
        <v>234</v>
      </c>
      <c r="E11" s="2873" t="s">
        <v>234</v>
      </c>
      <c r="F11" s="928"/>
      <c r="G11" s="929" t="s">
        <v>1287</v>
      </c>
      <c r="H11" s="2427"/>
      <c r="I11" s="2416"/>
      <c r="J11" s="61"/>
      <c r="K11" s="985">
        <f>K10/25*8</f>
        <v>0</v>
      </c>
      <c r="L11" s="614" t="s">
        <v>10</v>
      </c>
      <c r="M11" s="1670">
        <f>'3.XT-C kh.mau HALO'!M11</f>
        <v>0</v>
      </c>
      <c r="N11" s="942" t="s">
        <v>8</v>
      </c>
      <c r="O11" s="1684" t="str">
        <f>IF(M10=0,"",O10/25*8)</f>
        <v/>
      </c>
      <c r="P11" s="943" t="s">
        <v>10</v>
      </c>
      <c r="Q11" s="2416"/>
      <c r="R11" s="61"/>
      <c r="S11" s="985">
        <f>S10/25*8</f>
        <v>0</v>
      </c>
      <c r="T11" s="614" t="s">
        <v>10</v>
      </c>
      <c r="U11" s="1670">
        <f>'3.XT-C kh.mau HALO'!U11</f>
        <v>0</v>
      </c>
      <c r="V11" s="942" t="s">
        <v>8</v>
      </c>
      <c r="W11" s="1684" t="str">
        <f>IF(U10=0,"",W10/25*8)</f>
        <v/>
      </c>
      <c r="X11" s="943" t="s">
        <v>10</v>
      </c>
      <c r="Y11" s="2416"/>
      <c r="Z11" s="61"/>
      <c r="AA11" s="985">
        <f>AA10/25*8</f>
        <v>0</v>
      </c>
      <c r="AB11" s="614" t="s">
        <v>10</v>
      </c>
      <c r="AC11" s="1670">
        <f>'3.XT-C kh.mau HALO'!AC11</f>
        <v>0</v>
      </c>
      <c r="AD11" s="942" t="s">
        <v>8</v>
      </c>
      <c r="AE11" s="1684" t="str">
        <f>IF(AC10=0,"",AE10/25*8)</f>
        <v/>
      </c>
      <c r="AF11" s="943" t="s">
        <v>10</v>
      </c>
      <c r="AG11" s="1662"/>
    </row>
    <row r="12" spans="1:35" ht="49.5" customHeight="1">
      <c r="A12" s="2973">
        <v>4</v>
      </c>
      <c r="B12" s="2896" t="s">
        <v>954</v>
      </c>
      <c r="C12" s="2897"/>
      <c r="D12" s="2871" t="s">
        <v>233</v>
      </c>
      <c r="E12" s="2873" t="s">
        <v>233</v>
      </c>
      <c r="F12" s="1665" t="s">
        <v>4</v>
      </c>
      <c r="G12" s="929" t="str">
        <f>'XM.FILE GOC'!$E$84</f>
        <v>50~70</v>
      </c>
      <c r="H12" s="2427" t="str">
        <f>'XM.FILE GOC'!$F$84</f>
        <v>(60±5)</v>
      </c>
      <c r="I12" s="2430">
        <f>'XM.FILE GOC'!I84</f>
        <v>59.7</v>
      </c>
      <c r="J12" s="1004" t="s">
        <v>8</v>
      </c>
      <c r="K12" s="1005">
        <f>'XM.FILE GOC'!L84</f>
        <v>2.6003999999999756</v>
      </c>
      <c r="L12" s="1006" t="s">
        <v>9</v>
      </c>
      <c r="M12" s="1670">
        <f>'3.XT-C kh.mau HALO'!M12</f>
        <v>62.2</v>
      </c>
      <c r="N12" s="940" t="s">
        <v>8</v>
      </c>
      <c r="O12" s="1687">
        <f>IF(M12=0,"",('XM.FILE GOC'!$G$84-M12)*8668/1000)</f>
        <v>-19.069600000000023</v>
      </c>
      <c r="P12" s="941" t="s">
        <v>9</v>
      </c>
      <c r="Q12" s="2430">
        <f>'XM.FILE GOC'!P84</f>
        <v>63.063000000000002</v>
      </c>
      <c r="R12" s="1004" t="s">
        <v>8</v>
      </c>
      <c r="S12" s="1005">
        <f>'XM.FILE GOC'!S84</f>
        <v>0</v>
      </c>
      <c r="T12" s="1006" t="s">
        <v>9</v>
      </c>
      <c r="U12" s="1670">
        <f>'3.XT-C kh.mau HALO'!U12</f>
        <v>0</v>
      </c>
      <c r="V12" s="940" t="s">
        <v>8</v>
      </c>
      <c r="W12" s="1687" t="str">
        <f>IF(U12=0,"",('XM.FILE GOC'!$G$84-U12)*8668/1000)</f>
        <v/>
      </c>
      <c r="X12" s="941" t="s">
        <v>9</v>
      </c>
      <c r="Y12" s="2430">
        <f>'XM.FILE GOC'!W84</f>
        <v>60.521999999999998</v>
      </c>
      <c r="Z12" s="1004" t="s">
        <v>8</v>
      </c>
      <c r="AA12" s="1005">
        <f>'XM.FILE GOC'!Z84</f>
        <v>0</v>
      </c>
      <c r="AB12" s="1006" t="s">
        <v>9</v>
      </c>
      <c r="AC12" s="1670">
        <f>'3.XT-C kh.mau HALO'!AC12</f>
        <v>0</v>
      </c>
      <c r="AD12" s="940" t="s">
        <v>8</v>
      </c>
      <c r="AE12" s="1687" t="str">
        <f>IF(AC12=0,"",('XM.FILE GOC'!$G$84-AC12)*8668/1000)</f>
        <v/>
      </c>
      <c r="AF12" s="941" t="s">
        <v>9</v>
      </c>
      <c r="AG12" s="1662" t="s">
        <v>40</v>
      </c>
    </row>
    <row r="13" spans="1:35" ht="49.5" customHeight="1">
      <c r="A13" s="2979"/>
      <c r="B13" s="2897"/>
      <c r="C13" s="2897"/>
      <c r="D13" s="2871" t="s">
        <v>234</v>
      </c>
      <c r="E13" s="2873" t="s">
        <v>234</v>
      </c>
      <c r="F13" s="928"/>
      <c r="G13" s="929" t="s">
        <v>1287</v>
      </c>
      <c r="H13" s="2427"/>
      <c r="I13" s="2416"/>
      <c r="J13" s="61"/>
      <c r="K13" s="985">
        <f>K12/25*8</f>
        <v>0.83212799999999221</v>
      </c>
      <c r="L13" s="614" t="s">
        <v>10</v>
      </c>
      <c r="M13" s="1670">
        <f>'3.XT-C kh.mau HALO'!M13</f>
        <v>0</v>
      </c>
      <c r="N13" s="942" t="s">
        <v>8</v>
      </c>
      <c r="O13" s="1684">
        <f>IF(M12=0,"",O12/25*8)</f>
        <v>-6.1022720000000072</v>
      </c>
      <c r="P13" s="943" t="s">
        <v>10</v>
      </c>
      <c r="Q13" s="2416"/>
      <c r="R13" s="61"/>
      <c r="S13" s="985">
        <f>S12/25*8</f>
        <v>0</v>
      </c>
      <c r="T13" s="614" t="s">
        <v>10</v>
      </c>
      <c r="U13" s="1670">
        <f>'3.XT-C kh.mau HALO'!U13</f>
        <v>0</v>
      </c>
      <c r="V13" s="942" t="s">
        <v>8</v>
      </c>
      <c r="W13" s="1684" t="str">
        <f>IF(U12=0,"",W12/25*8)</f>
        <v/>
      </c>
      <c r="X13" s="943" t="s">
        <v>10</v>
      </c>
      <c r="Y13" s="2416"/>
      <c r="Z13" s="61"/>
      <c r="AA13" s="985">
        <f>AA12/25*8</f>
        <v>0</v>
      </c>
      <c r="AB13" s="614" t="s">
        <v>10</v>
      </c>
      <c r="AC13" s="1670">
        <f>'3.XT-C kh.mau HALO'!AC13</f>
        <v>0</v>
      </c>
      <c r="AD13" s="942" t="s">
        <v>8</v>
      </c>
      <c r="AE13" s="1684" t="str">
        <f>IF(AC12=0,"",AE12/25*8)</f>
        <v/>
      </c>
      <c r="AF13" s="943" t="s">
        <v>10</v>
      </c>
      <c r="AG13" s="1662"/>
    </row>
    <row r="14" spans="1:35" ht="49.5" customHeight="1">
      <c r="A14" s="2973">
        <v>5</v>
      </c>
      <c r="B14" s="2997" t="s">
        <v>955</v>
      </c>
      <c r="C14" s="2994" t="s">
        <v>956</v>
      </c>
      <c r="D14" s="2995"/>
      <c r="E14" s="2996"/>
      <c r="F14" s="660" t="s">
        <v>4</v>
      </c>
      <c r="G14" s="929" t="str">
        <f>'XM.FILE GOC'!$E$86</f>
        <v>135~ 145</v>
      </c>
      <c r="H14" s="2427" t="str">
        <f>'XM.FILE GOC'!$F$86</f>
        <v>(140±5)</v>
      </c>
      <c r="I14" s="2432">
        <f>'XM.FILE GOC'!I86</f>
        <v>143.6</v>
      </c>
      <c r="J14" s="1004" t="s">
        <v>8</v>
      </c>
      <c r="K14" s="1005">
        <f>'XM.FILE GOC'!L86</f>
        <v>0</v>
      </c>
      <c r="L14" s="1006" t="s">
        <v>9</v>
      </c>
      <c r="M14" s="1670">
        <f>'3.XT-C kh.mau HALO'!M14</f>
        <v>0</v>
      </c>
      <c r="N14" s="940" t="s">
        <v>8</v>
      </c>
      <c r="O14" s="1687" t="str">
        <f>IF(M14=0,"",('XM.FILE GOC'!$G$86-M14)*53066/1000)</f>
        <v/>
      </c>
      <c r="P14" s="941" t="s">
        <v>9</v>
      </c>
      <c r="Q14" s="2432">
        <f>'XM.FILE GOC'!P86</f>
        <v>144.80000000000001</v>
      </c>
      <c r="R14" s="1004" t="s">
        <v>8</v>
      </c>
      <c r="S14" s="1005">
        <f>'XM.FILE GOC'!S86</f>
        <v>0</v>
      </c>
      <c r="T14" s="1006" t="s">
        <v>9</v>
      </c>
      <c r="U14" s="1670">
        <f>'3.XT-C kh.mau HALO'!U14</f>
        <v>0</v>
      </c>
      <c r="V14" s="940" t="s">
        <v>8</v>
      </c>
      <c r="W14" s="1687" t="str">
        <f>IF(U14=0,"",('XM.FILE GOC'!$G$86-U14)*53066/1000)</f>
        <v/>
      </c>
      <c r="X14" s="941" t="s">
        <v>9</v>
      </c>
      <c r="Y14" s="2432">
        <f>'XM.FILE GOC'!W86</f>
        <v>143.19999999999999</v>
      </c>
      <c r="Z14" s="1004" t="s">
        <v>8</v>
      </c>
      <c r="AA14" s="1005">
        <f>'XM.FILE GOC'!Z86</f>
        <v>0</v>
      </c>
      <c r="AB14" s="1006" t="s">
        <v>9</v>
      </c>
      <c r="AC14" s="1670">
        <f>'3.XT-C kh.mau HALO'!AC14</f>
        <v>0</v>
      </c>
      <c r="AD14" s="940" t="s">
        <v>8</v>
      </c>
      <c r="AE14" s="1687" t="str">
        <f>IF(AC14=0,"",('XM.FILE GOC'!$G$86-AC14)*53066/1000)</f>
        <v/>
      </c>
      <c r="AF14" s="941" t="s">
        <v>9</v>
      </c>
      <c r="AG14" s="1662" t="s">
        <v>41</v>
      </c>
    </row>
    <row r="15" spans="1:35" ht="49.5" customHeight="1">
      <c r="A15" s="2979"/>
      <c r="B15" s="3021"/>
      <c r="C15" s="3022" t="s">
        <v>957</v>
      </c>
      <c r="D15" s="3023"/>
      <c r="E15" s="3024"/>
      <c r="F15" s="2504" t="s">
        <v>4</v>
      </c>
      <c r="G15" s="1675" t="str">
        <f>'XM.FILE GOC'!$E$87</f>
        <v>7~10</v>
      </c>
      <c r="H15" s="2444" t="str">
        <f>'XM.FILE GOC'!$F$87</f>
        <v>(8.5±1)</v>
      </c>
      <c r="I15" s="2506">
        <f>'XM.FILE GOC'!I87</f>
        <v>8.58</v>
      </c>
      <c r="J15" s="2507" t="s">
        <v>8</v>
      </c>
      <c r="K15" s="2508">
        <f>'XM.FILE GOC'!L87</f>
        <v>0</v>
      </c>
      <c r="L15" s="2509" t="s">
        <v>9</v>
      </c>
      <c r="M15" s="2277">
        <f>'3.XT-C kh.mau HALO'!M15</f>
        <v>0</v>
      </c>
      <c r="N15" s="2510" t="s">
        <v>8</v>
      </c>
      <c r="O15" s="2511" t="str">
        <f>IF(M15=0,"",('XM.FILE GOC'!$G$87-M15)*53066/1000)</f>
        <v/>
      </c>
      <c r="P15" s="2512" t="s">
        <v>9</v>
      </c>
      <c r="Q15" s="2506">
        <f>'XM.FILE GOC'!P87</f>
        <v>8.32</v>
      </c>
      <c r="R15" s="2507" t="s">
        <v>8</v>
      </c>
      <c r="S15" s="2508">
        <f>'XM.FILE GOC'!S87</f>
        <v>9.5518799999999846</v>
      </c>
      <c r="T15" s="2509" t="s">
        <v>9</v>
      </c>
      <c r="U15" s="2277">
        <f>'3.XT-C kh.mau HALO'!U15</f>
        <v>8.4</v>
      </c>
      <c r="V15" s="2510" t="s">
        <v>8</v>
      </c>
      <c r="W15" s="2511">
        <f>IF(U15=0,"",('XM.FILE GOC'!$G$87-U15)*53066/1000)</f>
        <v>5.3065999999999809</v>
      </c>
      <c r="X15" s="2512" t="s">
        <v>9</v>
      </c>
      <c r="Y15" s="2506">
        <f>'XM.FILE GOC'!W87</f>
        <v>8.3849999999999998</v>
      </c>
      <c r="Z15" s="2507" t="s">
        <v>8</v>
      </c>
      <c r="AA15" s="2508">
        <f>'XM.FILE GOC'!Z87</f>
        <v>6.1025900000000108</v>
      </c>
      <c r="AB15" s="2512" t="s">
        <v>9</v>
      </c>
      <c r="AC15" s="2277">
        <f>'3.XT-C kh.mau HALO'!AC15</f>
        <v>8.5519999999999996</v>
      </c>
      <c r="AD15" s="2510" t="s">
        <v>8</v>
      </c>
      <c r="AE15" s="2511">
        <f>IF(AC15=0,"",('XM.FILE GOC'!$G$87-AC15)*53066/1000)</f>
        <v>-2.759431999999979</v>
      </c>
      <c r="AF15" s="2512" t="s">
        <v>9</v>
      </c>
      <c r="AG15" s="2502" t="s">
        <v>42</v>
      </c>
    </row>
    <row r="16" spans="1:35" s="7" customFormat="1" ht="49.5" customHeight="1">
      <c r="A16" s="3025">
        <v>6</v>
      </c>
      <c r="B16" s="3027" t="s">
        <v>38</v>
      </c>
      <c r="C16" s="3028"/>
      <c r="D16" s="3028"/>
      <c r="E16" s="3031"/>
      <c r="F16" s="2518" t="s">
        <v>3</v>
      </c>
      <c r="G16" s="2519" t="s">
        <v>1332</v>
      </c>
      <c r="H16" s="2520" t="s">
        <v>1321</v>
      </c>
      <c r="I16" s="2521">
        <f>'XM.FILE GOC'!I97</f>
        <v>12.1</v>
      </c>
      <c r="J16" s="2522"/>
      <c r="K16" s="2523">
        <f>'XM.FILE GOC'!L97</f>
        <v>0</v>
      </c>
      <c r="L16" s="2524" t="s">
        <v>10</v>
      </c>
      <c r="M16" s="2525"/>
      <c r="N16" s="2526"/>
      <c r="O16" s="2527" t="str">
        <f>IF(M16=0,"",('XM.FILE GOC'!$G$97-M16)*3360/102)</f>
        <v/>
      </c>
      <c r="P16" s="2528" t="s">
        <v>10</v>
      </c>
      <c r="Q16" s="2529">
        <f>'XM.FILE GOC'!P97</f>
        <v>11.9</v>
      </c>
      <c r="R16" s="2522"/>
      <c r="S16" s="2523">
        <f>'XM.FILE GOC'!S97</f>
        <v>3.3599999999999879</v>
      </c>
      <c r="T16" s="2524" t="s">
        <v>10</v>
      </c>
      <c r="U16" s="2525">
        <v>12.2</v>
      </c>
      <c r="V16" s="2526"/>
      <c r="W16" s="2527">
        <f>IF(U16=0,"",('XM.FILE GOC'!$G$97-U16)*3360/102)</f>
        <v>-6.5882352941176237</v>
      </c>
      <c r="X16" s="2528" t="s">
        <v>10</v>
      </c>
      <c r="Y16" s="2529">
        <f>'XM.FILE GOC'!W97</f>
        <v>12.3</v>
      </c>
      <c r="Z16" s="2522"/>
      <c r="AA16" s="2523">
        <f>'XM.FILE GOC'!Z97</f>
        <v>0</v>
      </c>
      <c r="AB16" s="2524" t="s">
        <v>10</v>
      </c>
      <c r="AC16" s="2525"/>
      <c r="AD16" s="2526"/>
      <c r="AE16" s="2527" t="str">
        <f>IF(AC16=0,"",('XM.FILE GOC'!$G$97-AC16)*3360/102)</f>
        <v/>
      </c>
      <c r="AF16" s="2528" t="s">
        <v>10</v>
      </c>
      <c r="AG16" s="2530" t="s">
        <v>43</v>
      </c>
      <c r="AH16" s="1673"/>
      <c r="AI16" s="1666" t="s">
        <v>1451</v>
      </c>
    </row>
    <row r="17" spans="1:35" ht="49.5" customHeight="1">
      <c r="A17" s="3026"/>
      <c r="B17" s="3029"/>
      <c r="C17" s="3030"/>
      <c r="D17" s="3030"/>
      <c r="E17" s="3032"/>
      <c r="F17" s="2531" t="s">
        <v>5</v>
      </c>
      <c r="G17" s="2532" t="s">
        <v>1330</v>
      </c>
      <c r="H17" s="2533" t="s">
        <v>1322</v>
      </c>
      <c r="I17" s="2534">
        <f>'XM.FILE GOC'!I98</f>
        <v>2.12</v>
      </c>
      <c r="J17" s="2535"/>
      <c r="K17" s="2536"/>
      <c r="L17" s="2537"/>
      <c r="M17" s="2538"/>
      <c r="N17" s="2539"/>
      <c r="O17" s="2540"/>
      <c r="P17" s="2541"/>
      <c r="Q17" s="2542">
        <f>'XM.FILE GOC'!P98</f>
        <v>2.1</v>
      </c>
      <c r="R17" s="2535"/>
      <c r="S17" s="2536"/>
      <c r="T17" s="2537"/>
      <c r="U17" s="2538"/>
      <c r="V17" s="2539"/>
      <c r="W17" s="2540"/>
      <c r="X17" s="2541"/>
      <c r="Y17" s="2542">
        <f>'XM.FILE GOC'!W98</f>
        <v>2.0499999999999998</v>
      </c>
      <c r="Z17" s="2543"/>
      <c r="AA17" s="2544"/>
      <c r="AB17" s="2545"/>
      <c r="AC17" s="2538"/>
      <c r="AD17" s="2539"/>
      <c r="AE17" s="2540"/>
      <c r="AF17" s="2541"/>
      <c r="AG17" s="2546"/>
      <c r="AH17" s="2505"/>
    </row>
    <row r="18" spans="1:35" ht="49.5" customHeight="1">
      <c r="A18" s="1663">
        <v>7</v>
      </c>
      <c r="B18" s="3033" t="s">
        <v>958</v>
      </c>
      <c r="C18" s="3034"/>
      <c r="D18" s="3034"/>
      <c r="E18" s="3035"/>
      <c r="F18" s="2281" t="s">
        <v>6</v>
      </c>
      <c r="G18" s="1677" t="str">
        <f>'XM.FILE GOC'!$E$90</f>
        <v>40~50</v>
      </c>
      <c r="H18" s="2446" t="str">
        <f>'XM.FILE GOC'!$F$90</f>
        <v>(45±5)</v>
      </c>
      <c r="I18" s="2513">
        <f>'XM.FILE GOC'!I90</f>
        <v>0.46500000000000002</v>
      </c>
      <c r="J18" s="2283" t="s">
        <v>8</v>
      </c>
      <c r="K18" s="2284">
        <f>'XM.FILE GOC'!L90</f>
        <v>0</v>
      </c>
      <c r="L18" s="2285" t="s">
        <v>10</v>
      </c>
      <c r="M18" s="2514" t="str">
        <f>IF(I18&gt;44.99%,"",'3.XT-C kh.mau HALO'!M18)</f>
        <v/>
      </c>
      <c r="N18" s="2515" t="s">
        <v>8</v>
      </c>
      <c r="O18" s="2516" t="str">
        <f>IF(M18="","",('XM.FILE GOC'!$G$90-M18)*6723/2.6)</f>
        <v/>
      </c>
      <c r="P18" s="2517" t="s">
        <v>10</v>
      </c>
      <c r="Q18" s="2513">
        <f>'XM.FILE GOC'!P90</f>
        <v>0.46400000000000002</v>
      </c>
      <c r="R18" s="2283" t="s">
        <v>8</v>
      </c>
      <c r="S18" s="2284">
        <f>'XM.FILE GOC'!S90</f>
        <v>0</v>
      </c>
      <c r="T18" s="2285" t="s">
        <v>10</v>
      </c>
      <c r="U18" s="2514" t="str">
        <f>IF(Q18&gt;44.99%,"",'3.XT-C kh.mau HALO'!U18)</f>
        <v/>
      </c>
      <c r="V18" s="2515" t="s">
        <v>8</v>
      </c>
      <c r="W18" s="2516" t="str">
        <f>IF(U18="","",('XM.FILE GOC'!$G$90-U18)*6723/2.6)</f>
        <v/>
      </c>
      <c r="X18" s="2517" t="s">
        <v>10</v>
      </c>
      <c r="Y18" s="2513">
        <f>'XM.FILE GOC'!W90</f>
        <v>0.46</v>
      </c>
      <c r="Z18" s="2283" t="s">
        <v>8</v>
      </c>
      <c r="AA18" s="2284">
        <f>'XM.FILE GOC'!Z90</f>
        <v>0</v>
      </c>
      <c r="AB18" s="2285" t="s">
        <v>10</v>
      </c>
      <c r="AC18" s="2514" t="str">
        <f>IF(Y18&gt;44.99%,"",'3.XT-C kh.mau HALO'!AC18)</f>
        <v/>
      </c>
      <c r="AD18" s="2515" t="s">
        <v>8</v>
      </c>
      <c r="AE18" s="2516" t="str">
        <f>IF(AC18="","",('XM.FILE GOC'!$G$90-AC18)*6723/2.6)</f>
        <v/>
      </c>
      <c r="AF18" s="2517" t="s">
        <v>10</v>
      </c>
      <c r="AG18" s="2503" t="s">
        <v>44</v>
      </c>
    </row>
    <row r="19" spans="1:35" ht="49.5" customHeight="1">
      <c r="A19" s="1663">
        <v>8</v>
      </c>
      <c r="B19" s="2988" t="s">
        <v>959</v>
      </c>
      <c r="C19" s="2989"/>
      <c r="D19" s="2989"/>
      <c r="E19" s="2990"/>
      <c r="F19" s="660" t="s">
        <v>6</v>
      </c>
      <c r="G19" s="929" t="str">
        <f>'XM.FILE GOC'!$E$92</f>
        <v>40~50</v>
      </c>
      <c r="H19" s="2427" t="str">
        <f>'XM.FILE GOC'!$F$92</f>
        <v>(45±5)</v>
      </c>
      <c r="I19" s="2435">
        <f>'XM.FILE GOC'!I92</f>
        <v>0.45168749999999996</v>
      </c>
      <c r="J19" s="1004" t="s">
        <v>8</v>
      </c>
      <c r="K19" s="1005">
        <f>'XM.FILE GOC'!L92</f>
        <v>0</v>
      </c>
      <c r="L19" s="1006" t="s">
        <v>10</v>
      </c>
      <c r="M19" s="946" t="str">
        <f>IF(I19&gt;44.99%,"",'3.XT-C kh.mau HALO'!M19)</f>
        <v/>
      </c>
      <c r="N19" s="942" t="s">
        <v>8</v>
      </c>
      <c r="O19" s="1686" t="str">
        <f>IF(M19="","",('XM.FILE GOC'!$G$92-M19)*10509/2.6)</f>
        <v/>
      </c>
      <c r="P19" s="943" t="s">
        <v>10</v>
      </c>
      <c r="Q19" s="2435">
        <f>'XM.FILE GOC'!P92</f>
        <v>0.43799999999999994</v>
      </c>
      <c r="R19" s="1004" t="s">
        <v>8</v>
      </c>
      <c r="S19" s="1005">
        <f>'XM.FILE GOC'!S92</f>
        <v>48.503076923077188</v>
      </c>
      <c r="T19" s="1006" t="s">
        <v>10</v>
      </c>
      <c r="U19" s="946">
        <f>IF(Q19&gt;44.99%,"",'3.XT-C kh.mau HALO'!U19)</f>
        <v>0.45200000000000001</v>
      </c>
      <c r="V19" s="942" t="s">
        <v>8</v>
      </c>
      <c r="W19" s="1686">
        <f>IF(U19="","",('XM.FILE GOC'!$G$92-U19)*10509/2.6)</f>
        <v>-8.0838461538461601</v>
      </c>
      <c r="X19" s="943" t="s">
        <v>10</v>
      </c>
      <c r="Y19" s="2435">
        <f>'XM.FILE GOC'!W92</f>
        <v>0.45800000000000002</v>
      </c>
      <c r="Z19" s="1004" t="s">
        <v>8</v>
      </c>
      <c r="AA19" s="1005">
        <f>'XM.FILE GOC'!Z92</f>
        <v>0</v>
      </c>
      <c r="AB19" s="1006" t="s">
        <v>10</v>
      </c>
      <c r="AC19" s="946" t="str">
        <f>IF(Y19&gt;44.99%,"",'3.XT-C kh.mau HALO'!AC19)</f>
        <v/>
      </c>
      <c r="AD19" s="942" t="s">
        <v>8</v>
      </c>
      <c r="AE19" s="1686" t="str">
        <f>IF(AC19="","",('XM.FILE GOC'!$G$92-AC19)*10509/2.6)</f>
        <v/>
      </c>
      <c r="AF19" s="943" t="s">
        <v>10</v>
      </c>
      <c r="AG19" s="72" t="s">
        <v>44</v>
      </c>
    </row>
    <row r="20" spans="1:35" ht="49.5" customHeight="1">
      <c r="A20" s="2475">
        <v>9</v>
      </c>
      <c r="B20" s="2991" t="s">
        <v>83</v>
      </c>
      <c r="C20" s="2992"/>
      <c r="D20" s="2992"/>
      <c r="E20" s="2993"/>
      <c r="F20" s="660" t="s">
        <v>6</v>
      </c>
      <c r="G20" s="929" t="str">
        <f>'XM.FILE GOC'!$E$93</f>
        <v>10~20</v>
      </c>
      <c r="H20" s="2427" t="str">
        <f>'XM.FILE GOC'!$F$93</f>
        <v>(15±5)</v>
      </c>
      <c r="I20" s="2436">
        <f>'XM.FILE GOC'!I93</f>
        <v>0.1323125</v>
      </c>
      <c r="J20" s="1004" t="s">
        <v>8</v>
      </c>
      <c r="K20" s="1005">
        <f>'XM.FILE GOC'!L93</f>
        <v>19.724612068965513</v>
      </c>
      <c r="L20" s="1006" t="s">
        <v>10</v>
      </c>
      <c r="M20" s="946">
        <f>IF(I20&gt;14.99%,"",'3.XT-C kh.mau HALO'!M20)</f>
        <v>0.45200000000000001</v>
      </c>
      <c r="N20" s="940" t="s">
        <v>8</v>
      </c>
      <c r="O20" s="968">
        <f>IF(M20="","",('XM.FILE GOC'!$G$93-M20)*3234/2.9)</f>
        <v>-336.78206896551728</v>
      </c>
      <c r="P20" s="941" t="s">
        <v>10</v>
      </c>
      <c r="Q20" s="2436">
        <f>'XM.FILE GOC'!P93</f>
        <v>0.159</v>
      </c>
      <c r="R20" s="1004" t="s">
        <v>8</v>
      </c>
      <c r="S20" s="1005">
        <f>'XM.FILE GOC'!S93</f>
        <v>0</v>
      </c>
      <c r="T20" s="1006" t="s">
        <v>10</v>
      </c>
      <c r="U20" s="946" t="str">
        <f>IF(Q20&gt;14.99%,"",'3.XT-C kh.mau HALO'!U20)</f>
        <v/>
      </c>
      <c r="V20" s="940" t="s">
        <v>8</v>
      </c>
      <c r="W20" s="968" t="str">
        <f>IF(U20="","",('XM.FILE GOC'!$G$93-U20)*3234/2.9)</f>
        <v/>
      </c>
      <c r="X20" s="941" t="s">
        <v>10</v>
      </c>
      <c r="Y20" s="2436">
        <f>'XM.FILE GOC'!W93</f>
        <v>0.154</v>
      </c>
      <c r="Z20" s="1004" t="s">
        <v>8</v>
      </c>
      <c r="AA20" s="1005">
        <f>'XM.FILE GOC'!Z93</f>
        <v>0</v>
      </c>
      <c r="AB20" s="1006" t="s">
        <v>10</v>
      </c>
      <c r="AC20" s="946" t="str">
        <f>IF(Y20&gt;14.99%,"",'3.XT-C kh.mau HALO'!AC20)</f>
        <v/>
      </c>
      <c r="AD20" s="940" t="s">
        <v>8</v>
      </c>
      <c r="AE20" s="968" t="str">
        <f>IF(AC20="","",('XM.FILE GOC'!$G$93-AC20)*3234/2.9)</f>
        <v/>
      </c>
      <c r="AF20" s="941" t="s">
        <v>10</v>
      </c>
      <c r="AG20" s="1662" t="s">
        <v>45</v>
      </c>
    </row>
    <row r="21" spans="1:35" ht="49.5" customHeight="1">
      <c r="A21" s="2475">
        <v>10</v>
      </c>
      <c r="B21" s="2991" t="s">
        <v>960</v>
      </c>
      <c r="C21" s="2992" t="s">
        <v>960</v>
      </c>
      <c r="D21" s="2992" t="s">
        <v>960</v>
      </c>
      <c r="E21" s="2993" t="s">
        <v>960</v>
      </c>
      <c r="F21" s="660" t="s">
        <v>6</v>
      </c>
      <c r="G21" s="929" t="str">
        <f>'XM.FILE GOC'!$E$94</f>
        <v>(1±0.4)=0.6~1.4</v>
      </c>
      <c r="H21" s="2427" t="str">
        <f>'XM.FILE GOC'!$F$94</f>
        <v>(1±0.4)</v>
      </c>
      <c r="I21" s="2437">
        <f>'XM.FILE GOC'!I94</f>
        <v>1.0500000000000001E-2</v>
      </c>
      <c r="J21" s="1004" t="s">
        <v>8</v>
      </c>
      <c r="K21" s="1008">
        <f>'XM.FILE GOC'!L94</f>
        <v>0</v>
      </c>
      <c r="L21" s="1009" t="s">
        <v>10</v>
      </c>
      <c r="M21" s="1669" t="str">
        <f>IF(I21&gt;0.99%,"",'3.XT-C kh.mau HALO'!M21)</f>
        <v/>
      </c>
      <c r="N21" s="979" t="s">
        <v>8</v>
      </c>
      <c r="O21" s="1688" t="str">
        <f>IF(M21="","",('XM.FILE GOC'!$G$94-M21)*2808)</f>
        <v/>
      </c>
      <c r="P21" s="949" t="s">
        <v>10</v>
      </c>
      <c r="Q21" s="2437">
        <f>'XM.FILE GOC'!P94</f>
        <v>1.0200000000000001E-2</v>
      </c>
      <c r="R21" s="1004" t="s">
        <v>8</v>
      </c>
      <c r="S21" s="1008">
        <f>'XM.FILE GOC'!S94</f>
        <v>0</v>
      </c>
      <c r="T21" s="1009" t="s">
        <v>10</v>
      </c>
      <c r="U21" s="1669" t="str">
        <f>IF(Q21&gt;0.99%,"",'3.XT-C kh.mau HALO'!U21)</f>
        <v/>
      </c>
      <c r="V21" s="979" t="s">
        <v>8</v>
      </c>
      <c r="W21" s="1688" t="str">
        <f>IF(U21="","",('XM.FILE GOC'!$G$94-U21)*2808)</f>
        <v/>
      </c>
      <c r="X21" s="949" t="s">
        <v>10</v>
      </c>
      <c r="Y21" s="2437">
        <f>'XM.FILE GOC'!W94</f>
        <v>0.01</v>
      </c>
      <c r="Z21" s="1004" t="s">
        <v>8</v>
      </c>
      <c r="AA21" s="1008">
        <f>'XM.FILE GOC'!Z94</f>
        <v>0</v>
      </c>
      <c r="AB21" s="1009" t="s">
        <v>10</v>
      </c>
      <c r="AC21" s="1669" t="str">
        <f>IF(Y21&gt;0.99%,"",'3.XT-C kh.mau HALO'!AC21)</f>
        <v/>
      </c>
      <c r="AD21" s="979" t="s">
        <v>8</v>
      </c>
      <c r="AE21" s="1688" t="str">
        <f>IF(AC21="","",('XM.FILE GOC'!$G$94-AC21)*2808)</f>
        <v/>
      </c>
      <c r="AF21" s="949" t="s">
        <v>10</v>
      </c>
      <c r="AG21" s="1662" t="s">
        <v>45</v>
      </c>
    </row>
    <row r="22" spans="1:35" ht="49.5" hidden="1" customHeight="1">
      <c r="A22" s="2475">
        <v>11</v>
      </c>
      <c r="B22" s="2877" t="s">
        <v>75</v>
      </c>
      <c r="C22" s="2878"/>
      <c r="D22" s="2878"/>
      <c r="E22" s="2879"/>
      <c r="F22" s="2" t="s">
        <v>3</v>
      </c>
      <c r="G22" s="929" t="str">
        <f>'XM.GUI MAIL'!$E$95</f>
        <v>5~8</v>
      </c>
      <c r="H22" s="2427" t="str">
        <f>'XM.GUI MAIL'!$F$95</f>
        <v>(6±0.5)</v>
      </c>
      <c r="I22" s="1952">
        <f>'XM.FILE GOC'!AD53</f>
        <v>6.9194600000000008</v>
      </c>
      <c r="J22" s="1004" t="s">
        <v>8</v>
      </c>
      <c r="K22" s="1005">
        <f>'XM.FILE GOC'!AG53</f>
        <v>0.46310499999999521</v>
      </c>
      <c r="L22" s="1009" t="s">
        <v>10</v>
      </c>
      <c r="M22" s="2466"/>
      <c r="N22" s="940" t="s">
        <v>8</v>
      </c>
      <c r="O22" s="968">
        <f>('XM.FILE GOC'!$G$95-M22)*4042/95*1.028</f>
        <v>262.43216842105267</v>
      </c>
      <c r="P22" s="941" t="s">
        <v>10</v>
      </c>
      <c r="Q22" s="1952">
        <f>'XM.FILE GOC'!AK53</f>
        <v>7.2</v>
      </c>
      <c r="R22" s="1004" t="s">
        <v>8</v>
      </c>
      <c r="S22" s="1005">
        <f>'XM.FILE GOC'!AN53</f>
        <v>0</v>
      </c>
      <c r="T22" s="1009" t="s">
        <v>10</v>
      </c>
      <c r="U22" s="2466"/>
      <c r="V22" s="940" t="s">
        <v>8</v>
      </c>
      <c r="W22" s="968">
        <f>('XM.FILE GOC'!$G$95-U22)*4042/95*1.028</f>
        <v>262.43216842105267</v>
      </c>
      <c r="X22" s="941" t="s">
        <v>10</v>
      </c>
      <c r="Y22" s="1952">
        <f>'XM.FILE GOC'!AR53</f>
        <v>7.1</v>
      </c>
      <c r="Z22" s="1004" t="s">
        <v>8</v>
      </c>
      <c r="AA22" s="1005">
        <f>'XM.FILE GOC'!AU53</f>
        <v>0</v>
      </c>
      <c r="AB22" s="1009" t="s">
        <v>10</v>
      </c>
      <c r="AC22" s="2466"/>
      <c r="AD22" s="940" t="s">
        <v>8</v>
      </c>
      <c r="AE22" s="968">
        <f>('XM.FILE GOC'!$G$95-AC22)*4042/95*1.028</f>
        <v>262.43216842105267</v>
      </c>
      <c r="AF22" s="941" t="s">
        <v>10</v>
      </c>
      <c r="AG22" s="2474"/>
    </row>
    <row r="23" spans="1:35" ht="49.5" hidden="1" customHeight="1">
      <c r="A23" s="2475">
        <v>12</v>
      </c>
      <c r="B23" s="2880"/>
      <c r="C23" s="2881"/>
      <c r="D23" s="2881"/>
      <c r="E23" s="2882"/>
      <c r="F23" s="2" t="s">
        <v>5</v>
      </c>
      <c r="G23" s="929" t="str">
        <f>'XM.GUI MAIL'!$E$96</f>
        <v>1.8~2.4</v>
      </c>
      <c r="H23" s="2427" t="str">
        <f>'XM.GUI MAIL'!$F$96</f>
        <v>(2.1±0.1)</v>
      </c>
      <c r="I23" s="1869">
        <f>'XM.FILE GOC'!AD54</f>
        <v>2.2000000000000002</v>
      </c>
      <c r="J23" s="1004"/>
      <c r="K23" s="1008"/>
      <c r="L23" s="1009"/>
      <c r="M23" s="947"/>
      <c r="N23" s="979"/>
      <c r="O23" s="1688"/>
      <c r="P23" s="949"/>
      <c r="Q23" s="1869">
        <f>'XM.FILE GOC'!AK54</f>
        <v>2.23</v>
      </c>
      <c r="R23" s="1004"/>
      <c r="S23" s="1008"/>
      <c r="T23" s="1009"/>
      <c r="U23" s="947"/>
      <c r="V23" s="979"/>
      <c r="W23" s="1688"/>
      <c r="X23" s="949"/>
      <c r="Y23" s="1869">
        <f>'XM.FILE GOC'!AR54</f>
        <v>2.2000000000000002</v>
      </c>
      <c r="Z23" s="1004"/>
      <c r="AA23" s="1008"/>
      <c r="AB23" s="1009"/>
      <c r="AC23" s="947"/>
      <c r="AD23" s="979"/>
      <c r="AE23" s="1688"/>
      <c r="AF23" s="949"/>
      <c r="AG23" s="2474"/>
    </row>
    <row r="24" spans="1:35" ht="49.5" customHeight="1">
      <c r="A24" s="1663"/>
      <c r="B24" s="2999" t="s">
        <v>2</v>
      </c>
      <c r="C24" s="2999"/>
      <c r="D24" s="2999"/>
      <c r="E24" s="2999"/>
      <c r="F24" s="2999"/>
      <c r="G24" s="2999"/>
      <c r="H24" s="2999"/>
      <c r="I24" s="2999"/>
      <c r="J24" s="2999"/>
      <c r="K24" s="2999"/>
      <c r="L24" s="2999"/>
      <c r="M24" s="2999"/>
      <c r="N24" s="2999"/>
      <c r="O24" s="2999"/>
      <c r="P24" s="2999"/>
      <c r="Q24" s="2999"/>
      <c r="R24" s="2999"/>
      <c r="S24" s="2999"/>
      <c r="T24" s="2999"/>
      <c r="U24" s="2999"/>
      <c r="V24" s="2999"/>
      <c r="W24" s="2999"/>
      <c r="X24" s="2999"/>
      <c r="Y24" s="2999"/>
      <c r="Z24" s="2999"/>
      <c r="AA24" s="2999"/>
      <c r="AB24" s="2999"/>
      <c r="AC24" s="2999"/>
      <c r="AD24" s="2999"/>
      <c r="AE24" s="2999"/>
      <c r="AF24" s="2999"/>
      <c r="AG24" s="2999"/>
    </row>
    <row r="25" spans="1:35" ht="49.5" customHeight="1">
      <c r="A25" s="1663" t="s">
        <v>7</v>
      </c>
      <c r="B25" s="2965" t="s">
        <v>961</v>
      </c>
      <c r="C25" s="2966"/>
      <c r="D25" s="2966"/>
      <c r="E25" s="2967"/>
      <c r="F25" s="1010" t="s">
        <v>962</v>
      </c>
      <c r="G25" s="1010" t="s">
        <v>1325</v>
      </c>
      <c r="H25" s="2429" t="s">
        <v>1317</v>
      </c>
      <c r="I25" s="3000" t="s">
        <v>963</v>
      </c>
      <c r="J25" s="3001"/>
      <c r="K25" s="3002" t="s">
        <v>964</v>
      </c>
      <c r="L25" s="3001"/>
      <c r="M25" s="950"/>
      <c r="N25" s="951"/>
      <c r="O25" s="951"/>
      <c r="P25" s="952"/>
      <c r="Q25" s="3002" t="s">
        <v>963</v>
      </c>
      <c r="R25" s="3001"/>
      <c r="S25" s="3002" t="s">
        <v>964</v>
      </c>
      <c r="T25" s="3001"/>
      <c r="U25" s="950"/>
      <c r="V25" s="951"/>
      <c r="W25" s="951"/>
      <c r="X25" s="952"/>
      <c r="Y25" s="3002" t="s">
        <v>963</v>
      </c>
      <c r="Z25" s="3001"/>
      <c r="AA25" s="3002" t="s">
        <v>964</v>
      </c>
      <c r="AB25" s="3001"/>
      <c r="AC25" s="950"/>
      <c r="AD25" s="951"/>
      <c r="AE25" s="951"/>
      <c r="AF25" s="952"/>
      <c r="AG25" s="10"/>
    </row>
    <row r="26" spans="1:35" ht="49.5" customHeight="1">
      <c r="A26" s="1663">
        <v>1</v>
      </c>
      <c r="B26" s="2965" t="s">
        <v>965</v>
      </c>
      <c r="C26" s="2966"/>
      <c r="D26" s="2966"/>
      <c r="E26" s="2967"/>
      <c r="F26" s="1011" t="s">
        <v>966</v>
      </c>
      <c r="G26" s="929" t="str">
        <f>'XM.FILE GOC'!$E$104</f>
        <v>50~70</v>
      </c>
      <c r="H26" s="2427" t="str">
        <f>'XM.FILE GOC'!$F$104</f>
        <v>(60±5)</v>
      </c>
      <c r="I26" s="2934">
        <f>'3.XT-C kh.mau HALO'!I26:J26</f>
        <v>60</v>
      </c>
      <c r="J26" s="2867"/>
      <c r="K26" s="2867">
        <f>'3.XT-C kh.mau HALO'!K26:L26</f>
        <v>60</v>
      </c>
      <c r="L26" s="2867"/>
      <c r="M26" s="953"/>
      <c r="N26" s="954"/>
      <c r="O26" s="954"/>
      <c r="P26" s="955"/>
      <c r="Q26" s="2867">
        <f>'3.XT-C kh.mau HALO'!Q26:R26</f>
        <v>60</v>
      </c>
      <c r="R26" s="2867"/>
      <c r="S26" s="2867">
        <f>'3.XT-C kh.mau HALO'!S26:T26</f>
        <v>60</v>
      </c>
      <c r="T26" s="2867"/>
      <c r="U26" s="953"/>
      <c r="V26" s="954"/>
      <c r="W26" s="954"/>
      <c r="X26" s="955"/>
      <c r="Y26" s="2867">
        <f>'3.XT-C kh.mau HALO'!Y26:Z26</f>
        <v>60</v>
      </c>
      <c r="Z26" s="2867"/>
      <c r="AA26" s="2867">
        <f>'3.XT-C kh.mau HALO'!AA26:AB26</f>
        <v>60</v>
      </c>
      <c r="AB26" s="2867"/>
      <c r="AC26" s="953"/>
      <c r="AD26" s="954"/>
      <c r="AE26" s="954"/>
      <c r="AF26" s="955"/>
      <c r="AG26" s="1664"/>
    </row>
    <row r="27" spans="1:35" ht="49.5" customHeight="1">
      <c r="A27" s="1663">
        <v>2</v>
      </c>
      <c r="B27" s="2965" t="s">
        <v>967</v>
      </c>
      <c r="C27" s="2966"/>
      <c r="D27" s="2966"/>
      <c r="E27" s="2967"/>
      <c r="F27" s="1011" t="s">
        <v>966</v>
      </c>
      <c r="G27" s="929" t="str">
        <f>'XM.FILE GOC'!$E$105</f>
        <v>50~70</v>
      </c>
      <c r="H27" s="2427" t="str">
        <f>'XM.FILE GOC'!$F$105</f>
        <v>(60±5)</v>
      </c>
      <c r="I27" s="2934">
        <f>'3.XT-C kh.mau HALO'!I27:J27</f>
        <v>61</v>
      </c>
      <c r="J27" s="2867"/>
      <c r="K27" s="2867">
        <f>'3.XT-C kh.mau HALO'!K27:L27</f>
        <v>61</v>
      </c>
      <c r="L27" s="2867"/>
      <c r="M27" s="953"/>
      <c r="N27" s="954"/>
      <c r="O27" s="954"/>
      <c r="P27" s="955"/>
      <c r="Q27" s="2867">
        <f>'3.XT-C kh.mau HALO'!Q27:R27</f>
        <v>60</v>
      </c>
      <c r="R27" s="2867"/>
      <c r="S27" s="2867">
        <f>'3.XT-C kh.mau HALO'!S27:T27</f>
        <v>60</v>
      </c>
      <c r="T27" s="2867"/>
      <c r="U27" s="953"/>
      <c r="V27" s="954"/>
      <c r="W27" s="954"/>
      <c r="X27" s="955"/>
      <c r="Y27" s="2867">
        <f>'3.XT-C kh.mau HALO'!Y27:Z27</f>
        <v>61</v>
      </c>
      <c r="Z27" s="2867"/>
      <c r="AA27" s="2867">
        <f>'3.XT-C kh.mau HALO'!AA27:AB27</f>
        <v>60</v>
      </c>
      <c r="AB27" s="2867"/>
      <c r="AC27" s="953"/>
      <c r="AD27" s="954"/>
      <c r="AE27" s="954"/>
      <c r="AF27" s="955"/>
      <c r="AG27" s="1664"/>
    </row>
    <row r="28" spans="1:35" ht="49.5" customHeight="1">
      <c r="A28" s="1663">
        <v>3</v>
      </c>
      <c r="B28" s="2965" t="s">
        <v>968</v>
      </c>
      <c r="C28" s="2966"/>
      <c r="D28" s="2966"/>
      <c r="E28" s="2967"/>
      <c r="F28" s="1011" t="s">
        <v>966</v>
      </c>
      <c r="G28" s="929" t="str">
        <f>'XM.FILE GOC'!$E$106</f>
        <v>50~70</v>
      </c>
      <c r="H28" s="2427" t="str">
        <f>'XM.FILE GOC'!$F$106</f>
        <v>(60±5)</v>
      </c>
      <c r="I28" s="2934">
        <f>'3.XT-C kh.mau HALO'!I28:J28</f>
        <v>61</v>
      </c>
      <c r="J28" s="2867"/>
      <c r="K28" s="2867">
        <f>'3.XT-C kh.mau HALO'!K28:L28</f>
        <v>60</v>
      </c>
      <c r="L28" s="2867"/>
      <c r="M28" s="953"/>
      <c r="N28" s="954"/>
      <c r="O28" s="954"/>
      <c r="P28" s="955"/>
      <c r="Q28" s="2867">
        <f>'3.XT-C kh.mau HALO'!Q28:R28</f>
        <v>60</v>
      </c>
      <c r="R28" s="2867"/>
      <c r="S28" s="2867">
        <f>'3.XT-C kh.mau HALO'!S28:T28</f>
        <v>60</v>
      </c>
      <c r="T28" s="2867"/>
      <c r="U28" s="953"/>
      <c r="V28" s="954"/>
      <c r="W28" s="954"/>
      <c r="X28" s="955"/>
      <c r="Y28" s="2867">
        <f>'3.XT-C kh.mau HALO'!Y28:Z28</f>
        <v>59</v>
      </c>
      <c r="Z28" s="2867"/>
      <c r="AA28" s="2867">
        <f>'3.XT-C kh.mau HALO'!AA28:AB28</f>
        <v>58</v>
      </c>
      <c r="AB28" s="2867"/>
      <c r="AC28" s="953"/>
      <c r="AD28" s="954"/>
      <c r="AE28" s="954"/>
      <c r="AF28" s="955"/>
      <c r="AG28" s="1664"/>
    </row>
    <row r="29" spans="1:35" ht="49.5" customHeight="1">
      <c r="A29" s="1663">
        <v>4</v>
      </c>
      <c r="B29" s="2965" t="s">
        <v>969</v>
      </c>
      <c r="C29" s="2966"/>
      <c r="D29" s="2966"/>
      <c r="E29" s="2967"/>
      <c r="F29" s="1011" t="s">
        <v>966</v>
      </c>
      <c r="G29" s="929" t="str">
        <f>'XM.FILE GOC'!$E$107</f>
        <v>50~70</v>
      </c>
      <c r="H29" s="2427" t="str">
        <f>'XM.FILE GOC'!$F$107</f>
        <v>(60±5)</v>
      </c>
      <c r="I29" s="2934">
        <f>'3.XT-C kh.mau HALO'!I29:J29</f>
        <v>62</v>
      </c>
      <c r="J29" s="2867"/>
      <c r="K29" s="2867">
        <f>'3.XT-C kh.mau HALO'!K29:L29</f>
        <v>63</v>
      </c>
      <c r="L29" s="2867"/>
      <c r="M29" s="953"/>
      <c r="N29" s="954"/>
      <c r="O29" s="954"/>
      <c r="P29" s="955"/>
      <c r="Q29" s="2867">
        <f>'3.XT-C kh.mau HALO'!Q29:R29</f>
        <v>63</v>
      </c>
      <c r="R29" s="2867"/>
      <c r="S29" s="2867">
        <f>'3.XT-C kh.mau HALO'!S29:T29</f>
        <v>64</v>
      </c>
      <c r="T29" s="2867"/>
      <c r="U29" s="953"/>
      <c r="V29" s="954"/>
      <c r="W29" s="954"/>
      <c r="X29" s="955"/>
      <c r="Y29" s="2867">
        <f>'3.XT-C kh.mau HALO'!Y29:Z29</f>
        <v>63</v>
      </c>
      <c r="Z29" s="2867"/>
      <c r="AA29" s="2867">
        <f>'3.XT-C kh.mau HALO'!AA29:AB29</f>
        <v>63</v>
      </c>
      <c r="AB29" s="2867"/>
      <c r="AC29" s="953"/>
      <c r="AD29" s="954"/>
      <c r="AE29" s="954"/>
      <c r="AF29" s="955"/>
      <c r="AG29" s="1664"/>
    </row>
    <row r="30" spans="1:35" ht="49.5" customHeight="1">
      <c r="A30" s="1680">
        <v>5</v>
      </c>
      <c r="B30" s="3036" t="s">
        <v>970</v>
      </c>
      <c r="C30" s="3037"/>
      <c r="D30" s="3037"/>
      <c r="E30" s="3038"/>
      <c r="F30" s="1674" t="s">
        <v>966</v>
      </c>
      <c r="G30" s="1675" t="str">
        <f>'XM.FILE GOC'!$E$108</f>
        <v>22~28</v>
      </c>
      <c r="H30" s="2444" t="str">
        <f>'XM.FILE GOC'!$F$108</f>
        <v>(25±3)</v>
      </c>
      <c r="I30" s="3039">
        <f>'3.XT-C kh.mau HALO'!I30:J30</f>
        <v>25</v>
      </c>
      <c r="J30" s="3040"/>
      <c r="K30" s="3040">
        <f>'3.XT-C kh.mau HALO'!K30:L30</f>
        <v>25</v>
      </c>
      <c r="L30" s="3040"/>
      <c r="M30" s="953"/>
      <c r="N30" s="954"/>
      <c r="O30" s="954"/>
      <c r="P30" s="955"/>
      <c r="Q30" s="3040">
        <f>'3.XT-C kh.mau HALO'!Q30:R30</f>
        <v>26</v>
      </c>
      <c r="R30" s="3040"/>
      <c r="S30" s="3040">
        <f>'3.XT-C kh.mau HALO'!S30:T30</f>
        <v>25</v>
      </c>
      <c r="T30" s="3040"/>
      <c r="U30" s="953"/>
      <c r="V30" s="954"/>
      <c r="W30" s="954"/>
      <c r="X30" s="955"/>
      <c r="Y30" s="3040">
        <f>'3.XT-C kh.mau HALO'!Y30:Z30</f>
        <v>25</v>
      </c>
      <c r="Z30" s="3040"/>
      <c r="AA30" s="3040">
        <f>'3.XT-C kh.mau HALO'!AA30:AB30</f>
        <v>24</v>
      </c>
      <c r="AB30" s="3040"/>
      <c r="AC30" s="953"/>
      <c r="AD30" s="954"/>
      <c r="AE30" s="954"/>
      <c r="AF30" s="955"/>
      <c r="AG30" s="77"/>
    </row>
    <row r="31" spans="1:35" ht="49.5" customHeight="1">
      <c r="A31" s="1672">
        <v>6</v>
      </c>
      <c r="B31" s="3048" t="s">
        <v>971</v>
      </c>
      <c r="C31" s="3049"/>
      <c r="D31" s="3049"/>
      <c r="E31" s="3050"/>
      <c r="F31" s="2547" t="s">
        <v>966</v>
      </c>
      <c r="G31" s="2548" t="s">
        <v>1367</v>
      </c>
      <c r="H31" s="2549" t="s">
        <v>1469</v>
      </c>
      <c r="I31" s="3051">
        <v>39</v>
      </c>
      <c r="J31" s="3052"/>
      <c r="K31" s="3041">
        <v>39</v>
      </c>
      <c r="L31" s="3052"/>
      <c r="M31" s="2550"/>
      <c r="N31" s="2551"/>
      <c r="O31" s="2551"/>
      <c r="P31" s="2552"/>
      <c r="Q31" s="3041">
        <v>40</v>
      </c>
      <c r="R31" s="3052"/>
      <c r="S31" s="3041">
        <v>39</v>
      </c>
      <c r="T31" s="3052"/>
      <c r="U31" s="2550"/>
      <c r="V31" s="2551"/>
      <c r="W31" s="2551"/>
      <c r="X31" s="2552"/>
      <c r="Y31" s="3041">
        <v>40</v>
      </c>
      <c r="Z31" s="3052"/>
      <c r="AA31" s="3041">
        <v>41</v>
      </c>
      <c r="AB31" s="3042"/>
      <c r="AC31" s="954"/>
      <c r="AD31" s="954"/>
      <c r="AE31" s="954"/>
      <c r="AF31" s="955"/>
      <c r="AG31" s="1679"/>
      <c r="AH31" s="1673"/>
      <c r="AI31" s="1666" t="s">
        <v>1451</v>
      </c>
    </row>
    <row r="32" spans="1:35" ht="49.5" customHeight="1">
      <c r="A32" s="1681">
        <v>7</v>
      </c>
      <c r="B32" s="3043" t="s">
        <v>972</v>
      </c>
      <c r="C32" s="3044"/>
      <c r="D32" s="3044"/>
      <c r="E32" s="3045"/>
      <c r="F32" s="1676" t="s">
        <v>966</v>
      </c>
      <c r="G32" s="1677" t="str">
        <f>'XM.FILE GOC'!$E$110</f>
        <v>55~65</v>
      </c>
      <c r="H32" s="2446" t="str">
        <f>'XM.FILE GOC'!$F$110</f>
        <v>(60±5)</v>
      </c>
      <c r="I32" s="3046">
        <f>'3.XT-C kh.mau HALO'!I32</f>
        <v>57</v>
      </c>
      <c r="J32" s="3047"/>
      <c r="K32" s="3047">
        <f>'3.XT-C kh.mau HALO'!K32</f>
        <v>58</v>
      </c>
      <c r="L32" s="3047"/>
      <c r="M32" s="953"/>
      <c r="N32" s="954"/>
      <c r="O32" s="954"/>
      <c r="P32" s="955"/>
      <c r="Q32" s="3047">
        <f>'3.XT-C kh.mau HALO'!Q32</f>
        <v>62</v>
      </c>
      <c r="R32" s="3047"/>
      <c r="S32" s="3047">
        <f>'3.XT-C kh.mau HALO'!S32</f>
        <v>61</v>
      </c>
      <c r="T32" s="3047"/>
      <c r="U32" s="953"/>
      <c r="V32" s="954"/>
      <c r="W32" s="954"/>
      <c r="X32" s="955"/>
      <c r="Y32" s="3047">
        <f>'3.XT-C kh.mau HALO'!Y32</f>
        <v>58</v>
      </c>
      <c r="Z32" s="3047"/>
      <c r="AA32" s="3047">
        <f>'3.XT-C kh.mau HALO'!AA32</f>
        <v>57</v>
      </c>
      <c r="AB32" s="3047"/>
      <c r="AC32" s="953"/>
      <c r="AD32" s="954"/>
      <c r="AE32" s="954"/>
      <c r="AF32" s="955"/>
      <c r="AG32" s="1678"/>
    </row>
    <row r="33" spans="1:55" ht="49.5" customHeight="1">
      <c r="A33" s="1663">
        <v>8</v>
      </c>
      <c r="B33" s="2965" t="s">
        <v>973</v>
      </c>
      <c r="C33" s="2966"/>
      <c r="D33" s="2966"/>
      <c r="E33" s="2967"/>
      <c r="F33" s="1011" t="s">
        <v>966</v>
      </c>
      <c r="G33" s="929" t="str">
        <f>'XM.FILE GOC'!$E$111</f>
        <v>80~100</v>
      </c>
      <c r="H33" s="2427" t="str">
        <f>'XM.FILE GOC'!$F$111</f>
        <v>(90±5)</v>
      </c>
      <c r="I33" s="3001" t="str">
        <f>'3.XT-C kh.mau HALO'!I33</f>
        <v>\</v>
      </c>
      <c r="J33" s="3008"/>
      <c r="K33" s="2867">
        <f>'3.XT-C kh.mau HALO'!K33</f>
        <v>94</v>
      </c>
      <c r="L33" s="2867"/>
      <c r="M33" s="953"/>
      <c r="N33" s="954"/>
      <c r="O33" s="954"/>
      <c r="P33" s="955"/>
      <c r="Q33" s="3008" t="str">
        <f>'3.XT-C kh.mau HALO'!Q33</f>
        <v>\</v>
      </c>
      <c r="R33" s="3008"/>
      <c r="S33" s="2867">
        <f>'3.XT-C kh.mau HALO'!S33</f>
        <v>92</v>
      </c>
      <c r="T33" s="2867"/>
      <c r="U33" s="953"/>
      <c r="V33" s="954"/>
      <c r="W33" s="954"/>
      <c r="X33" s="955"/>
      <c r="Y33" s="3008" t="str">
        <f>'3.XT-C kh.mau HALO'!Y33</f>
        <v>\</v>
      </c>
      <c r="Z33" s="3008"/>
      <c r="AA33" s="2867">
        <f>'3.XT-C kh.mau HALO'!AA33</f>
        <v>94</v>
      </c>
      <c r="AB33" s="2867"/>
      <c r="AC33" s="953"/>
      <c r="AD33" s="954"/>
      <c r="AE33" s="954"/>
      <c r="AF33" s="955"/>
      <c r="AG33" s="2212"/>
      <c r="AH33" s="65"/>
      <c r="AI33" s="65"/>
      <c r="AJ33" s="65"/>
      <c r="AK33" s="65"/>
      <c r="AL33" s="65"/>
      <c r="AM33" s="65"/>
      <c r="AN33" s="65"/>
      <c r="AO33" s="65"/>
      <c r="AP33" s="65"/>
      <c r="AQ33" s="65"/>
      <c r="AR33" s="65"/>
      <c r="AS33" s="65"/>
      <c r="AT33" s="65"/>
      <c r="AU33" s="65"/>
      <c r="AV33" s="65"/>
      <c r="AW33" s="65"/>
      <c r="AX33" s="65"/>
      <c r="AY33" s="65"/>
      <c r="AZ33" s="65"/>
      <c r="BA33" s="65"/>
      <c r="BB33" s="65"/>
      <c r="BC33" s="65"/>
    </row>
    <row r="34" spans="1:55" ht="49.5" customHeight="1">
      <c r="A34" s="1663">
        <v>9</v>
      </c>
      <c r="B34" s="3005" t="s">
        <v>1302</v>
      </c>
      <c r="C34" s="3006"/>
      <c r="D34" s="3006"/>
      <c r="E34" s="3007"/>
      <c r="F34" s="1011" t="s">
        <v>966</v>
      </c>
      <c r="G34" s="929" t="str">
        <f>'XM.FILE GOC'!$E$112</f>
        <v>40~60</v>
      </c>
      <c r="H34" s="2427" t="str">
        <f>'XM.FILE GOC'!$F$112</f>
        <v>(50±10)</v>
      </c>
      <c r="I34" s="3003">
        <f>'3.XT-C kh.mau HALO'!I34</f>
        <v>52</v>
      </c>
      <c r="J34" s="3004"/>
      <c r="K34" s="3004">
        <f>'3.XT-C kh.mau HALO'!K34</f>
        <v>51</v>
      </c>
      <c r="L34" s="3004"/>
      <c r="M34" s="953"/>
      <c r="N34" s="954"/>
      <c r="O34" s="954"/>
      <c r="P34" s="955"/>
      <c r="Q34" s="3004">
        <f>'3.XT-C kh.mau HALO'!Q34</f>
        <v>52</v>
      </c>
      <c r="R34" s="3004"/>
      <c r="S34" s="3004">
        <f>'3.XT-C kh.mau HALO'!S34</f>
        <v>51</v>
      </c>
      <c r="T34" s="3004"/>
      <c r="U34" s="953"/>
      <c r="V34" s="954"/>
      <c r="W34" s="954"/>
      <c r="X34" s="955"/>
      <c r="Y34" s="3004">
        <f>'3.XT-C kh.mau HALO'!Y34</f>
        <v>52</v>
      </c>
      <c r="Z34" s="3004"/>
      <c r="AA34" s="3004">
        <f>'3.XT-C kh.mau HALO'!AA34</f>
        <v>52</v>
      </c>
      <c r="AB34" s="3004"/>
      <c r="AC34" s="953"/>
      <c r="AD34" s="954"/>
      <c r="AE34" s="954"/>
      <c r="AF34" s="955"/>
      <c r="AG34" s="2212"/>
      <c r="AH34" s="65"/>
      <c r="AI34" s="3020"/>
      <c r="AJ34" s="3020"/>
      <c r="AK34" s="3020"/>
      <c r="AL34" s="3020"/>
      <c r="AM34" s="954"/>
      <c r="AN34" s="954"/>
      <c r="AO34" s="954"/>
      <c r="AP34" s="954"/>
      <c r="AQ34" s="3020"/>
      <c r="AR34" s="3020"/>
      <c r="AS34" s="3020"/>
      <c r="AT34" s="3020"/>
      <c r="AU34" s="954"/>
      <c r="AV34" s="954"/>
      <c r="AW34" s="954"/>
      <c r="AX34" s="954"/>
      <c r="AY34" s="3020"/>
      <c r="AZ34" s="3020"/>
      <c r="BA34" s="3020"/>
      <c r="BB34" s="3020"/>
      <c r="BC34" s="65"/>
    </row>
    <row r="35" spans="1:55" ht="49.5" customHeight="1">
      <c r="A35" s="1663">
        <v>10</v>
      </c>
      <c r="B35" s="3005" t="s">
        <v>1305</v>
      </c>
      <c r="C35" s="3006"/>
      <c r="D35" s="3006"/>
      <c r="E35" s="3007"/>
      <c r="F35" s="1011" t="s">
        <v>966</v>
      </c>
      <c r="G35" s="929" t="str">
        <f>'XM.FILE GOC'!$E$113</f>
        <v>50~70</v>
      </c>
      <c r="H35" s="2427" t="str">
        <f>'XM.FILE GOC'!$F$113</f>
        <v>(60±10)</v>
      </c>
      <c r="I35" s="3003">
        <f>'3.XT-C kh.mau HALO'!I35</f>
        <v>54</v>
      </c>
      <c r="J35" s="3004"/>
      <c r="K35" s="3004">
        <f>'3.XT-C kh.mau HALO'!K35</f>
        <v>53</v>
      </c>
      <c r="L35" s="3004"/>
      <c r="M35" s="953"/>
      <c r="N35" s="954"/>
      <c r="O35" s="954"/>
      <c r="P35" s="955"/>
      <c r="Q35" s="3004">
        <f>'3.XT-C kh.mau HALO'!Q35</f>
        <v>57</v>
      </c>
      <c r="R35" s="3004"/>
      <c r="S35" s="3004">
        <f>'3.XT-C kh.mau HALO'!S35</f>
        <v>58</v>
      </c>
      <c r="T35" s="3004"/>
      <c r="U35" s="953"/>
      <c r="V35" s="954"/>
      <c r="W35" s="954"/>
      <c r="X35" s="955"/>
      <c r="Y35" s="3004">
        <f>'3.XT-C kh.mau HALO'!Y35</f>
        <v>60</v>
      </c>
      <c r="Z35" s="3004"/>
      <c r="AA35" s="3004">
        <f>'3.XT-C kh.mau HALO'!AA35</f>
        <v>61</v>
      </c>
      <c r="AB35" s="3004"/>
      <c r="AC35" s="953"/>
      <c r="AD35" s="954"/>
      <c r="AE35" s="954"/>
      <c r="AF35" s="955"/>
      <c r="AG35" s="2212"/>
      <c r="AH35" s="65"/>
      <c r="AI35" s="3020"/>
      <c r="AJ35" s="3020"/>
      <c r="AK35" s="3020"/>
      <c r="AL35" s="3020"/>
      <c r="AM35" s="954"/>
      <c r="AN35" s="954"/>
      <c r="AO35" s="954"/>
      <c r="AP35" s="954"/>
      <c r="AQ35" s="3020"/>
      <c r="AR35" s="3020"/>
      <c r="AS35" s="3020"/>
      <c r="AT35" s="3020"/>
      <c r="AU35" s="954"/>
      <c r="AV35" s="954"/>
      <c r="AW35" s="954"/>
      <c r="AX35" s="954"/>
      <c r="AY35" s="3020"/>
      <c r="AZ35" s="3020"/>
      <c r="BA35" s="3020"/>
      <c r="BB35" s="3020"/>
      <c r="BC35" s="65"/>
    </row>
    <row r="36" spans="1:55" ht="49.5" hidden="1" customHeight="1">
      <c r="A36" s="2475"/>
      <c r="B36" s="2478"/>
      <c r="C36" s="2479"/>
      <c r="D36" s="2479"/>
      <c r="E36" s="2480"/>
      <c r="F36" s="1011"/>
      <c r="G36" s="929"/>
      <c r="H36" s="2484"/>
      <c r="I36" s="2476"/>
      <c r="J36" s="2477"/>
      <c r="K36" s="2477"/>
      <c r="L36" s="2477"/>
      <c r="M36" s="953"/>
      <c r="N36" s="954"/>
      <c r="O36" s="954"/>
      <c r="P36" s="955"/>
      <c r="Q36" s="2477"/>
      <c r="R36" s="2477"/>
      <c r="S36" s="2477"/>
      <c r="T36" s="2477"/>
      <c r="U36" s="953"/>
      <c r="V36" s="954"/>
      <c r="W36" s="954"/>
      <c r="X36" s="955"/>
      <c r="Y36" s="2477"/>
      <c r="Z36" s="2477"/>
      <c r="AA36" s="2477"/>
      <c r="AB36" s="2477"/>
      <c r="AC36" s="953"/>
      <c r="AD36" s="954"/>
      <c r="AE36" s="954"/>
      <c r="AF36" s="955"/>
      <c r="AG36" s="2483"/>
      <c r="AH36" s="65"/>
      <c r="AI36" s="2481"/>
      <c r="AJ36" s="2481"/>
      <c r="AK36" s="2481"/>
      <c r="AL36" s="2481"/>
      <c r="AM36" s="954"/>
      <c r="AN36" s="954"/>
      <c r="AO36" s="954"/>
      <c r="AP36" s="954"/>
      <c r="AQ36" s="2481"/>
      <c r="AR36" s="2481"/>
      <c r="AS36" s="2481"/>
      <c r="AT36" s="2481"/>
      <c r="AU36" s="954"/>
      <c r="AV36" s="954"/>
      <c r="AW36" s="954"/>
      <c r="AX36" s="954"/>
      <c r="AY36" s="2481"/>
      <c r="AZ36" s="2481"/>
      <c r="BA36" s="2481"/>
      <c r="BB36" s="2481"/>
      <c r="BC36" s="65"/>
    </row>
    <row r="37" spans="1:55" ht="45.75" customHeight="1">
      <c r="A37" s="1663"/>
      <c r="B37" s="2999" t="s">
        <v>1326</v>
      </c>
      <c r="C37" s="2999"/>
      <c r="D37" s="2999"/>
      <c r="E37" s="2999"/>
      <c r="F37" s="2999"/>
      <c r="G37" s="2999"/>
      <c r="H37" s="2999"/>
      <c r="I37" s="2999"/>
      <c r="J37" s="2999"/>
      <c r="K37" s="2999"/>
      <c r="L37" s="2999"/>
      <c r="M37" s="2999"/>
      <c r="N37" s="2999"/>
      <c r="O37" s="2999"/>
      <c r="P37" s="2999"/>
      <c r="Q37" s="2999"/>
      <c r="R37" s="2999"/>
      <c r="S37" s="2999"/>
      <c r="T37" s="2999"/>
      <c r="U37" s="2999"/>
      <c r="V37" s="2999"/>
      <c r="W37" s="2999"/>
      <c r="X37" s="2999"/>
      <c r="Y37" s="2999"/>
      <c r="Z37" s="2999"/>
      <c r="AA37" s="2999"/>
      <c r="AB37" s="2999"/>
      <c r="AC37" s="2999"/>
      <c r="AD37" s="2999"/>
      <c r="AE37" s="2999"/>
      <c r="AF37" s="2999"/>
      <c r="AG37" s="3009"/>
      <c r="AH37" s="65"/>
      <c r="AI37" s="65"/>
      <c r="AJ37" s="65"/>
      <c r="AK37" s="65"/>
      <c r="AL37" s="65"/>
      <c r="AM37" s="65"/>
      <c r="AN37" s="65"/>
      <c r="AO37" s="65"/>
      <c r="AP37" s="65"/>
      <c r="AQ37" s="65"/>
      <c r="AR37" s="65"/>
      <c r="AS37" s="65"/>
      <c r="AT37" s="65"/>
      <c r="AU37" s="65"/>
      <c r="AV37" s="65"/>
      <c r="AW37" s="65"/>
      <c r="AX37" s="65"/>
      <c r="AY37" s="65"/>
      <c r="AZ37" s="65"/>
      <c r="BA37" s="65"/>
      <c r="BB37" s="65"/>
      <c r="BC37" s="65"/>
    </row>
    <row r="38" spans="1:55" ht="49.5" customHeight="1">
      <c r="A38" s="1663" t="s">
        <v>7</v>
      </c>
      <c r="B38" s="2965" t="s">
        <v>974</v>
      </c>
      <c r="C38" s="2966"/>
      <c r="D38" s="2966"/>
      <c r="E38" s="2967"/>
      <c r="F38" s="1010" t="s">
        <v>738</v>
      </c>
      <c r="G38" s="1010" t="s">
        <v>1325</v>
      </c>
      <c r="H38" s="2429" t="s">
        <v>1317</v>
      </c>
      <c r="I38" s="3002" t="s">
        <v>975</v>
      </c>
      <c r="J38" s="3000"/>
      <c r="K38" s="3000"/>
      <c r="L38" s="3001"/>
      <c r="M38" s="1355"/>
      <c r="N38" s="1356"/>
      <c r="O38" s="1356"/>
      <c r="P38" s="1357"/>
      <c r="Q38" s="3002" t="s">
        <v>975</v>
      </c>
      <c r="R38" s="3000"/>
      <c r="S38" s="3000"/>
      <c r="T38" s="3001"/>
      <c r="U38" s="1355"/>
      <c r="V38" s="1356"/>
      <c r="W38" s="1356"/>
      <c r="X38" s="1357"/>
      <c r="Y38" s="3002" t="s">
        <v>975</v>
      </c>
      <c r="Z38" s="3000"/>
      <c r="AA38" s="3000"/>
      <c r="AB38" s="3001"/>
      <c r="AC38" s="950"/>
      <c r="AD38" s="951"/>
      <c r="AE38" s="951"/>
      <c r="AF38" s="952"/>
      <c r="AG38" s="10"/>
    </row>
    <row r="39" spans="1:55" ht="49.5" customHeight="1">
      <c r="A39" s="1663">
        <v>1</v>
      </c>
      <c r="B39" s="2991" t="s">
        <v>1126</v>
      </c>
      <c r="C39" s="2992"/>
      <c r="D39" s="2992"/>
      <c r="E39" s="2993"/>
      <c r="F39" s="660" t="s">
        <v>49</v>
      </c>
      <c r="G39" s="929" t="str">
        <f>'XM.FILE GOC'!$E$119</f>
        <v>30~50 
(40)</v>
      </c>
      <c r="H39" s="2427" t="str">
        <f>'XM.FILE GOC'!$F$119</f>
        <v>30~50 
(40)</v>
      </c>
      <c r="I39" s="2831">
        <f>'3.XT-C kh.mau HALO'!I39:L39</f>
        <v>48</v>
      </c>
      <c r="J39" s="2832"/>
      <c r="K39" s="2832"/>
      <c r="L39" s="2832"/>
      <c r="M39" s="1361"/>
      <c r="N39" s="1362"/>
      <c r="O39" s="1362"/>
      <c r="P39" s="1363"/>
      <c r="Q39" s="2831">
        <f>'3.XT-C kh.mau HALO'!Q39:T39</f>
        <v>45</v>
      </c>
      <c r="R39" s="2832"/>
      <c r="S39" s="2832"/>
      <c r="T39" s="2832"/>
      <c r="U39" s="1361"/>
      <c r="V39" s="1362"/>
      <c r="W39" s="1362"/>
      <c r="X39" s="1363"/>
      <c r="Y39" s="2831">
        <f>'3.XT-C kh.mau HALO'!Y39:AB39</f>
        <v>47</v>
      </c>
      <c r="Z39" s="2832"/>
      <c r="AA39" s="2832"/>
      <c r="AB39" s="2833"/>
      <c r="AC39" s="959"/>
      <c r="AD39" s="936"/>
      <c r="AE39" s="936"/>
      <c r="AF39" s="960"/>
      <c r="AG39" s="1664"/>
    </row>
    <row r="40" spans="1:55" ht="49.5" customHeight="1">
      <c r="A40" s="1663">
        <v>2</v>
      </c>
      <c r="B40" s="2991" t="s">
        <v>227</v>
      </c>
      <c r="C40" s="2992"/>
      <c r="D40" s="2992"/>
      <c r="E40" s="2993"/>
      <c r="F40" s="660" t="s">
        <v>49</v>
      </c>
      <c r="G40" s="929" t="str">
        <f>'XM.FILE GOC'!$E$120</f>
        <v>160~220
(180)</v>
      </c>
      <c r="H40" s="2427" t="str">
        <f>'XM.FILE GOC'!$F$120</f>
        <v>160~220
(180)</v>
      </c>
      <c r="I40" s="2831">
        <f>'3.XT-C kh.mau HALO'!I40:L40</f>
        <v>175</v>
      </c>
      <c r="J40" s="2832"/>
      <c r="K40" s="2832"/>
      <c r="L40" s="2832"/>
      <c r="M40" s="1358"/>
      <c r="N40" s="1359"/>
      <c r="O40" s="1359"/>
      <c r="P40" s="1360"/>
      <c r="Q40" s="2831">
        <f>'3.XT-C kh.mau HALO'!Q40:T40</f>
        <v>178</v>
      </c>
      <c r="R40" s="2832"/>
      <c r="S40" s="2832"/>
      <c r="T40" s="2832"/>
      <c r="U40" s="1358"/>
      <c r="V40" s="1359"/>
      <c r="W40" s="1359"/>
      <c r="X40" s="1360"/>
      <c r="Y40" s="2831">
        <f>'3.XT-C kh.mau HALO'!Y40:AB40</f>
        <v>180</v>
      </c>
      <c r="Z40" s="2832"/>
      <c r="AA40" s="2832"/>
      <c r="AB40" s="2833"/>
      <c r="AC40" s="961"/>
      <c r="AD40" s="962"/>
      <c r="AE40" s="962"/>
      <c r="AF40" s="963"/>
      <c r="AG40" s="1664"/>
    </row>
    <row r="41" spans="1:55" ht="27.75" customHeight="1">
      <c r="A41" s="1012"/>
      <c r="B41" s="930"/>
      <c r="C41" s="930"/>
      <c r="D41" s="930"/>
      <c r="E41" s="930"/>
      <c r="F41" s="1013"/>
      <c r="G41" s="1013"/>
      <c r="H41" s="1013"/>
      <c r="I41" s="1013"/>
      <c r="J41" s="1013"/>
      <c r="K41" s="1013"/>
      <c r="L41" s="1013"/>
      <c r="M41" s="976"/>
      <c r="N41" s="976"/>
      <c r="O41" s="976"/>
      <c r="P41" s="976"/>
      <c r="Q41" s="1013"/>
      <c r="R41" s="1013"/>
      <c r="S41" s="1013"/>
      <c r="T41" s="1013"/>
      <c r="U41" s="976"/>
      <c r="V41" s="976"/>
      <c r="W41" s="976"/>
      <c r="X41" s="976"/>
      <c r="Y41" s="1013"/>
      <c r="Z41" s="1013"/>
      <c r="AA41" s="1013"/>
      <c r="AB41" s="1013"/>
      <c r="AC41" s="976"/>
      <c r="AD41" s="976"/>
      <c r="AE41" s="976"/>
      <c r="AF41" s="976"/>
      <c r="AG41" s="65"/>
    </row>
    <row r="42" spans="1:55" ht="42" customHeight="1">
      <c r="A42" s="2970" t="s">
        <v>136</v>
      </c>
      <c r="B42" s="2970"/>
      <c r="C42" s="2970"/>
      <c r="D42" s="2970"/>
      <c r="E42" s="2970"/>
      <c r="F42" s="2970"/>
      <c r="G42" s="2970"/>
      <c r="H42" s="2970"/>
      <c r="I42" s="2970"/>
      <c r="J42" s="2970"/>
      <c r="K42" s="2970"/>
      <c r="L42" s="2970"/>
      <c r="M42" s="2970"/>
      <c r="N42" s="2970"/>
      <c r="O42" s="2970"/>
      <c r="P42" s="2970"/>
      <c r="Q42" s="2970"/>
      <c r="R42" s="2970"/>
      <c r="S42" s="2970"/>
      <c r="T42" s="2970"/>
      <c r="U42" s="2970"/>
      <c r="V42" s="2970"/>
      <c r="W42" s="2970"/>
      <c r="X42" s="2970"/>
      <c r="Y42" s="2970"/>
      <c r="Z42" s="2970"/>
      <c r="AA42" s="1017"/>
      <c r="AB42" s="1017"/>
      <c r="AC42" s="978"/>
      <c r="AD42" s="978"/>
      <c r="AE42" s="978"/>
      <c r="AF42" s="978"/>
      <c r="AG42" s="64"/>
    </row>
    <row r="43" spans="1:55" ht="51" customHeight="1">
      <c r="A43" s="2971" t="s">
        <v>137</v>
      </c>
      <c r="B43" s="2971"/>
      <c r="C43" s="2971"/>
      <c r="D43" s="2971"/>
      <c r="E43" s="2971"/>
      <c r="F43" s="2971"/>
      <c r="G43" s="2971"/>
      <c r="H43" s="2971"/>
      <c r="I43" s="2971"/>
      <c r="J43" s="2971"/>
      <c r="K43" s="2971"/>
      <c r="L43" s="2971"/>
      <c r="M43" s="2971"/>
      <c r="N43" s="2971"/>
      <c r="O43" s="2971"/>
      <c r="P43" s="2971"/>
      <c r="Q43" s="2971"/>
      <c r="R43" s="2971"/>
      <c r="S43" s="2971"/>
      <c r="T43" s="2971"/>
      <c r="U43" s="2971"/>
      <c r="V43" s="2971"/>
      <c r="W43" s="2971"/>
      <c r="X43" s="2971"/>
      <c r="Y43" s="2971"/>
      <c r="Z43" s="2971"/>
      <c r="AA43" s="2948"/>
      <c r="AB43" s="2948"/>
      <c r="AC43" s="972"/>
      <c r="AD43" s="2861" t="s">
        <v>89</v>
      </c>
      <c r="AE43" s="2861"/>
      <c r="AF43" s="2863" t="s">
        <v>90</v>
      </c>
      <c r="AG43" s="2864"/>
    </row>
    <row r="44" spans="1:55" ht="40.5" customHeight="1">
      <c r="A44" s="1001"/>
      <c r="B44" s="1496" t="s">
        <v>128</v>
      </c>
      <c r="C44" s="1497"/>
      <c r="D44" s="1464"/>
      <c r="E44" s="1465"/>
      <c r="F44" s="1466"/>
      <c r="G44" s="1462"/>
      <c r="H44" s="1930" t="str">
        <f>MENU!$AC$9</f>
        <v>Thứ 3,</v>
      </c>
      <c r="I44" s="2901" t="str">
        <f>MENU!$AD$9</f>
        <v>2024/01/09</v>
      </c>
      <c r="J44" s="2902"/>
      <c r="K44" s="2902"/>
      <c r="L44" s="2902"/>
      <c r="M44" s="975"/>
      <c r="N44" s="975"/>
      <c r="O44" s="975"/>
      <c r="P44" s="975"/>
      <c r="Q44" s="1003"/>
      <c r="R44" s="1003"/>
      <c r="S44" s="1003"/>
      <c r="T44" s="1003"/>
      <c r="U44" s="975"/>
      <c r="V44" s="975"/>
      <c r="W44" s="975"/>
      <c r="X44" s="975"/>
      <c r="Y44" s="1003"/>
      <c r="Z44" s="1003"/>
      <c r="AA44" s="2949"/>
      <c r="AB44" s="2949"/>
      <c r="AC44" s="973"/>
      <c r="AD44" s="2862" t="str">
        <f>MENU!AE7</f>
        <v>L.Yen</v>
      </c>
      <c r="AE44" s="2862"/>
      <c r="AF44" s="2938" t="s">
        <v>11</v>
      </c>
      <c r="AG44" s="2855"/>
    </row>
    <row r="45" spans="1:55" s="65" customFormat="1" ht="36.75" customHeight="1">
      <c r="A45" s="2972" t="s">
        <v>7</v>
      </c>
      <c r="B45" s="2885" t="s">
        <v>77</v>
      </c>
      <c r="C45" s="2886"/>
      <c r="D45" s="2886"/>
      <c r="E45" s="2887"/>
      <c r="F45" s="2883" t="s">
        <v>125</v>
      </c>
      <c r="G45" s="2922" t="s">
        <v>1325</v>
      </c>
      <c r="H45" s="2920" t="s">
        <v>1317</v>
      </c>
      <c r="I45" s="2950">
        <v>0.80208333333333337</v>
      </c>
      <c r="J45" s="2907"/>
      <c r="K45" s="2907"/>
      <c r="L45" s="2908"/>
      <c r="M45" s="2856" t="s">
        <v>940</v>
      </c>
      <c r="N45" s="2857"/>
      <c r="O45" s="2857"/>
      <c r="P45" s="2858"/>
      <c r="Q45" s="2906">
        <v>0.96875</v>
      </c>
      <c r="R45" s="2907"/>
      <c r="S45" s="2907"/>
      <c r="T45" s="2908"/>
      <c r="U45" s="2856" t="s">
        <v>940</v>
      </c>
      <c r="V45" s="2857"/>
      <c r="W45" s="2857"/>
      <c r="X45" s="2858"/>
      <c r="Y45" s="2951">
        <v>0.13541666666666666</v>
      </c>
      <c r="Z45" s="2883"/>
      <c r="AA45" s="2883"/>
      <c r="AB45" s="2883"/>
      <c r="AC45" s="2856" t="s">
        <v>940</v>
      </c>
      <c r="AD45" s="2857"/>
      <c r="AE45" s="2857"/>
      <c r="AF45" s="2858"/>
      <c r="AG45" s="2961" t="s">
        <v>39</v>
      </c>
    </row>
    <row r="46" spans="1:55" s="65" customFormat="1" ht="48.75" customHeight="1">
      <c r="A46" s="2972"/>
      <c r="B46" s="2888"/>
      <c r="C46" s="2889"/>
      <c r="D46" s="2889"/>
      <c r="E46" s="2890"/>
      <c r="F46" s="2884"/>
      <c r="G46" s="2923"/>
      <c r="H46" s="2921"/>
      <c r="I46" s="2414" t="s">
        <v>130</v>
      </c>
      <c r="J46" s="2912" t="s">
        <v>1</v>
      </c>
      <c r="K46" s="2913"/>
      <c r="L46" s="2914"/>
      <c r="M46" s="938" t="s">
        <v>130</v>
      </c>
      <c r="N46" s="2859" t="s">
        <v>1</v>
      </c>
      <c r="O46" s="2859"/>
      <c r="P46" s="2860"/>
      <c r="Q46" s="981" t="s">
        <v>130</v>
      </c>
      <c r="R46" s="2912" t="s">
        <v>1</v>
      </c>
      <c r="S46" s="2913"/>
      <c r="T46" s="2914"/>
      <c r="U46" s="938" t="s">
        <v>130</v>
      </c>
      <c r="V46" s="2859" t="s">
        <v>1</v>
      </c>
      <c r="W46" s="2859"/>
      <c r="X46" s="2860"/>
      <c r="Y46" s="981" t="s">
        <v>130</v>
      </c>
      <c r="Z46" s="2912" t="s">
        <v>1</v>
      </c>
      <c r="AA46" s="2913"/>
      <c r="AB46" s="2914"/>
      <c r="AC46" s="938" t="s">
        <v>130</v>
      </c>
      <c r="AD46" s="2859" t="s">
        <v>1</v>
      </c>
      <c r="AE46" s="2859"/>
      <c r="AF46" s="2860"/>
      <c r="AG46" s="2962"/>
    </row>
    <row r="47" spans="1:55" ht="46.5" customHeight="1">
      <c r="A47" s="2973">
        <v>1</v>
      </c>
      <c r="B47" s="2975" t="s">
        <v>951</v>
      </c>
      <c r="C47" s="2976"/>
      <c r="D47" s="2898" t="s">
        <v>231</v>
      </c>
      <c r="E47" s="2899"/>
      <c r="F47" s="1665" t="s">
        <v>4</v>
      </c>
      <c r="G47" s="929" t="str">
        <f>'XM.FILE GOC'!$E$78</f>
        <v>40~60</v>
      </c>
      <c r="H47" s="2427" t="str">
        <f>'XM.FILE GOC'!$F$78</f>
        <v>(50±5)</v>
      </c>
      <c r="I47" s="2430">
        <f>'XM.FILE GOC'!AD78</f>
        <v>51</v>
      </c>
      <c r="J47" s="1004" t="s">
        <v>8</v>
      </c>
      <c r="K47" s="1005">
        <f>'XM.FILE GOC'!AG78</f>
        <v>0</v>
      </c>
      <c r="L47" s="1006" t="s">
        <v>9</v>
      </c>
      <c r="M47" s="1670">
        <f>'3.XT-C kh.mau HALO'!M47</f>
        <v>0</v>
      </c>
      <c r="N47" s="940" t="s">
        <v>8</v>
      </c>
      <c r="O47" s="1686" t="str">
        <f>IF(M47=0,"",('XM.FILE GOC'!$G$78-M47)*15517/1000)</f>
        <v/>
      </c>
      <c r="P47" s="941" t="s">
        <v>9</v>
      </c>
      <c r="Q47" s="2430">
        <f>'XM.FILE GOC'!AK78</f>
        <v>50.5</v>
      </c>
      <c r="R47" s="1004" t="s">
        <v>8</v>
      </c>
      <c r="S47" s="1005">
        <f>'XM.FILE GOC'!AN78</f>
        <v>0</v>
      </c>
      <c r="T47" s="1006" t="s">
        <v>9</v>
      </c>
      <c r="U47" s="1670">
        <f>'3.XT-C kh.mau HALO'!U47</f>
        <v>0</v>
      </c>
      <c r="V47" s="940" t="s">
        <v>8</v>
      </c>
      <c r="W47" s="1686" t="str">
        <f>IF(U47=0,"",('XM.FILE GOC'!$G$78-U47)*15517/1000)</f>
        <v/>
      </c>
      <c r="X47" s="941" t="s">
        <v>9</v>
      </c>
      <c r="Y47" s="2430">
        <f>'XM.FILE GOC'!AR78</f>
        <v>50</v>
      </c>
      <c r="Z47" s="1004" t="s">
        <v>8</v>
      </c>
      <c r="AA47" s="1005">
        <f>'XM.FILE GOC'!AU78</f>
        <v>0</v>
      </c>
      <c r="AB47" s="1006" t="s">
        <v>9</v>
      </c>
      <c r="AC47" s="1670">
        <f>'3.XT-C kh.mau HALO'!AC47</f>
        <v>0</v>
      </c>
      <c r="AD47" s="940" t="s">
        <v>8</v>
      </c>
      <c r="AE47" s="1686" t="str">
        <f>IF(AC47=0,"",('XM.FILE GOC'!$G$78-AC47)*15517/1000)</f>
        <v/>
      </c>
      <c r="AF47" s="941" t="s">
        <v>9</v>
      </c>
      <c r="AG47" s="1662" t="s">
        <v>40</v>
      </c>
    </row>
    <row r="48" spans="1:55" ht="46.5" customHeight="1">
      <c r="A48" s="2974"/>
      <c r="B48" s="2977"/>
      <c r="C48" s="2978"/>
      <c r="D48" s="2898" t="s">
        <v>232</v>
      </c>
      <c r="E48" s="2899"/>
      <c r="F48" s="928"/>
      <c r="G48" s="929" t="s">
        <v>1286</v>
      </c>
      <c r="H48" s="2427"/>
      <c r="I48" s="2416"/>
      <c r="J48" s="61"/>
      <c r="K48" s="985">
        <f>K47/25*8.5</f>
        <v>0</v>
      </c>
      <c r="L48" s="614" t="s">
        <v>10</v>
      </c>
      <c r="M48" s="1670">
        <f>'3.XT-C kh.mau HALO'!M48</f>
        <v>0</v>
      </c>
      <c r="N48" s="942" t="s">
        <v>8</v>
      </c>
      <c r="O48" s="1684" t="str">
        <f>IF(M47=0,"",O47/25*8.5)</f>
        <v/>
      </c>
      <c r="P48" s="943" t="s">
        <v>10</v>
      </c>
      <c r="Q48" s="2416"/>
      <c r="R48" s="61"/>
      <c r="S48" s="985">
        <f>S47/25*8.5</f>
        <v>0</v>
      </c>
      <c r="T48" s="614" t="s">
        <v>10</v>
      </c>
      <c r="U48" s="1670">
        <f>'3.XT-C kh.mau HALO'!U48</f>
        <v>0</v>
      </c>
      <c r="V48" s="942" t="s">
        <v>8</v>
      </c>
      <c r="W48" s="1684" t="str">
        <f>IF(U47=0,"",W47/25*8.5)</f>
        <v/>
      </c>
      <c r="X48" s="943" t="s">
        <v>10</v>
      </c>
      <c r="Y48" s="2416"/>
      <c r="Z48" s="61"/>
      <c r="AA48" s="985">
        <f>AA47/25*8.5</f>
        <v>0</v>
      </c>
      <c r="AB48" s="614" t="s">
        <v>10</v>
      </c>
      <c r="AC48" s="1670">
        <f>'3.XT-C kh.mau HALO'!AC48</f>
        <v>0</v>
      </c>
      <c r="AD48" s="942" t="s">
        <v>8</v>
      </c>
      <c r="AE48" s="1684" t="str">
        <f>IF(AC47=0,"",AE47/25*8.5)</f>
        <v/>
      </c>
      <c r="AF48" s="943" t="s">
        <v>10</v>
      </c>
      <c r="AG48" s="1662"/>
    </row>
    <row r="49" spans="1:38" ht="46.5" customHeight="1">
      <c r="A49" s="2973">
        <v>2</v>
      </c>
      <c r="B49" s="2975" t="s">
        <v>952</v>
      </c>
      <c r="C49" s="2976"/>
      <c r="D49" s="2898" t="s">
        <v>231</v>
      </c>
      <c r="E49" s="2899"/>
      <c r="F49" s="1665" t="s">
        <v>4</v>
      </c>
      <c r="G49" s="929" t="str">
        <f>'XM.FILE GOC'!$E$80</f>
        <v>40~60</v>
      </c>
      <c r="H49" s="2427" t="str">
        <f>'XM.FILE GOC'!$F$80</f>
        <v>(50±5)</v>
      </c>
      <c r="I49" s="2430">
        <f>'XM.FILE GOC'!AD80</f>
        <v>50</v>
      </c>
      <c r="J49" s="1004" t="s">
        <v>8</v>
      </c>
      <c r="K49" s="1005">
        <f>'XM.FILE GOC'!AG80</f>
        <v>0</v>
      </c>
      <c r="L49" s="1006" t="s">
        <v>9</v>
      </c>
      <c r="M49" s="1670">
        <f>'3.XT-C kh.mau HALO'!M49</f>
        <v>0</v>
      </c>
      <c r="N49" s="940" t="s">
        <v>8</v>
      </c>
      <c r="O49" s="1686" t="str">
        <f>IF(M49=0,"",('XM.FILE GOC'!$G$80-M49)*11475/1000)</f>
        <v/>
      </c>
      <c r="P49" s="941" t="s">
        <v>9</v>
      </c>
      <c r="Q49" s="2430">
        <f>'XM.FILE GOC'!AK80</f>
        <v>49.6</v>
      </c>
      <c r="R49" s="1004" t="s">
        <v>8</v>
      </c>
      <c r="S49" s="1005">
        <f>'XM.FILE GOC'!AN80</f>
        <v>4.5899999999999839</v>
      </c>
      <c r="T49" s="1006" t="s">
        <v>9</v>
      </c>
      <c r="U49" s="1670">
        <f>'3.XT-C kh.mau HALO'!U49</f>
        <v>51.2</v>
      </c>
      <c r="V49" s="940" t="s">
        <v>8</v>
      </c>
      <c r="W49" s="1686">
        <f>IF(U49=0,"",('XM.FILE GOC'!$G$80-U49)*11475/1000)</f>
        <v>-13.770000000000033</v>
      </c>
      <c r="X49" s="941" t="s">
        <v>9</v>
      </c>
      <c r="Y49" s="2430">
        <f>'XM.FILE GOC'!AR80</f>
        <v>51.271000000000001</v>
      </c>
      <c r="Z49" s="1004" t="s">
        <v>8</v>
      </c>
      <c r="AA49" s="1005">
        <f>'XM.FILE GOC'!AU80</f>
        <v>0</v>
      </c>
      <c r="AB49" s="1006" t="s">
        <v>9</v>
      </c>
      <c r="AC49" s="1670">
        <f>'3.XT-C kh.mau HALO'!AC49</f>
        <v>0</v>
      </c>
      <c r="AD49" s="940" t="s">
        <v>8</v>
      </c>
      <c r="AE49" s="1686" t="str">
        <f>IF(AC49=0,"",('XM.FILE GOC'!$G$80-AC49)*11475/1000)</f>
        <v/>
      </c>
      <c r="AF49" s="941" t="s">
        <v>9</v>
      </c>
      <c r="AG49" s="1662" t="s">
        <v>40</v>
      </c>
    </row>
    <row r="50" spans="1:38" ht="46.5" customHeight="1">
      <c r="A50" s="2974"/>
      <c r="B50" s="2977"/>
      <c r="C50" s="2978"/>
      <c r="D50" s="2898" t="s">
        <v>232</v>
      </c>
      <c r="E50" s="2899"/>
      <c r="F50" s="928"/>
      <c r="G50" s="929" t="s">
        <v>1286</v>
      </c>
      <c r="H50" s="2427"/>
      <c r="I50" s="2416"/>
      <c r="J50" s="61"/>
      <c r="K50" s="985">
        <f>K49/25*8.5</f>
        <v>0</v>
      </c>
      <c r="L50" s="614" t="s">
        <v>10</v>
      </c>
      <c r="M50" s="1670">
        <f>'3.XT-C kh.mau HALO'!M50</f>
        <v>0</v>
      </c>
      <c r="N50" s="942" t="s">
        <v>8</v>
      </c>
      <c r="O50" s="1684" t="str">
        <f>IF(M49=0,"",O49/25*8.5)</f>
        <v/>
      </c>
      <c r="P50" s="943" t="s">
        <v>10</v>
      </c>
      <c r="Q50" s="2416"/>
      <c r="R50" s="61"/>
      <c r="S50" s="985">
        <f>S49/25*8.5</f>
        <v>1.5605999999999944</v>
      </c>
      <c r="T50" s="614" t="s">
        <v>10</v>
      </c>
      <c r="U50" s="1670">
        <f>'3.XT-C kh.mau HALO'!U50</f>
        <v>0</v>
      </c>
      <c r="V50" s="942" t="s">
        <v>8</v>
      </c>
      <c r="W50" s="1684">
        <f>IF(U49=0,"",W49/25*8.5)</f>
        <v>-4.6818000000000106</v>
      </c>
      <c r="X50" s="943" t="s">
        <v>10</v>
      </c>
      <c r="Y50" s="2416"/>
      <c r="Z50" s="61"/>
      <c r="AA50" s="985">
        <f>AA49/25*8.5</f>
        <v>0</v>
      </c>
      <c r="AB50" s="614" t="s">
        <v>10</v>
      </c>
      <c r="AC50" s="1670">
        <f>'3.XT-C kh.mau HALO'!AC50</f>
        <v>0</v>
      </c>
      <c r="AD50" s="942" t="s">
        <v>8</v>
      </c>
      <c r="AE50" s="1684" t="str">
        <f>IF(AC49=0,"",AE49/25*8.5)</f>
        <v/>
      </c>
      <c r="AF50" s="943" t="s">
        <v>10</v>
      </c>
      <c r="AG50" s="1662"/>
    </row>
    <row r="51" spans="1:38" ht="46.5" customHeight="1">
      <c r="A51" s="2973">
        <v>3</v>
      </c>
      <c r="B51" s="2896" t="s">
        <v>953</v>
      </c>
      <c r="C51" s="2897"/>
      <c r="D51" s="2871" t="s">
        <v>233</v>
      </c>
      <c r="E51" s="2873" t="s">
        <v>233</v>
      </c>
      <c r="F51" s="1665" t="s">
        <v>4</v>
      </c>
      <c r="G51" s="929" t="str">
        <f>'XM.FILE GOC'!$E$82</f>
        <v>50~70</v>
      </c>
      <c r="H51" s="2427" t="str">
        <f>'XM.FILE GOC'!$F$82</f>
        <v>(60±5)</v>
      </c>
      <c r="I51" s="2430">
        <f>'XM.FILE GOC'!AD82</f>
        <v>61.2</v>
      </c>
      <c r="J51" s="61" t="s">
        <v>8</v>
      </c>
      <c r="K51" s="613">
        <f>'XM.FILE GOC'!AG82</f>
        <v>0</v>
      </c>
      <c r="L51" s="614" t="s">
        <v>9</v>
      </c>
      <c r="M51" s="1670">
        <f>'3.XT-C kh.mau HALO'!M51</f>
        <v>0</v>
      </c>
      <c r="N51" s="940" t="s">
        <v>8</v>
      </c>
      <c r="O51" s="1686" t="str">
        <f>IF(M51=0,"",('XM.FILE GOC'!$G$82-M51)*8200/1000)</f>
        <v/>
      </c>
      <c r="P51" s="941" t="s">
        <v>9</v>
      </c>
      <c r="Q51" s="2430">
        <f>'XM.FILE GOC'!AK82</f>
        <v>60.5</v>
      </c>
      <c r="R51" s="61" t="s">
        <v>8</v>
      </c>
      <c r="S51" s="613">
        <f>'XM.FILE GOC'!AN82</f>
        <v>0</v>
      </c>
      <c r="T51" s="614" t="s">
        <v>9</v>
      </c>
      <c r="U51" s="1670">
        <f>'3.XT-C kh.mau HALO'!U51</f>
        <v>0</v>
      </c>
      <c r="V51" s="940" t="s">
        <v>8</v>
      </c>
      <c r="W51" s="1686" t="str">
        <f>IF(U51=0,"",('XM.FILE GOC'!$G$82-U51)*8200/1000)</f>
        <v/>
      </c>
      <c r="X51" s="941" t="s">
        <v>9</v>
      </c>
      <c r="Y51" s="2430">
        <f>'XM.FILE GOC'!AR82</f>
        <v>60</v>
      </c>
      <c r="Z51" s="61" t="s">
        <v>8</v>
      </c>
      <c r="AA51" s="613">
        <f>'XM.FILE GOC'!AU82</f>
        <v>0</v>
      </c>
      <c r="AB51" s="1006" t="s">
        <v>9</v>
      </c>
      <c r="AC51" s="1670">
        <f>'3.XT-C kh.mau HALO'!AC51</f>
        <v>0</v>
      </c>
      <c r="AD51" s="940" t="s">
        <v>8</v>
      </c>
      <c r="AE51" s="1686" t="str">
        <f>IF(AC51=0,"",('XM.FILE GOC'!$G$82-AC51)*8200/1000)</f>
        <v/>
      </c>
      <c r="AF51" s="941" t="s">
        <v>9</v>
      </c>
      <c r="AG51" s="1662" t="s">
        <v>40</v>
      </c>
    </row>
    <row r="52" spans="1:38" ht="46.5" customHeight="1">
      <c r="A52" s="2979"/>
      <c r="B52" s="2897"/>
      <c r="C52" s="2897"/>
      <c r="D52" s="2871" t="s">
        <v>234</v>
      </c>
      <c r="E52" s="2873" t="s">
        <v>234</v>
      </c>
      <c r="F52" s="928"/>
      <c r="G52" s="929" t="s">
        <v>1287</v>
      </c>
      <c r="H52" s="2427"/>
      <c r="I52" s="2416"/>
      <c r="J52" s="61"/>
      <c r="K52" s="985">
        <f>K51/25*8</f>
        <v>0</v>
      </c>
      <c r="L52" s="614" t="s">
        <v>10</v>
      </c>
      <c r="M52" s="1670">
        <f>'3.XT-C kh.mau HALO'!M52</f>
        <v>0</v>
      </c>
      <c r="N52" s="942" t="s">
        <v>8</v>
      </c>
      <c r="O52" s="1684" t="str">
        <f>IF(M51=0,"",O51/25*8)</f>
        <v/>
      </c>
      <c r="P52" s="943" t="s">
        <v>10</v>
      </c>
      <c r="Q52" s="2416"/>
      <c r="R52" s="61"/>
      <c r="S52" s="985">
        <f>S51/25*8</f>
        <v>0</v>
      </c>
      <c r="T52" s="614" t="s">
        <v>10</v>
      </c>
      <c r="U52" s="1670">
        <f>'3.XT-C kh.mau HALO'!U52</f>
        <v>0</v>
      </c>
      <c r="V52" s="942" t="s">
        <v>8</v>
      </c>
      <c r="W52" s="1684" t="str">
        <f>IF(U51=0,"",W51/25*8)</f>
        <v/>
      </c>
      <c r="X52" s="943" t="s">
        <v>10</v>
      </c>
      <c r="Y52" s="2416"/>
      <c r="Z52" s="61"/>
      <c r="AA52" s="985">
        <f>AA51/25*8</f>
        <v>0</v>
      </c>
      <c r="AB52" s="614" t="s">
        <v>10</v>
      </c>
      <c r="AC52" s="1670">
        <f>'3.XT-C kh.mau HALO'!AC52</f>
        <v>0</v>
      </c>
      <c r="AD52" s="942" t="s">
        <v>8</v>
      </c>
      <c r="AE52" s="1684" t="str">
        <f>IF(AC51=0,"",AE51/25*8)</f>
        <v/>
      </c>
      <c r="AF52" s="943" t="s">
        <v>10</v>
      </c>
      <c r="AG52" s="1662"/>
    </row>
    <row r="53" spans="1:38" ht="46.5" customHeight="1">
      <c r="A53" s="2973">
        <v>4</v>
      </c>
      <c r="B53" s="2896" t="s">
        <v>954</v>
      </c>
      <c r="C53" s="2897"/>
      <c r="D53" s="2871" t="s">
        <v>233</v>
      </c>
      <c r="E53" s="2873" t="s">
        <v>233</v>
      </c>
      <c r="F53" s="1665" t="s">
        <v>4</v>
      </c>
      <c r="G53" s="929" t="str">
        <f>'XM.FILE GOC'!$E$84</f>
        <v>50~70</v>
      </c>
      <c r="H53" s="2427" t="str">
        <f>'XM.FILE GOC'!$F$84</f>
        <v>(60±5)</v>
      </c>
      <c r="I53" s="2430">
        <f>'XM.FILE GOC'!AD84</f>
        <v>60.06</v>
      </c>
      <c r="J53" s="1004" t="s">
        <v>8</v>
      </c>
      <c r="K53" s="1005">
        <f>'XM.FILE GOC'!AG84</f>
        <v>0</v>
      </c>
      <c r="L53" s="1006" t="s">
        <v>9</v>
      </c>
      <c r="M53" s="1670">
        <f>'3.XT-C kh.mau HALO'!M53</f>
        <v>0</v>
      </c>
      <c r="N53" s="940" t="s">
        <v>8</v>
      </c>
      <c r="O53" s="1687" t="str">
        <f>IF(M53=0,"",('XM.FILE GOC'!$G$84-M53)*8668/1000)</f>
        <v/>
      </c>
      <c r="P53" s="941" t="s">
        <v>9</v>
      </c>
      <c r="Q53" s="2430">
        <f>'XM.FILE GOC'!AK84</f>
        <v>60</v>
      </c>
      <c r="R53" s="1004" t="s">
        <v>8</v>
      </c>
      <c r="S53" s="1005">
        <f>'XM.FILE GOC'!AN84</f>
        <v>0</v>
      </c>
      <c r="T53" s="1006" t="s">
        <v>9</v>
      </c>
      <c r="U53" s="1670">
        <f>'3.XT-C kh.mau HALO'!U53</f>
        <v>0</v>
      </c>
      <c r="V53" s="940" t="s">
        <v>8</v>
      </c>
      <c r="W53" s="1687" t="str">
        <f>IF(U53=0,"",('XM.FILE GOC'!$G$84-U53)*8668/1000)</f>
        <v/>
      </c>
      <c r="X53" s="941" t="s">
        <v>9</v>
      </c>
      <c r="Y53" s="2430">
        <f>'XM.FILE GOC'!AR84</f>
        <v>60</v>
      </c>
      <c r="Z53" s="1004" t="s">
        <v>8</v>
      </c>
      <c r="AA53" s="1005">
        <f>'XM.FILE GOC'!AU84</f>
        <v>0</v>
      </c>
      <c r="AB53" s="1006" t="s">
        <v>9</v>
      </c>
      <c r="AC53" s="1670">
        <f>'3.XT-C kh.mau HALO'!AC53</f>
        <v>0</v>
      </c>
      <c r="AD53" s="940" t="s">
        <v>8</v>
      </c>
      <c r="AE53" s="1687" t="str">
        <f>IF(AC53=0,"",('XM.FILE GOC'!$G$84-AC53)*8668/1000)</f>
        <v/>
      </c>
      <c r="AF53" s="941" t="s">
        <v>9</v>
      </c>
      <c r="AG53" s="1662" t="s">
        <v>40</v>
      </c>
    </row>
    <row r="54" spans="1:38" ht="46.5" customHeight="1">
      <c r="A54" s="2979"/>
      <c r="B54" s="2897"/>
      <c r="C54" s="2897"/>
      <c r="D54" s="2871" t="s">
        <v>234</v>
      </c>
      <c r="E54" s="2873" t="s">
        <v>234</v>
      </c>
      <c r="F54" s="928"/>
      <c r="G54" s="929" t="s">
        <v>1287</v>
      </c>
      <c r="H54" s="2427"/>
      <c r="I54" s="2416"/>
      <c r="J54" s="61"/>
      <c r="K54" s="985">
        <f>K53/25*8</f>
        <v>0</v>
      </c>
      <c r="L54" s="614" t="s">
        <v>10</v>
      </c>
      <c r="M54" s="1670">
        <f>'3.XT-C kh.mau HALO'!M54</f>
        <v>0</v>
      </c>
      <c r="N54" s="942" t="s">
        <v>8</v>
      </c>
      <c r="O54" s="1684" t="str">
        <f>IF(M53=0,"",O53/25*8)</f>
        <v/>
      </c>
      <c r="P54" s="943" t="s">
        <v>10</v>
      </c>
      <c r="Q54" s="2416"/>
      <c r="R54" s="61"/>
      <c r="S54" s="985">
        <f>S53/25*8</f>
        <v>0</v>
      </c>
      <c r="T54" s="614" t="s">
        <v>10</v>
      </c>
      <c r="U54" s="1670">
        <f>'3.XT-C kh.mau HALO'!U54</f>
        <v>0</v>
      </c>
      <c r="V54" s="942" t="s">
        <v>8</v>
      </c>
      <c r="W54" s="1684" t="str">
        <f>IF(U53=0,"",W53/25*8)</f>
        <v/>
      </c>
      <c r="X54" s="943" t="s">
        <v>10</v>
      </c>
      <c r="Y54" s="2416"/>
      <c r="Z54" s="61"/>
      <c r="AA54" s="985">
        <f>AA53/25*8</f>
        <v>0</v>
      </c>
      <c r="AB54" s="614" t="s">
        <v>10</v>
      </c>
      <c r="AC54" s="1670">
        <f>'3.XT-C kh.mau HALO'!AC54</f>
        <v>0</v>
      </c>
      <c r="AD54" s="942" t="s">
        <v>8</v>
      </c>
      <c r="AE54" s="1684" t="str">
        <f>IF(AC53=0,"",AE53/25*8)</f>
        <v/>
      </c>
      <c r="AF54" s="943" t="s">
        <v>10</v>
      </c>
      <c r="AG54" s="1662"/>
    </row>
    <row r="55" spans="1:38" ht="46.5" customHeight="1">
      <c r="A55" s="2973">
        <v>5</v>
      </c>
      <c r="B55" s="2997" t="s">
        <v>955</v>
      </c>
      <c r="C55" s="2994" t="s">
        <v>956</v>
      </c>
      <c r="D55" s="2995"/>
      <c r="E55" s="2996"/>
      <c r="F55" s="660" t="s">
        <v>4</v>
      </c>
      <c r="G55" s="929" t="str">
        <f>'XM.FILE GOC'!$E$86</f>
        <v>135~ 145</v>
      </c>
      <c r="H55" s="2427" t="str">
        <f>'XM.FILE GOC'!$F$86</f>
        <v>(140±5)</v>
      </c>
      <c r="I55" s="2432">
        <f>'XM.FILE GOC'!AD86</f>
        <v>142.4</v>
      </c>
      <c r="J55" s="1004" t="s">
        <v>8</v>
      </c>
      <c r="K55" s="1005">
        <f>'XM.FILE GOC'!AG86</f>
        <v>0</v>
      </c>
      <c r="L55" s="1006" t="s">
        <v>9</v>
      </c>
      <c r="M55" s="1670">
        <f>'3.XT-C kh.mau HALO'!M55</f>
        <v>0</v>
      </c>
      <c r="N55" s="940" t="s">
        <v>8</v>
      </c>
      <c r="O55" s="1687" t="str">
        <f>IF(M55=0,"",('XM.FILE GOC'!$G$86-M55)*53066/1000)</f>
        <v/>
      </c>
      <c r="P55" s="941" t="s">
        <v>9</v>
      </c>
      <c r="Q55" s="2432">
        <f>'XM.FILE GOC'!AK86</f>
        <v>142</v>
      </c>
      <c r="R55" s="1004" t="s">
        <v>8</v>
      </c>
      <c r="S55" s="1005">
        <f>'XM.FILE GOC'!AN86</f>
        <v>0</v>
      </c>
      <c r="T55" s="1006" t="s">
        <v>9</v>
      </c>
      <c r="U55" s="1670">
        <f>'3.XT-C kh.mau HALO'!U55</f>
        <v>0</v>
      </c>
      <c r="V55" s="940" t="s">
        <v>8</v>
      </c>
      <c r="W55" s="1687" t="str">
        <f>IF(U55=0,"",('XM.FILE GOC'!$G$86-U55)*53066/1000)</f>
        <v/>
      </c>
      <c r="X55" s="941" t="s">
        <v>9</v>
      </c>
      <c r="Y55" s="2432">
        <f>'XM.FILE GOC'!AR86</f>
        <v>141.80000000000001</v>
      </c>
      <c r="Z55" s="1004" t="s">
        <v>8</v>
      </c>
      <c r="AA55" s="1005">
        <f>'XM.FILE GOC'!AU86</f>
        <v>0</v>
      </c>
      <c r="AB55" s="1006" t="s">
        <v>9</v>
      </c>
      <c r="AC55" s="1670">
        <f>'3.XT-C kh.mau HALO'!AC55</f>
        <v>0</v>
      </c>
      <c r="AD55" s="940" t="s">
        <v>8</v>
      </c>
      <c r="AE55" s="1687" t="str">
        <f>IF(AC55=0,"",('XM.FILE GOC'!$G$86-AC55)*53066/1000)</f>
        <v/>
      </c>
      <c r="AF55" s="941" t="s">
        <v>9</v>
      </c>
      <c r="AG55" s="1662" t="s">
        <v>41</v>
      </c>
    </row>
    <row r="56" spans="1:38" ht="46.5" customHeight="1">
      <c r="A56" s="2979"/>
      <c r="B56" s="3021"/>
      <c r="C56" s="3022" t="s">
        <v>957</v>
      </c>
      <c r="D56" s="3023"/>
      <c r="E56" s="3024"/>
      <c r="F56" s="2504" t="s">
        <v>4</v>
      </c>
      <c r="G56" s="1675" t="str">
        <f>'XM.FILE GOC'!$E$87</f>
        <v>7~10</v>
      </c>
      <c r="H56" s="2444" t="str">
        <f>'XM.FILE GOC'!$F$87</f>
        <v>(8.5±1)</v>
      </c>
      <c r="I56" s="2506">
        <f>'XM.FILE GOC'!AD87</f>
        <v>8.4500000000000011</v>
      </c>
      <c r="J56" s="2507" t="s">
        <v>8</v>
      </c>
      <c r="K56" s="2508">
        <f>'XM.FILE GOC'!AG87</f>
        <v>2.6532999999999434</v>
      </c>
      <c r="L56" s="2509" t="s">
        <v>9</v>
      </c>
      <c r="M56" s="2277">
        <f>'3.XT-C kh.mau HALO'!M56</f>
        <v>8.6</v>
      </c>
      <c r="N56" s="2510" t="s">
        <v>8</v>
      </c>
      <c r="O56" s="2511">
        <f>IF(M56=0,"",('XM.FILE GOC'!$G$87-M56)*53066/1000)</f>
        <v>-5.3065999999999809</v>
      </c>
      <c r="P56" s="2512" t="s">
        <v>9</v>
      </c>
      <c r="Q56" s="2506">
        <f>'XM.FILE GOC'!AK87</f>
        <v>8.6</v>
      </c>
      <c r="R56" s="2507" t="s">
        <v>8</v>
      </c>
      <c r="S56" s="2508">
        <f>'XM.FILE GOC'!AN87</f>
        <v>0</v>
      </c>
      <c r="T56" s="2509" t="s">
        <v>9</v>
      </c>
      <c r="U56" s="2277">
        <f>'3.XT-C kh.mau HALO'!U56</f>
        <v>0</v>
      </c>
      <c r="V56" s="2510" t="s">
        <v>8</v>
      </c>
      <c r="W56" s="2511" t="str">
        <f>IF(U56=0,"",('XM.FILE GOC'!$G$87-U56)*53066/1000)</f>
        <v/>
      </c>
      <c r="X56" s="2512" t="s">
        <v>9</v>
      </c>
      <c r="Y56" s="2506">
        <f>'XM.FILE GOC'!AR87</f>
        <v>8.4500000000000011</v>
      </c>
      <c r="Z56" s="2507" t="s">
        <v>8</v>
      </c>
      <c r="AA56" s="2508">
        <f>'XM.FILE GOC'!AU87</f>
        <v>2.6532999999999434</v>
      </c>
      <c r="AB56" s="2512" t="s">
        <v>9</v>
      </c>
      <c r="AC56" s="2277">
        <f>'3.XT-C kh.mau HALO'!AC56</f>
        <v>8.6</v>
      </c>
      <c r="AD56" s="2510" t="s">
        <v>8</v>
      </c>
      <c r="AE56" s="2511">
        <f>IF(AC56=0,"",('XM.FILE GOC'!$G$87-AC56)*53066/1000)</f>
        <v>-5.3065999999999809</v>
      </c>
      <c r="AF56" s="2512" t="s">
        <v>9</v>
      </c>
      <c r="AG56" s="2502" t="s">
        <v>42</v>
      </c>
    </row>
    <row r="57" spans="1:38" s="7" customFormat="1" ht="46.5" customHeight="1">
      <c r="A57" s="3025">
        <v>6</v>
      </c>
      <c r="B57" s="3027" t="s">
        <v>38</v>
      </c>
      <c r="C57" s="3028"/>
      <c r="D57" s="3028"/>
      <c r="E57" s="3031"/>
      <c r="F57" s="2518" t="s">
        <v>3</v>
      </c>
      <c r="G57" s="2519" t="s">
        <v>1332</v>
      </c>
      <c r="H57" s="2520" t="s">
        <v>1321</v>
      </c>
      <c r="I57" s="2529">
        <f>'XM.FILE GOC'!AD97</f>
        <v>12.2</v>
      </c>
      <c r="J57" s="2522"/>
      <c r="K57" s="2523">
        <f>'XM.FILE GOC'!AG97</f>
        <v>0</v>
      </c>
      <c r="L57" s="2524" t="s">
        <v>10</v>
      </c>
      <c r="M57" s="2525"/>
      <c r="N57" s="2526"/>
      <c r="O57" s="2527" t="str">
        <f>IF(M57=0,"",('XM.FILE GOC'!$G$97-M57)*3360/102)</f>
        <v/>
      </c>
      <c r="P57" s="2528" t="s">
        <v>10</v>
      </c>
      <c r="Q57" s="2529">
        <f>'XM.FILE GOC'!AK97</f>
        <v>12.1</v>
      </c>
      <c r="R57" s="2522"/>
      <c r="S57" s="2523">
        <f>'XM.FILE GOC'!AN97</f>
        <v>0</v>
      </c>
      <c r="T57" s="2524" t="s">
        <v>10</v>
      </c>
      <c r="U57" s="2525"/>
      <c r="V57" s="2526"/>
      <c r="W57" s="2527" t="str">
        <f>IF(U57=0,"",('XM.FILE GOC'!$G$97-U57)*3360/102)</f>
        <v/>
      </c>
      <c r="X57" s="2528" t="s">
        <v>10</v>
      </c>
      <c r="Y57" s="2529">
        <f>'XM.FILE GOC'!AR97</f>
        <v>12</v>
      </c>
      <c r="Z57" s="2522"/>
      <c r="AA57" s="2523">
        <f>'XM.FILE GOC'!AU97</f>
        <v>0</v>
      </c>
      <c r="AB57" s="2524" t="s">
        <v>10</v>
      </c>
      <c r="AC57" s="2525"/>
      <c r="AD57" s="2526"/>
      <c r="AE57" s="2527" t="str">
        <f>IF(AC57=0,"",('XM.FILE GOC'!$G$97-AC57)*3360/102)</f>
        <v/>
      </c>
      <c r="AF57" s="2528" t="s">
        <v>10</v>
      </c>
      <c r="AG57" s="2530" t="s">
        <v>43</v>
      </c>
      <c r="AH57" s="1673"/>
      <c r="AI57" s="1666" t="s">
        <v>1451</v>
      </c>
      <c r="AL57" s="977"/>
    </row>
    <row r="58" spans="1:38" ht="46.5" customHeight="1">
      <c r="A58" s="3026"/>
      <c r="B58" s="3029"/>
      <c r="C58" s="3030"/>
      <c r="D58" s="3030"/>
      <c r="E58" s="3032"/>
      <c r="F58" s="2531" t="s">
        <v>5</v>
      </c>
      <c r="G58" s="2532" t="s">
        <v>1330</v>
      </c>
      <c r="H58" s="2533" t="s">
        <v>1322</v>
      </c>
      <c r="I58" s="2542">
        <f>'XM.FILE GOC'!AD98</f>
        <v>2.04</v>
      </c>
      <c r="J58" s="2535"/>
      <c r="K58" s="2536"/>
      <c r="L58" s="2537"/>
      <c r="M58" s="2538"/>
      <c r="N58" s="2539"/>
      <c r="O58" s="2540"/>
      <c r="P58" s="2541"/>
      <c r="Q58" s="2542">
        <f>'XM.FILE GOC'!AK98</f>
        <v>2.02</v>
      </c>
      <c r="R58" s="2535"/>
      <c r="S58" s="2536"/>
      <c r="T58" s="2537"/>
      <c r="U58" s="2538"/>
      <c r="V58" s="2539"/>
      <c r="W58" s="2540"/>
      <c r="X58" s="2541"/>
      <c r="Y58" s="2542">
        <f>'XM.FILE GOC'!AR98</f>
        <v>2.02</v>
      </c>
      <c r="Z58" s="2543"/>
      <c r="AA58" s="2544"/>
      <c r="AB58" s="2545"/>
      <c r="AC58" s="2538"/>
      <c r="AD58" s="2539"/>
      <c r="AE58" s="2540"/>
      <c r="AF58" s="2541"/>
      <c r="AG58" s="2546"/>
      <c r="AH58" s="2505"/>
    </row>
    <row r="59" spans="1:38" ht="46.5" customHeight="1">
      <c r="A59" s="1663">
        <v>7</v>
      </c>
      <c r="B59" s="3033" t="s">
        <v>958</v>
      </c>
      <c r="C59" s="3034"/>
      <c r="D59" s="3034"/>
      <c r="E59" s="3035"/>
      <c r="F59" s="2281" t="s">
        <v>6</v>
      </c>
      <c r="G59" s="1677" t="str">
        <f>'XM.FILE GOC'!$E$90</f>
        <v>40~50</v>
      </c>
      <c r="H59" s="2446" t="str">
        <f>'XM.FILE GOC'!$F$90</f>
        <v>(45±5)</v>
      </c>
      <c r="I59" s="2513">
        <f>'XM.FILE GOC'!AD90</f>
        <v>0.45600000000000002</v>
      </c>
      <c r="J59" s="2283" t="s">
        <v>8</v>
      </c>
      <c r="K59" s="2284">
        <f>'XM.FILE GOC'!AG90</f>
        <v>0</v>
      </c>
      <c r="L59" s="2285" t="s">
        <v>10</v>
      </c>
      <c r="M59" s="2514" t="str">
        <f>IF(I59&gt;44.99%,"",'3.XT-C kh.mau HALO'!M59)</f>
        <v/>
      </c>
      <c r="N59" s="2515" t="s">
        <v>8</v>
      </c>
      <c r="O59" s="2516" t="str">
        <f>IF(M59="","",('XM.FILE GOC'!$G$90-M59)*6723/2.6)</f>
        <v/>
      </c>
      <c r="P59" s="2517" t="s">
        <v>10</v>
      </c>
      <c r="Q59" s="2513">
        <f>'XM.FILE GOC'!AK90</f>
        <v>0.45200000000000001</v>
      </c>
      <c r="R59" s="2283" t="s">
        <v>8</v>
      </c>
      <c r="S59" s="2284">
        <f>'XM.FILE GOC'!AN90</f>
        <v>0</v>
      </c>
      <c r="T59" s="2285" t="s">
        <v>10</v>
      </c>
      <c r="U59" s="2514" t="str">
        <f>IF(Q59&gt;44.99%,"",'3.XT-C kh.mau HALO'!U59)</f>
        <v/>
      </c>
      <c r="V59" s="2515" t="s">
        <v>8</v>
      </c>
      <c r="W59" s="2516" t="str">
        <f>IF(U59="","",('XM.FILE GOC'!$G$90-U59)*6723/2.6)</f>
        <v/>
      </c>
      <c r="X59" s="2517" t="s">
        <v>10</v>
      </c>
      <c r="Y59" s="2513">
        <f>'XM.FILE GOC'!AR90</f>
        <v>0.45</v>
      </c>
      <c r="Z59" s="2283" t="s">
        <v>8</v>
      </c>
      <c r="AA59" s="2284">
        <f>'XM.FILE GOC'!AU90</f>
        <v>0</v>
      </c>
      <c r="AB59" s="2285" t="s">
        <v>10</v>
      </c>
      <c r="AC59" s="2514" t="str">
        <f>IF(Y59&gt;44.99%,"",'3.XT-C kh.mau HALO'!AC59)</f>
        <v/>
      </c>
      <c r="AD59" s="2515" t="s">
        <v>8</v>
      </c>
      <c r="AE59" s="2516" t="str">
        <f>IF(AC59="","",('XM.FILE GOC'!$G$90-AC59)*6723/2.6)</f>
        <v/>
      </c>
      <c r="AF59" s="2517" t="s">
        <v>10</v>
      </c>
      <c r="AG59" s="2503" t="s">
        <v>44</v>
      </c>
    </row>
    <row r="60" spans="1:38" ht="46.5" customHeight="1">
      <c r="A60" s="1663">
        <v>8</v>
      </c>
      <c r="B60" s="2988" t="s">
        <v>959</v>
      </c>
      <c r="C60" s="2989"/>
      <c r="D60" s="2989"/>
      <c r="E60" s="2990"/>
      <c r="F60" s="660" t="s">
        <v>6</v>
      </c>
      <c r="G60" s="929" t="str">
        <f>'XM.FILE GOC'!$E$92</f>
        <v>40~50</v>
      </c>
      <c r="H60" s="2427" t="str">
        <f>'XM.FILE GOC'!$F$92</f>
        <v>(45±5)</v>
      </c>
      <c r="I60" s="2435">
        <f>'XM.FILE GOC'!AD92</f>
        <v>0.45168749999999996</v>
      </c>
      <c r="J60" s="1004" t="s">
        <v>8</v>
      </c>
      <c r="K60" s="1005">
        <f>'XM.FILE GOC'!AG92</f>
        <v>0</v>
      </c>
      <c r="L60" s="1006" t="s">
        <v>10</v>
      </c>
      <c r="M60" s="946" t="str">
        <f>IF(I60&gt;44.99%,"",'3.XT-C kh.mau HALO'!M60)</f>
        <v/>
      </c>
      <c r="N60" s="942" t="s">
        <v>8</v>
      </c>
      <c r="O60" s="1686" t="str">
        <f>IF(M60="","",('XM.FILE GOC'!$G$92-M60)*10509/2.6)</f>
        <v/>
      </c>
      <c r="P60" s="943" t="s">
        <v>10</v>
      </c>
      <c r="Q60" s="2435">
        <f>'XM.FILE GOC'!AK92</f>
        <v>0.45</v>
      </c>
      <c r="R60" s="1004" t="s">
        <v>8</v>
      </c>
      <c r="S60" s="1005">
        <f>'XM.FILE GOC'!AN92</f>
        <v>0</v>
      </c>
      <c r="T60" s="1006" t="s">
        <v>10</v>
      </c>
      <c r="U60" s="946" t="str">
        <f>IF(Q60&gt;44.99%,"",'3.XT-C kh.mau HALO'!U60)</f>
        <v/>
      </c>
      <c r="V60" s="942" t="s">
        <v>8</v>
      </c>
      <c r="W60" s="1686" t="str">
        <f>IF(U60="","",('XM.FILE GOC'!$G$92-U60)*10509/2.6)</f>
        <v/>
      </c>
      <c r="X60" s="943" t="s">
        <v>10</v>
      </c>
      <c r="Y60" s="2435">
        <f>'XM.FILE GOC'!AR92</f>
        <v>0.44256250000000003</v>
      </c>
      <c r="Z60" s="1004" t="s">
        <v>8</v>
      </c>
      <c r="AA60" s="1005">
        <f>'XM.FILE GOC'!AU92</f>
        <v>30.061802884615325</v>
      </c>
      <c r="AB60" s="1006" t="s">
        <v>10</v>
      </c>
      <c r="AC60" s="946">
        <f>IF(Y60&gt;44.99%,"",'3.XT-C kh.mau HALO'!AC60)</f>
        <v>0.45600000000000002</v>
      </c>
      <c r="AD60" s="942" t="s">
        <v>8</v>
      </c>
      <c r="AE60" s="1686">
        <f>IF(AC60="","",('XM.FILE GOC'!$G$92-AC60)*10509/2.6)</f>
        <v>-24.251538461538484</v>
      </c>
      <c r="AF60" s="943" t="s">
        <v>10</v>
      </c>
      <c r="AG60" s="72" t="s">
        <v>44</v>
      </c>
    </row>
    <row r="61" spans="1:38" ht="46.5" customHeight="1">
      <c r="A61" s="1663">
        <v>9</v>
      </c>
      <c r="B61" s="2991" t="s">
        <v>83</v>
      </c>
      <c r="C61" s="2992"/>
      <c r="D61" s="2992"/>
      <c r="E61" s="2993"/>
      <c r="F61" s="660" t="s">
        <v>6</v>
      </c>
      <c r="G61" s="929" t="str">
        <f>'XM.FILE GOC'!$E$93</f>
        <v>10~20</v>
      </c>
      <c r="H61" s="2427" t="str">
        <f>'XM.FILE GOC'!$F$93</f>
        <v>(15±5)</v>
      </c>
      <c r="I61" s="2436">
        <f>'XM.FILE GOC'!AD93</f>
        <v>0.152</v>
      </c>
      <c r="J61" s="1004" t="s">
        <v>8</v>
      </c>
      <c r="K61" s="1005">
        <f>'XM.FILE GOC'!AG93</f>
        <v>0</v>
      </c>
      <c r="L61" s="1006" t="s">
        <v>10</v>
      </c>
      <c r="M61" s="946" t="str">
        <f>IF(I61&gt;14.99%,"",'3.XT-C kh.mau HALO'!M61)</f>
        <v/>
      </c>
      <c r="N61" s="940" t="s">
        <v>8</v>
      </c>
      <c r="O61" s="968" t="str">
        <f>IF(M61="","",('XM.FILE GOC'!$G$93-M61)*3234/2.9)</f>
        <v/>
      </c>
      <c r="P61" s="941" t="s">
        <v>10</v>
      </c>
      <c r="Q61" s="2436">
        <f>'XM.FILE GOC'!AK93</f>
        <v>0.15</v>
      </c>
      <c r="R61" s="1004" t="s">
        <v>8</v>
      </c>
      <c r="S61" s="1005">
        <f>'XM.FILE GOC'!AN93</f>
        <v>0</v>
      </c>
      <c r="T61" s="1006" t="s">
        <v>10</v>
      </c>
      <c r="U61" s="946" t="str">
        <f>IF(Q61&gt;14.99%,"",'3.XT-C kh.mau HALO'!U61)</f>
        <v/>
      </c>
      <c r="V61" s="940" t="s">
        <v>8</v>
      </c>
      <c r="W61" s="968" t="str">
        <f>IF(U61="","",('XM.FILE GOC'!$G$93-U61)*3234/2.9)</f>
        <v/>
      </c>
      <c r="X61" s="941" t="s">
        <v>10</v>
      </c>
      <c r="Y61" s="2436">
        <f>'XM.FILE GOC'!AR93</f>
        <v>0.14599999999999999</v>
      </c>
      <c r="Z61" s="1004" t="s">
        <v>8</v>
      </c>
      <c r="AA61" s="1005">
        <f>'XM.FILE GOC'!AU93</f>
        <v>4.460689655172418</v>
      </c>
      <c r="AB61" s="1006" t="s">
        <v>10</v>
      </c>
      <c r="AC61" s="946">
        <f>IF(Y61&gt;14.99%,"",'3.XT-C kh.mau HALO'!AC61)</f>
        <v>0.153</v>
      </c>
      <c r="AD61" s="940" t="s">
        <v>8</v>
      </c>
      <c r="AE61" s="968">
        <f>IF(AC61="","",('XM.FILE GOC'!$G$93-AC61)*3234/2.9)</f>
        <v>-3.3455172413793135</v>
      </c>
      <c r="AF61" s="941" t="s">
        <v>10</v>
      </c>
      <c r="AG61" s="1662" t="s">
        <v>45</v>
      </c>
    </row>
    <row r="62" spans="1:38" ht="46.5" customHeight="1">
      <c r="A62" s="1663">
        <v>10</v>
      </c>
      <c r="B62" s="2991" t="s">
        <v>960</v>
      </c>
      <c r="C62" s="2992" t="s">
        <v>960</v>
      </c>
      <c r="D62" s="2992" t="s">
        <v>960</v>
      </c>
      <c r="E62" s="2993" t="s">
        <v>960</v>
      </c>
      <c r="F62" s="660" t="s">
        <v>6</v>
      </c>
      <c r="G62" s="929" t="str">
        <f>'XM.FILE GOC'!$E$94</f>
        <v>(1±0.4)=0.6~1.4</v>
      </c>
      <c r="H62" s="2427" t="str">
        <f>'XM.FILE GOC'!$F$94</f>
        <v>(1±0.4)</v>
      </c>
      <c r="I62" s="2437">
        <f>'XM.FILE GOC'!AD94</f>
        <v>7.1820000000000009E-3</v>
      </c>
      <c r="J62" s="1004" t="s">
        <v>8</v>
      </c>
      <c r="K62" s="1008">
        <f>'XM.FILE GOC'!AG94</f>
        <v>8.0620927152317847</v>
      </c>
      <c r="L62" s="1009" t="s">
        <v>10</v>
      </c>
      <c r="M62" s="1669">
        <f>IF(I62&gt;0.99%,"",'3.XT-C kh.mau HALO'!M62)</f>
        <v>0.01</v>
      </c>
      <c r="N62" s="979" t="s">
        <v>8</v>
      </c>
      <c r="O62" s="1688">
        <f>IF(M62="","",('XM.FILE GOC'!$G$94-M62)*2808)</f>
        <v>0</v>
      </c>
      <c r="P62" s="949" t="s">
        <v>10</v>
      </c>
      <c r="Q62" s="2437">
        <f>'XM.FILE GOC'!AK94</f>
        <v>0.01</v>
      </c>
      <c r="R62" s="1004" t="s">
        <v>8</v>
      </c>
      <c r="S62" s="1008">
        <f>'XM.FILE GOC'!AN94</f>
        <v>0</v>
      </c>
      <c r="T62" s="1009" t="s">
        <v>10</v>
      </c>
      <c r="U62" s="1669" t="str">
        <f>IF(Q62&gt;0.99%,"",'3.XT-C kh.mau HALO'!U62)</f>
        <v/>
      </c>
      <c r="V62" s="979" t="s">
        <v>8</v>
      </c>
      <c r="W62" s="1688" t="str">
        <f>IF(U62="","",('XM.FILE GOC'!$G$94-U62)*2808)</f>
        <v/>
      </c>
      <c r="X62" s="949" t="s">
        <v>10</v>
      </c>
      <c r="Y62" s="2437">
        <f>'XM.FILE GOC'!AR94</f>
        <v>8.9999999999999993E-3</v>
      </c>
      <c r="Z62" s="1004" t="s">
        <v>8</v>
      </c>
      <c r="AA62" s="1008">
        <f>'XM.FILE GOC'!AU94</f>
        <v>2.8609271523178834</v>
      </c>
      <c r="AB62" s="1009" t="s">
        <v>10</v>
      </c>
      <c r="AC62" s="1669">
        <f>IF(Y62&gt;0.99%,"",'3.XT-C kh.mau HALO'!AC62)</f>
        <v>0.01</v>
      </c>
      <c r="AD62" s="979" t="s">
        <v>8</v>
      </c>
      <c r="AE62" s="1688"/>
      <c r="AF62" s="949" t="s">
        <v>10</v>
      </c>
      <c r="AG62" s="1662" t="s">
        <v>45</v>
      </c>
    </row>
    <row r="63" spans="1:38" ht="46.5" hidden="1" customHeight="1">
      <c r="A63" s="2475">
        <v>11</v>
      </c>
      <c r="B63" s="2877" t="s">
        <v>75</v>
      </c>
      <c r="C63" s="2878"/>
      <c r="D63" s="2878"/>
      <c r="E63" s="2879"/>
      <c r="F63" s="2" t="s">
        <v>3</v>
      </c>
      <c r="G63" s="929" t="str">
        <f>'XM.GUI MAIL'!$E$95</f>
        <v>5~8</v>
      </c>
      <c r="H63" s="2427" t="str">
        <f>'XM.GUI MAIL'!$F$95</f>
        <v>(6±0.5)</v>
      </c>
      <c r="I63" s="1952">
        <f>'XM.FILE GOC'!AD94</f>
        <v>7.1820000000000009E-3</v>
      </c>
      <c r="J63" s="1004" t="s">
        <v>8</v>
      </c>
      <c r="K63" s="1005">
        <f>'XM.FILE GOC'!AG94</f>
        <v>8.0620927152317847</v>
      </c>
      <c r="L63" s="1009" t="s">
        <v>10</v>
      </c>
      <c r="M63" s="2466"/>
      <c r="N63" s="940" t="s">
        <v>8</v>
      </c>
      <c r="O63" s="968">
        <f>('XM.FILE GOC'!$G$95-M63)*4042/95*1.028</f>
        <v>262.43216842105267</v>
      </c>
      <c r="P63" s="941" t="s">
        <v>10</v>
      </c>
      <c r="Q63" s="1952">
        <f>'XM.FILE GOC'!AK94</f>
        <v>0.01</v>
      </c>
      <c r="R63" s="1004" t="s">
        <v>8</v>
      </c>
      <c r="S63" s="1005">
        <f>'XM.FILE GOC'!AN94</f>
        <v>0</v>
      </c>
      <c r="T63" s="1009" t="s">
        <v>10</v>
      </c>
      <c r="U63" s="2466"/>
      <c r="V63" s="940" t="s">
        <v>8</v>
      </c>
      <c r="W63" s="968">
        <f>('XM.FILE GOC'!$G$95-U63)*4042/95*1.028</f>
        <v>262.43216842105267</v>
      </c>
      <c r="X63" s="941" t="s">
        <v>10</v>
      </c>
      <c r="Y63" s="1952">
        <f>'XM.FILE GOC'!AR94</f>
        <v>8.9999999999999993E-3</v>
      </c>
      <c r="Z63" s="1004" t="s">
        <v>8</v>
      </c>
      <c r="AA63" s="1005">
        <f>'XM.FILE GOC'!AU94</f>
        <v>2.8609271523178834</v>
      </c>
      <c r="AB63" s="1009" t="s">
        <v>10</v>
      </c>
      <c r="AC63" s="2466"/>
      <c r="AD63" s="940" t="s">
        <v>8</v>
      </c>
      <c r="AE63" s="968">
        <f>('XM.FILE GOC'!$G$95-AC63)*4042/95*1.028</f>
        <v>262.43216842105267</v>
      </c>
      <c r="AF63" s="941" t="s">
        <v>10</v>
      </c>
      <c r="AG63" s="2474"/>
    </row>
    <row r="64" spans="1:38" ht="46.5" hidden="1" customHeight="1">
      <c r="A64" s="2475">
        <v>12</v>
      </c>
      <c r="B64" s="2880"/>
      <c r="C64" s="2881"/>
      <c r="D64" s="2881"/>
      <c r="E64" s="2882"/>
      <c r="F64" s="2" t="s">
        <v>5</v>
      </c>
      <c r="G64" s="929" t="str">
        <f>'XM.GUI MAIL'!$E$96</f>
        <v>1.8~2.4</v>
      </c>
      <c r="H64" s="2427" t="str">
        <f>'XM.GUI MAIL'!$F$96</f>
        <v>(2.1±0.1)</v>
      </c>
      <c r="I64" s="1869">
        <f>'XM.FILE GOC'!AD95</f>
        <v>6.3</v>
      </c>
      <c r="J64" s="1004"/>
      <c r="K64" s="1008"/>
      <c r="L64" s="1009"/>
      <c r="M64" s="947"/>
      <c r="N64" s="979"/>
      <c r="O64" s="1688"/>
      <c r="P64" s="949"/>
      <c r="Q64" s="1869">
        <f>'XM.FILE GOC'!AK95</f>
        <v>6.2</v>
      </c>
      <c r="R64" s="1004"/>
      <c r="S64" s="1008"/>
      <c r="T64" s="1009"/>
      <c r="U64" s="947"/>
      <c r="V64" s="979"/>
      <c r="W64" s="1688"/>
      <c r="X64" s="949"/>
      <c r="Y64" s="1869">
        <f>'XM.FILE GOC'!AR95</f>
        <v>6</v>
      </c>
      <c r="Z64" s="1004"/>
      <c r="AA64" s="1008"/>
      <c r="AB64" s="1009"/>
      <c r="AC64" s="947"/>
      <c r="AD64" s="979"/>
      <c r="AE64" s="1688"/>
      <c r="AF64" s="949"/>
      <c r="AG64" s="2474"/>
    </row>
    <row r="65" spans="1:38" ht="46.5" customHeight="1">
      <c r="A65" s="1663"/>
      <c r="B65" s="3009" t="s">
        <v>1327</v>
      </c>
      <c r="C65" s="3010"/>
      <c r="D65" s="3010"/>
      <c r="E65" s="3010"/>
      <c r="F65" s="3010"/>
      <c r="G65" s="3010"/>
      <c r="H65" s="3010"/>
      <c r="I65" s="3010"/>
      <c r="J65" s="3010"/>
      <c r="K65" s="3010"/>
      <c r="L65" s="3010"/>
      <c r="M65" s="3010"/>
      <c r="N65" s="3010"/>
      <c r="O65" s="3010"/>
      <c r="P65" s="3010"/>
      <c r="Q65" s="3010"/>
      <c r="R65" s="3010"/>
      <c r="S65" s="3010"/>
      <c r="T65" s="3010"/>
      <c r="U65" s="3010"/>
      <c r="V65" s="3010"/>
      <c r="W65" s="3010"/>
      <c r="X65" s="3010"/>
      <c r="Y65" s="3010"/>
      <c r="Z65" s="3010"/>
      <c r="AA65" s="3010"/>
      <c r="AB65" s="3010"/>
      <c r="AC65" s="3010"/>
      <c r="AD65" s="3010"/>
      <c r="AE65" s="3010"/>
      <c r="AF65" s="3010"/>
      <c r="AG65" s="3012"/>
    </row>
    <row r="66" spans="1:38" ht="53.25" customHeight="1">
      <c r="A66" s="1663" t="s">
        <v>7</v>
      </c>
      <c r="B66" s="2965" t="s">
        <v>961</v>
      </c>
      <c r="C66" s="2966"/>
      <c r="D66" s="2966"/>
      <c r="E66" s="2967"/>
      <c r="F66" s="1010" t="s">
        <v>962</v>
      </c>
      <c r="G66" s="1010" t="s">
        <v>1325</v>
      </c>
      <c r="H66" s="2429" t="s">
        <v>1317</v>
      </c>
      <c r="I66" s="3002" t="s">
        <v>963</v>
      </c>
      <c r="J66" s="3001"/>
      <c r="K66" s="3002" t="s">
        <v>964</v>
      </c>
      <c r="L66" s="3001"/>
      <c r="M66" s="950"/>
      <c r="N66" s="951"/>
      <c r="O66" s="951"/>
      <c r="P66" s="952"/>
      <c r="Q66" s="3002" t="s">
        <v>963</v>
      </c>
      <c r="R66" s="3001"/>
      <c r="S66" s="3002" t="s">
        <v>964</v>
      </c>
      <c r="T66" s="3001"/>
      <c r="U66" s="950"/>
      <c r="V66" s="951"/>
      <c r="W66" s="951"/>
      <c r="X66" s="952"/>
      <c r="Y66" s="3002" t="s">
        <v>963</v>
      </c>
      <c r="Z66" s="3001"/>
      <c r="AA66" s="3002" t="s">
        <v>964</v>
      </c>
      <c r="AB66" s="3001"/>
      <c r="AC66" s="950"/>
      <c r="AD66" s="951"/>
      <c r="AE66" s="951"/>
      <c r="AF66" s="952"/>
      <c r="AG66" s="10"/>
    </row>
    <row r="67" spans="1:38" ht="49.5" customHeight="1">
      <c r="A67" s="1663">
        <v>1</v>
      </c>
      <c r="B67" s="2965" t="s">
        <v>965</v>
      </c>
      <c r="C67" s="2966"/>
      <c r="D67" s="2966"/>
      <c r="E67" s="2967"/>
      <c r="F67" s="1011" t="s">
        <v>966</v>
      </c>
      <c r="G67" s="929" t="str">
        <f>'XM.FILE GOC'!$E$104</f>
        <v>50~70</v>
      </c>
      <c r="H67" s="2427" t="str">
        <f>'XM.FILE GOC'!$F$104</f>
        <v>(60±5)</v>
      </c>
      <c r="I67" s="2934">
        <f>'3.XT-C kh.mau HALO'!I67</f>
        <v>61</v>
      </c>
      <c r="J67" s="2867"/>
      <c r="K67" s="2867">
        <f>'3.XT-C kh.mau HALO'!K67</f>
        <v>60</v>
      </c>
      <c r="L67" s="2867"/>
      <c r="M67" s="953"/>
      <c r="N67" s="954"/>
      <c r="O67" s="954"/>
      <c r="P67" s="955"/>
      <c r="Q67" s="2867">
        <f>'3.XT-C kh.mau HALO'!Q67</f>
        <v>61</v>
      </c>
      <c r="R67" s="2867"/>
      <c r="S67" s="2867">
        <f>'3.XT-C kh.mau HALO'!S67:T67</f>
        <v>60</v>
      </c>
      <c r="T67" s="2867"/>
      <c r="U67" s="953"/>
      <c r="V67" s="954"/>
      <c r="W67" s="954"/>
      <c r="X67" s="955"/>
      <c r="Y67" s="2867">
        <f>'3.XT-C kh.mau HALO'!Y67</f>
        <v>61</v>
      </c>
      <c r="Z67" s="2867"/>
      <c r="AA67" s="2867">
        <f>'3.XT-C kh.mau HALO'!AA67</f>
        <v>60</v>
      </c>
      <c r="AB67" s="2867"/>
      <c r="AC67" s="953"/>
      <c r="AD67" s="954"/>
      <c r="AE67" s="954"/>
      <c r="AF67" s="955"/>
      <c r="AG67" s="1664"/>
    </row>
    <row r="68" spans="1:38" ht="49.5" customHeight="1">
      <c r="A68" s="1663">
        <v>2</v>
      </c>
      <c r="B68" s="2965" t="s">
        <v>967</v>
      </c>
      <c r="C68" s="2966"/>
      <c r="D68" s="2966"/>
      <c r="E68" s="2967"/>
      <c r="F68" s="1011" t="s">
        <v>966</v>
      </c>
      <c r="G68" s="929" t="str">
        <f>'XM.FILE GOC'!$E$105</f>
        <v>50~70</v>
      </c>
      <c r="H68" s="2427" t="str">
        <f>'XM.FILE GOC'!$F$105</f>
        <v>(60±5)</v>
      </c>
      <c r="I68" s="2934">
        <f>'3.XT-C kh.mau HALO'!I68</f>
        <v>61</v>
      </c>
      <c r="J68" s="2867"/>
      <c r="K68" s="2867">
        <f>'3.XT-C kh.mau HALO'!K68</f>
        <v>60</v>
      </c>
      <c r="L68" s="2867"/>
      <c r="M68" s="953"/>
      <c r="N68" s="954"/>
      <c r="O68" s="954"/>
      <c r="P68" s="955"/>
      <c r="Q68" s="2867">
        <f>'3.XT-C kh.mau HALO'!Q68</f>
        <v>61</v>
      </c>
      <c r="R68" s="2867"/>
      <c r="S68" s="2867">
        <f>'3.XT-C kh.mau HALO'!S68:T68</f>
        <v>60</v>
      </c>
      <c r="T68" s="2867"/>
      <c r="U68" s="953"/>
      <c r="V68" s="954"/>
      <c r="W68" s="954"/>
      <c r="X68" s="955"/>
      <c r="Y68" s="2867">
        <f>'3.XT-C kh.mau HALO'!Y68</f>
        <v>61</v>
      </c>
      <c r="Z68" s="2867"/>
      <c r="AA68" s="2867">
        <f>'3.XT-C kh.mau HALO'!AA68</f>
        <v>60</v>
      </c>
      <c r="AB68" s="2867"/>
      <c r="AC68" s="953"/>
      <c r="AD68" s="954"/>
      <c r="AE68" s="954"/>
      <c r="AF68" s="955"/>
      <c r="AG68" s="1664"/>
    </row>
    <row r="69" spans="1:38" ht="49.5" customHeight="1">
      <c r="A69" s="1663">
        <v>3</v>
      </c>
      <c r="B69" s="2965" t="s">
        <v>968</v>
      </c>
      <c r="C69" s="2966"/>
      <c r="D69" s="2966"/>
      <c r="E69" s="2967"/>
      <c r="F69" s="1011" t="s">
        <v>966</v>
      </c>
      <c r="G69" s="929" t="str">
        <f>'XM.FILE GOC'!$E$106</f>
        <v>50~70</v>
      </c>
      <c r="H69" s="2427" t="str">
        <f>'XM.FILE GOC'!$F$106</f>
        <v>(60±5)</v>
      </c>
      <c r="I69" s="2934">
        <f>'3.XT-C kh.mau HALO'!I69</f>
        <v>60</v>
      </c>
      <c r="J69" s="2867"/>
      <c r="K69" s="2867">
        <f>'3.XT-C kh.mau HALO'!K69</f>
        <v>59</v>
      </c>
      <c r="L69" s="2867"/>
      <c r="M69" s="953"/>
      <c r="N69" s="954"/>
      <c r="O69" s="954"/>
      <c r="P69" s="955"/>
      <c r="Q69" s="2867">
        <f>'3.XT-C kh.mau HALO'!Q69</f>
        <v>61</v>
      </c>
      <c r="R69" s="2867"/>
      <c r="S69" s="2867">
        <f>'3.XT-C kh.mau HALO'!S69:T69</f>
        <v>60</v>
      </c>
      <c r="T69" s="2867"/>
      <c r="U69" s="953"/>
      <c r="V69" s="954"/>
      <c r="W69" s="954"/>
      <c r="X69" s="955"/>
      <c r="Y69" s="2867">
        <f>'3.XT-C kh.mau HALO'!Y69</f>
        <v>61</v>
      </c>
      <c r="Z69" s="2867"/>
      <c r="AA69" s="2867">
        <f>'3.XT-C kh.mau HALO'!AA69</f>
        <v>60</v>
      </c>
      <c r="AB69" s="2867"/>
      <c r="AC69" s="953"/>
      <c r="AD69" s="954"/>
      <c r="AE69" s="954"/>
      <c r="AF69" s="955"/>
      <c r="AG69" s="1664"/>
    </row>
    <row r="70" spans="1:38" ht="49.5" customHeight="1">
      <c r="A70" s="1663">
        <v>4</v>
      </c>
      <c r="B70" s="2965" t="s">
        <v>969</v>
      </c>
      <c r="C70" s="2966"/>
      <c r="D70" s="2966"/>
      <c r="E70" s="2967"/>
      <c r="F70" s="1011" t="s">
        <v>966</v>
      </c>
      <c r="G70" s="929" t="str">
        <f>'XM.FILE GOC'!$E$107</f>
        <v>50~70</v>
      </c>
      <c r="H70" s="2427" t="str">
        <f>'XM.FILE GOC'!$F$107</f>
        <v>(60±5)</v>
      </c>
      <c r="I70" s="2934">
        <f>'3.XT-C kh.mau HALO'!I70</f>
        <v>62</v>
      </c>
      <c r="J70" s="2867"/>
      <c r="K70" s="2867">
        <f>'3.XT-C kh.mau HALO'!K70</f>
        <v>61</v>
      </c>
      <c r="L70" s="2867"/>
      <c r="M70" s="953"/>
      <c r="N70" s="954"/>
      <c r="O70" s="954"/>
      <c r="P70" s="955"/>
      <c r="Q70" s="2867">
        <f>'3.XT-C kh.mau HALO'!Q70</f>
        <v>61</v>
      </c>
      <c r="R70" s="2867"/>
      <c r="S70" s="2867">
        <f>'3.XT-C kh.mau HALO'!S70:T70</f>
        <v>60</v>
      </c>
      <c r="T70" s="2867"/>
      <c r="U70" s="953"/>
      <c r="V70" s="954"/>
      <c r="W70" s="954"/>
      <c r="X70" s="955"/>
      <c r="Y70" s="2867">
        <f>'3.XT-C kh.mau HALO'!Y70</f>
        <v>61</v>
      </c>
      <c r="Z70" s="2867"/>
      <c r="AA70" s="2867">
        <f>'3.XT-C kh.mau HALO'!AA70</f>
        <v>60</v>
      </c>
      <c r="AB70" s="2867"/>
      <c r="AC70" s="953"/>
      <c r="AD70" s="954"/>
      <c r="AE70" s="954"/>
      <c r="AF70" s="955"/>
      <c r="AG70" s="1664"/>
    </row>
    <row r="71" spans="1:38" ht="49.5" customHeight="1">
      <c r="A71" s="1663">
        <v>5</v>
      </c>
      <c r="B71" s="3036" t="s">
        <v>970</v>
      </c>
      <c r="C71" s="3037"/>
      <c r="D71" s="3037"/>
      <c r="E71" s="3038"/>
      <c r="F71" s="1674" t="s">
        <v>966</v>
      </c>
      <c r="G71" s="1675" t="str">
        <f>'XM.FILE GOC'!$E$108</f>
        <v>22~28</v>
      </c>
      <c r="H71" s="2444" t="str">
        <f>'XM.FILE GOC'!$F$108</f>
        <v>(25±3)</v>
      </c>
      <c r="I71" s="3039">
        <f>'3.XT-C kh.mau HALO'!I71</f>
        <v>26</v>
      </c>
      <c r="J71" s="3040"/>
      <c r="K71" s="3040">
        <f>'3.XT-C kh.mau HALO'!K71</f>
        <v>25</v>
      </c>
      <c r="L71" s="3040"/>
      <c r="M71" s="953"/>
      <c r="N71" s="954"/>
      <c r="O71" s="954"/>
      <c r="P71" s="955"/>
      <c r="Q71" s="3040">
        <f>'3.XT-C kh.mau HALO'!Q71</f>
        <v>26</v>
      </c>
      <c r="R71" s="3040"/>
      <c r="S71" s="3040">
        <f>'3.XT-C kh.mau HALO'!S71:T71</f>
        <v>25</v>
      </c>
      <c r="T71" s="3040"/>
      <c r="U71" s="953"/>
      <c r="V71" s="954"/>
      <c r="W71" s="954"/>
      <c r="X71" s="955"/>
      <c r="Y71" s="3040">
        <f>'3.XT-C kh.mau HALO'!Y71</f>
        <v>26</v>
      </c>
      <c r="Z71" s="3040"/>
      <c r="AA71" s="3040">
        <f>'3.XT-C kh.mau HALO'!AA71</f>
        <v>25</v>
      </c>
      <c r="AB71" s="3040"/>
      <c r="AC71" s="953"/>
      <c r="AD71" s="954"/>
      <c r="AE71" s="954"/>
      <c r="AF71" s="955"/>
      <c r="AG71" s="1664"/>
    </row>
    <row r="72" spans="1:38" ht="49.5" customHeight="1">
      <c r="A72" s="1672">
        <v>6</v>
      </c>
      <c r="B72" s="3048" t="s">
        <v>971</v>
      </c>
      <c r="C72" s="3049"/>
      <c r="D72" s="3049"/>
      <c r="E72" s="3050"/>
      <c r="F72" s="2547" t="s">
        <v>966</v>
      </c>
      <c r="G72" s="2548" t="s">
        <v>1367</v>
      </c>
      <c r="H72" s="2549" t="s">
        <v>1469</v>
      </c>
      <c r="I72" s="3051">
        <v>38</v>
      </c>
      <c r="J72" s="3052"/>
      <c r="K72" s="3041">
        <v>39</v>
      </c>
      <c r="L72" s="3052"/>
      <c r="M72" s="2550"/>
      <c r="N72" s="2551"/>
      <c r="O72" s="2551"/>
      <c r="P72" s="2552"/>
      <c r="Q72" s="3041">
        <v>37</v>
      </c>
      <c r="R72" s="3052"/>
      <c r="S72" s="3041">
        <v>39</v>
      </c>
      <c r="T72" s="3052"/>
      <c r="U72" s="2550"/>
      <c r="V72" s="2551"/>
      <c r="W72" s="2551"/>
      <c r="X72" s="2552"/>
      <c r="Y72" s="3041">
        <v>38</v>
      </c>
      <c r="Z72" s="3052"/>
      <c r="AA72" s="3041">
        <v>39</v>
      </c>
      <c r="AB72" s="3042"/>
      <c r="AC72" s="954"/>
      <c r="AD72" s="954"/>
      <c r="AE72" s="954"/>
      <c r="AF72" s="955"/>
      <c r="AG72" s="1664"/>
      <c r="AH72" s="1667"/>
      <c r="AI72" s="1666" t="s">
        <v>1451</v>
      </c>
      <c r="AJ72" s="977"/>
      <c r="AK72" s="977"/>
      <c r="AL72" s="977"/>
    </row>
    <row r="73" spans="1:38" ht="49.5" customHeight="1">
      <c r="A73" s="1663">
        <v>7</v>
      </c>
      <c r="B73" s="3043" t="s">
        <v>972</v>
      </c>
      <c r="C73" s="3044"/>
      <c r="D73" s="3044"/>
      <c r="E73" s="3045"/>
      <c r="F73" s="1676" t="s">
        <v>966</v>
      </c>
      <c r="G73" s="1677" t="str">
        <f>'XM.FILE GOC'!$E$110</f>
        <v>55~65</v>
      </c>
      <c r="H73" s="2446" t="str">
        <f>'XM.FILE GOC'!$F$110</f>
        <v>(60±5)</v>
      </c>
      <c r="I73" s="3046">
        <f>'3.XT-C kh.mau HALO'!I73</f>
        <v>61</v>
      </c>
      <c r="J73" s="3047"/>
      <c r="K73" s="3047">
        <f>'3.XT-C kh.mau HALO'!K73</f>
        <v>60</v>
      </c>
      <c r="L73" s="3047"/>
      <c r="M73" s="953"/>
      <c r="N73" s="954"/>
      <c r="O73" s="954"/>
      <c r="P73" s="955"/>
      <c r="Q73" s="3047">
        <f>'3.XT-C kh.mau HALO'!Q73</f>
        <v>61</v>
      </c>
      <c r="R73" s="3047"/>
      <c r="S73" s="3047">
        <f>'3.XT-C kh.mau HALO'!S73</f>
        <v>60</v>
      </c>
      <c r="T73" s="3047"/>
      <c r="U73" s="953"/>
      <c r="V73" s="954"/>
      <c r="W73" s="954"/>
      <c r="X73" s="955"/>
      <c r="Y73" s="3047">
        <f>'3.XT-C kh.mau HALO'!Y73</f>
        <v>59</v>
      </c>
      <c r="Z73" s="3047"/>
      <c r="AA73" s="3047">
        <f>'3.XT-C kh.mau HALO'!AA73</f>
        <v>58</v>
      </c>
      <c r="AB73" s="3047"/>
      <c r="AC73" s="953"/>
      <c r="AD73" s="954"/>
      <c r="AE73" s="954"/>
      <c r="AF73" s="955"/>
      <c r="AG73" s="1664"/>
    </row>
    <row r="74" spans="1:38" ht="49.5" customHeight="1">
      <c r="A74" s="1663">
        <v>8</v>
      </c>
      <c r="B74" s="2965" t="s">
        <v>973</v>
      </c>
      <c r="C74" s="2966"/>
      <c r="D74" s="2966"/>
      <c r="E74" s="2967"/>
      <c r="F74" s="1011" t="s">
        <v>966</v>
      </c>
      <c r="G74" s="929" t="str">
        <f>'XM.FILE GOC'!$E$111</f>
        <v>80~100</v>
      </c>
      <c r="H74" s="2427" t="str">
        <f>'XM.FILE GOC'!$F$111</f>
        <v>(90±5)</v>
      </c>
      <c r="I74" s="3001" t="str">
        <f>'3.XT-C kh.mau HALO'!I74</f>
        <v>\</v>
      </c>
      <c r="J74" s="3008"/>
      <c r="K74" s="2867">
        <f>'3.XT-C kh.mau HALO'!K74</f>
        <v>92</v>
      </c>
      <c r="L74" s="2867"/>
      <c r="M74" s="953"/>
      <c r="N74" s="954"/>
      <c r="O74" s="954"/>
      <c r="P74" s="955"/>
      <c r="Q74" s="3008" t="str">
        <f>'3.XT-C kh.mau HALO'!Q74</f>
        <v>\</v>
      </c>
      <c r="R74" s="3008"/>
      <c r="S74" s="2867">
        <f>'3.XT-C kh.mau HALO'!S74</f>
        <v>91</v>
      </c>
      <c r="T74" s="2867"/>
      <c r="U74" s="953"/>
      <c r="V74" s="954"/>
      <c r="W74" s="954"/>
      <c r="X74" s="955"/>
      <c r="Y74" s="3008" t="str">
        <f>'3.XT-C kh.mau HALO'!Y74</f>
        <v>\</v>
      </c>
      <c r="Z74" s="3008"/>
      <c r="AA74" s="2867">
        <f>'3.XT-C kh.mau HALO'!AA74</f>
        <v>92</v>
      </c>
      <c r="AB74" s="2867"/>
      <c r="AC74" s="953"/>
      <c r="AD74" s="954"/>
      <c r="AE74" s="954"/>
      <c r="AF74" s="955"/>
      <c r="AG74" s="1664"/>
    </row>
    <row r="75" spans="1:38" ht="49.5" customHeight="1">
      <c r="A75" s="1663">
        <v>9</v>
      </c>
      <c r="B75" s="3005" t="s">
        <v>1303</v>
      </c>
      <c r="C75" s="3006"/>
      <c r="D75" s="3006"/>
      <c r="E75" s="3007"/>
      <c r="F75" s="1011" t="s">
        <v>966</v>
      </c>
      <c r="G75" s="929" t="str">
        <f>'XM.FILE GOC'!$E$112</f>
        <v>40~60</v>
      </c>
      <c r="H75" s="2427" t="str">
        <f>'XM.FILE GOC'!$F$112</f>
        <v>(50±10)</v>
      </c>
      <c r="I75" s="3003">
        <f>'3.XT-C kh.mau HALO'!I75</f>
        <v>54</v>
      </c>
      <c r="J75" s="3004"/>
      <c r="K75" s="3004">
        <f>'3.XT-C kh.mau HALO'!K75</f>
        <v>53</v>
      </c>
      <c r="L75" s="3004"/>
      <c r="M75" s="953"/>
      <c r="N75" s="954"/>
      <c r="O75" s="954"/>
      <c r="P75" s="955"/>
      <c r="Q75" s="3004">
        <f>'3.XT-C kh.mau HALO'!Q75</f>
        <v>55</v>
      </c>
      <c r="R75" s="3004"/>
      <c r="S75" s="3004">
        <f>'3.XT-C kh.mau HALO'!S75</f>
        <v>54</v>
      </c>
      <c r="T75" s="3004"/>
      <c r="U75" s="953"/>
      <c r="V75" s="954"/>
      <c r="W75" s="954"/>
      <c r="X75" s="955"/>
      <c r="Y75" s="3004">
        <f>'3.XT-C kh.mau HALO'!Y75</f>
        <v>51</v>
      </c>
      <c r="Z75" s="3004"/>
      <c r="AA75" s="3004">
        <f>'3.XT-C kh.mau HALO'!AA75</f>
        <v>50</v>
      </c>
      <c r="AB75" s="3004"/>
      <c r="AC75" s="953"/>
      <c r="AD75" s="954"/>
      <c r="AE75" s="954"/>
      <c r="AF75" s="955"/>
      <c r="AG75" s="927"/>
    </row>
    <row r="76" spans="1:38" ht="49.5" customHeight="1">
      <c r="A76" s="1663">
        <v>10</v>
      </c>
      <c r="B76" s="3005" t="s">
        <v>1305</v>
      </c>
      <c r="C76" s="3006"/>
      <c r="D76" s="3006"/>
      <c r="E76" s="3007"/>
      <c r="F76" s="1011" t="s">
        <v>966</v>
      </c>
      <c r="G76" s="929" t="str">
        <f>'XM.FILE GOC'!$E$113</f>
        <v>50~70</v>
      </c>
      <c r="H76" s="2427" t="str">
        <f>'XM.FILE GOC'!$F$113</f>
        <v>(60±10)</v>
      </c>
      <c r="I76" s="3003">
        <f>'3.XT-C kh.mau HALO'!I76</f>
        <v>61</v>
      </c>
      <c r="J76" s="3004"/>
      <c r="K76" s="3004">
        <f>'3.XT-C kh.mau HALO'!K76</f>
        <v>60</v>
      </c>
      <c r="L76" s="3004"/>
      <c r="M76" s="953"/>
      <c r="N76" s="954"/>
      <c r="O76" s="954"/>
      <c r="P76" s="955"/>
      <c r="Q76" s="3004">
        <f>'3.XT-C kh.mau HALO'!Q76</f>
        <v>61</v>
      </c>
      <c r="R76" s="3004"/>
      <c r="S76" s="3004">
        <f>'3.XT-C kh.mau HALO'!S76</f>
        <v>61</v>
      </c>
      <c r="T76" s="3004"/>
      <c r="U76" s="953"/>
      <c r="V76" s="954"/>
      <c r="W76" s="954"/>
      <c r="X76" s="955"/>
      <c r="Y76" s="3004">
        <f>'3.XT-C kh.mau HALO'!Y76</f>
        <v>59</v>
      </c>
      <c r="Z76" s="3004"/>
      <c r="AA76" s="3004">
        <f>'3.XT-C kh.mau HALO'!AA76</f>
        <v>58</v>
      </c>
      <c r="AB76" s="3004"/>
      <c r="AC76" s="953"/>
      <c r="AD76" s="954"/>
      <c r="AE76" s="954"/>
      <c r="AF76" s="955"/>
      <c r="AG76" s="927"/>
    </row>
    <row r="77" spans="1:38" ht="49.5" hidden="1" customHeight="1">
      <c r="A77" s="2475"/>
      <c r="B77" s="2478"/>
      <c r="C77" s="2479"/>
      <c r="D77" s="2479"/>
      <c r="E77" s="2479"/>
      <c r="F77" s="2486"/>
      <c r="G77" s="2485"/>
      <c r="H77" s="2485"/>
      <c r="I77" s="2482"/>
      <c r="J77" s="2482"/>
      <c r="K77" s="2482"/>
      <c r="L77" s="2482"/>
      <c r="M77" s="954"/>
      <c r="N77" s="954"/>
      <c r="O77" s="954"/>
      <c r="P77" s="954"/>
      <c r="Q77" s="2482"/>
      <c r="R77" s="2482"/>
      <c r="S77" s="2482"/>
      <c r="T77" s="2482"/>
      <c r="U77" s="954"/>
      <c r="V77" s="954"/>
      <c r="W77" s="954"/>
      <c r="X77" s="954"/>
      <c r="Y77" s="2482"/>
      <c r="Z77" s="2482"/>
      <c r="AA77" s="2482"/>
      <c r="AB77" s="2482"/>
      <c r="AC77" s="954"/>
      <c r="AD77" s="954"/>
      <c r="AE77" s="954"/>
      <c r="AF77" s="954"/>
      <c r="AG77" s="927"/>
    </row>
    <row r="78" spans="1:38" ht="46.5" customHeight="1">
      <c r="A78" s="1663"/>
      <c r="B78" s="3009" t="s">
        <v>1326</v>
      </c>
      <c r="C78" s="3010"/>
      <c r="D78" s="3010"/>
      <c r="E78" s="3010"/>
      <c r="F78" s="3010"/>
      <c r="G78" s="3010"/>
      <c r="H78" s="3010"/>
      <c r="I78" s="3010"/>
      <c r="J78" s="3010"/>
      <c r="K78" s="3010"/>
      <c r="L78" s="3010"/>
      <c r="M78" s="3010"/>
      <c r="N78" s="3010"/>
      <c r="O78" s="3010"/>
      <c r="P78" s="3010"/>
      <c r="Q78" s="3010"/>
      <c r="R78" s="3010"/>
      <c r="S78" s="3010"/>
      <c r="T78" s="3010"/>
      <c r="U78" s="3010"/>
      <c r="V78" s="3010"/>
      <c r="W78" s="3010"/>
      <c r="X78" s="3010"/>
      <c r="Y78" s="3010"/>
      <c r="Z78" s="3010"/>
      <c r="AA78" s="3010"/>
      <c r="AB78" s="3010"/>
      <c r="AC78" s="3010"/>
      <c r="AD78" s="3010"/>
      <c r="AE78" s="3010"/>
      <c r="AF78" s="3010"/>
      <c r="AG78" s="3012"/>
    </row>
    <row r="79" spans="1:38" ht="57" customHeight="1">
      <c r="A79" s="1663" t="s">
        <v>7</v>
      </c>
      <c r="B79" s="2965" t="s">
        <v>974</v>
      </c>
      <c r="C79" s="2966"/>
      <c r="D79" s="2966"/>
      <c r="E79" s="2967"/>
      <c r="F79" s="1010" t="s">
        <v>738</v>
      </c>
      <c r="G79" s="1010" t="s">
        <v>1325</v>
      </c>
      <c r="H79" s="2429" t="s">
        <v>1317</v>
      </c>
      <c r="I79" s="3000" t="s">
        <v>975</v>
      </c>
      <c r="J79" s="3000"/>
      <c r="K79" s="3000"/>
      <c r="L79" s="3001"/>
      <c r="M79" s="950"/>
      <c r="N79" s="951"/>
      <c r="O79" s="951"/>
      <c r="P79" s="952"/>
      <c r="Q79" s="3002" t="s">
        <v>975</v>
      </c>
      <c r="R79" s="3000"/>
      <c r="S79" s="3000"/>
      <c r="T79" s="3001"/>
      <c r="U79" s="950"/>
      <c r="V79" s="951"/>
      <c r="W79" s="951"/>
      <c r="X79" s="952"/>
      <c r="Y79" s="3002" t="s">
        <v>975</v>
      </c>
      <c r="Z79" s="3000"/>
      <c r="AA79" s="3000"/>
      <c r="AB79" s="3001"/>
      <c r="AC79" s="950"/>
      <c r="AD79" s="951"/>
      <c r="AE79" s="951"/>
      <c r="AF79" s="952"/>
      <c r="AG79" s="10"/>
    </row>
    <row r="80" spans="1:38" ht="60.75" customHeight="1">
      <c r="A80" s="1663">
        <v>1</v>
      </c>
      <c r="B80" s="2991" t="s">
        <v>1123</v>
      </c>
      <c r="C80" s="2992"/>
      <c r="D80" s="2992"/>
      <c r="E80" s="2993"/>
      <c r="F80" s="660" t="s">
        <v>49</v>
      </c>
      <c r="G80" s="929" t="str">
        <f>'XM.FILE GOC'!$E$119</f>
        <v>30~50 
(40)</v>
      </c>
      <c r="H80" s="2427" t="str">
        <f>'XM.FILE GOC'!$F$119</f>
        <v>30~50 
(40)</v>
      </c>
      <c r="I80" s="2832">
        <f>'3.XT-C kh.mau HALO'!I80:L80</f>
        <v>48</v>
      </c>
      <c r="J80" s="2832"/>
      <c r="K80" s="2832"/>
      <c r="L80" s="2833"/>
      <c r="M80" s="1361"/>
      <c r="N80" s="1362"/>
      <c r="O80" s="1362"/>
      <c r="P80" s="1363"/>
      <c r="Q80" s="2831">
        <f>'3.XT-C kh.mau HALO'!Q80:T80</f>
        <v>49</v>
      </c>
      <c r="R80" s="2832"/>
      <c r="S80" s="2832"/>
      <c r="T80" s="2832"/>
      <c r="U80" s="1361"/>
      <c r="V80" s="1362"/>
      <c r="W80" s="1362"/>
      <c r="X80" s="1363"/>
      <c r="Y80" s="2831">
        <f>'3.XT-C kh.mau HALO'!Y80:AB80</f>
        <v>50</v>
      </c>
      <c r="Z80" s="2832"/>
      <c r="AA80" s="2832"/>
      <c r="AB80" s="2833"/>
      <c r="AC80" s="959"/>
      <c r="AD80" s="936"/>
      <c r="AE80" s="936"/>
      <c r="AF80" s="960"/>
      <c r="AG80" s="1664"/>
    </row>
    <row r="81" spans="1:33" ht="60.75" customHeight="1">
      <c r="A81" s="1663">
        <v>2</v>
      </c>
      <c r="B81" s="2991" t="s">
        <v>227</v>
      </c>
      <c r="C81" s="2992"/>
      <c r="D81" s="2992"/>
      <c r="E81" s="2993"/>
      <c r="F81" s="660" t="s">
        <v>49</v>
      </c>
      <c r="G81" s="929" t="str">
        <f>'XM.FILE GOC'!$E$120</f>
        <v>160~220
(180)</v>
      </c>
      <c r="H81" s="2427" t="str">
        <f>'XM.FILE GOC'!$F$120</f>
        <v>160~220
(180)</v>
      </c>
      <c r="I81" s="2832">
        <f>'3.XT-C kh.mau HALO'!I81:L81</f>
        <v>175</v>
      </c>
      <c r="J81" s="2832"/>
      <c r="K81" s="2832"/>
      <c r="L81" s="2832"/>
      <c r="M81" s="1358"/>
      <c r="N81" s="1359"/>
      <c r="O81" s="1359"/>
      <c r="P81" s="1360"/>
      <c r="Q81" s="2831">
        <f>'3.XT-C kh.mau HALO'!Q81:T81</f>
        <v>175</v>
      </c>
      <c r="R81" s="2832"/>
      <c r="S81" s="2832"/>
      <c r="T81" s="2832"/>
      <c r="U81" s="1358"/>
      <c r="V81" s="1359"/>
      <c r="W81" s="1359"/>
      <c r="X81" s="1360"/>
      <c r="Y81" s="2831">
        <f>'3.XT-C kh.mau HALO'!Y81:AB81</f>
        <v>175</v>
      </c>
      <c r="Z81" s="2832"/>
      <c r="AA81" s="2832"/>
      <c r="AB81" s="2833"/>
      <c r="AC81" s="961"/>
      <c r="AD81" s="962"/>
      <c r="AE81" s="962"/>
      <c r="AF81" s="963"/>
      <c r="AG81" s="1664"/>
    </row>
  </sheetData>
  <sheetProtection selectLockedCells="1"/>
  <mergeCells count="302">
    <mergeCell ref="B80:E80"/>
    <mergeCell ref="I80:L80"/>
    <mergeCell ref="Q80:T80"/>
    <mergeCell ref="Y80:AB80"/>
    <mergeCell ref="B81:E81"/>
    <mergeCell ref="I81:L81"/>
    <mergeCell ref="Q81:T81"/>
    <mergeCell ref="Y81:AB81"/>
    <mergeCell ref="AA76:AB76"/>
    <mergeCell ref="B78:AG78"/>
    <mergeCell ref="B79:E79"/>
    <mergeCell ref="I79:L79"/>
    <mergeCell ref="Q79:T79"/>
    <mergeCell ref="Y79:AB79"/>
    <mergeCell ref="B76:E76"/>
    <mergeCell ref="I76:J76"/>
    <mergeCell ref="K76:L76"/>
    <mergeCell ref="Q76:R76"/>
    <mergeCell ref="S76:T76"/>
    <mergeCell ref="Y76:Z76"/>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B67:E67"/>
    <mergeCell ref="I67:J67"/>
    <mergeCell ref="K67:L67"/>
    <mergeCell ref="Q67:R67"/>
    <mergeCell ref="S67:T67"/>
    <mergeCell ref="Y67:Z67"/>
    <mergeCell ref="AA67:AB67"/>
    <mergeCell ref="AA68:AB68"/>
    <mergeCell ref="B69:E69"/>
    <mergeCell ref="I69:J69"/>
    <mergeCell ref="K69:L69"/>
    <mergeCell ref="Q69:R69"/>
    <mergeCell ref="S69:T69"/>
    <mergeCell ref="Y69:Z69"/>
    <mergeCell ref="AA69:AB69"/>
    <mergeCell ref="B68:E68"/>
    <mergeCell ref="I68:J68"/>
    <mergeCell ref="K68:L68"/>
    <mergeCell ref="Q68:R68"/>
    <mergeCell ref="S68:T68"/>
    <mergeCell ref="Y68:Z68"/>
    <mergeCell ref="B59:E59"/>
    <mergeCell ref="B60:E60"/>
    <mergeCell ref="B61:E61"/>
    <mergeCell ref="B62:E62"/>
    <mergeCell ref="B65:AG65"/>
    <mergeCell ref="B66:E66"/>
    <mergeCell ref="I66:J66"/>
    <mergeCell ref="K66:L66"/>
    <mergeCell ref="Q66:R66"/>
    <mergeCell ref="S66:T66"/>
    <mergeCell ref="Y66:Z66"/>
    <mergeCell ref="AA66:AB66"/>
    <mergeCell ref="B63:E64"/>
    <mergeCell ref="A57:A58"/>
    <mergeCell ref="B57:D58"/>
    <mergeCell ref="E57:E58"/>
    <mergeCell ref="A51:A52"/>
    <mergeCell ref="B51:C52"/>
    <mergeCell ref="D51:E51"/>
    <mergeCell ref="D52:E52"/>
    <mergeCell ref="A53:A54"/>
    <mergeCell ref="B53:C54"/>
    <mergeCell ref="D53:E53"/>
    <mergeCell ref="D54:E54"/>
    <mergeCell ref="F45:F46"/>
    <mergeCell ref="G45:G46"/>
    <mergeCell ref="H45:H46"/>
    <mergeCell ref="I45:L45"/>
    <mergeCell ref="J46:L46"/>
    <mergeCell ref="A55:A56"/>
    <mergeCell ref="B55:B56"/>
    <mergeCell ref="C55:E55"/>
    <mergeCell ref="C56:E56"/>
    <mergeCell ref="A47:A48"/>
    <mergeCell ref="B47:C48"/>
    <mergeCell ref="D47:E47"/>
    <mergeCell ref="D48:E48"/>
    <mergeCell ref="A49:A50"/>
    <mergeCell ref="B49:C50"/>
    <mergeCell ref="D49:E49"/>
    <mergeCell ref="D50:E50"/>
    <mergeCell ref="A45:A46"/>
    <mergeCell ref="B45:E46"/>
    <mergeCell ref="M45:P45"/>
    <mergeCell ref="Q45:T45"/>
    <mergeCell ref="U45:X45"/>
    <mergeCell ref="Y45:AB45"/>
    <mergeCell ref="AC45:AF45"/>
    <mergeCell ref="AG45:AG46"/>
    <mergeCell ref="N46:P46"/>
    <mergeCell ref="R46:T46"/>
    <mergeCell ref="V46:X46"/>
    <mergeCell ref="Z46:AB46"/>
    <mergeCell ref="AD46:AF46"/>
    <mergeCell ref="A42:Z42"/>
    <mergeCell ref="A43:Z43"/>
    <mergeCell ref="AA43:AB43"/>
    <mergeCell ref="AD43:AE43"/>
    <mergeCell ref="AF43:AG43"/>
    <mergeCell ref="AA44:AB44"/>
    <mergeCell ref="AD44:AE44"/>
    <mergeCell ref="AF44:AG44"/>
    <mergeCell ref="B39:E39"/>
    <mergeCell ref="I39:L39"/>
    <mergeCell ref="Q39:T39"/>
    <mergeCell ref="Y39:AB39"/>
    <mergeCell ref="B40:E40"/>
    <mergeCell ref="I40:L40"/>
    <mergeCell ref="Q40:T40"/>
    <mergeCell ref="Y40:AB40"/>
    <mergeCell ref="I44:L44"/>
    <mergeCell ref="AA35:AB35"/>
    <mergeCell ref="B37:AG37"/>
    <mergeCell ref="B38:E38"/>
    <mergeCell ref="I38:L38"/>
    <mergeCell ref="Q38:T38"/>
    <mergeCell ref="Y38:AB38"/>
    <mergeCell ref="B35:E35"/>
    <mergeCell ref="I35:J35"/>
    <mergeCell ref="K35:L35"/>
    <mergeCell ref="Q35:R35"/>
    <mergeCell ref="S35:T35"/>
    <mergeCell ref="Y35:Z35"/>
    <mergeCell ref="AA33:AB33"/>
    <mergeCell ref="B34:E34"/>
    <mergeCell ref="I34:J34"/>
    <mergeCell ref="K34:L34"/>
    <mergeCell ref="Q34:R34"/>
    <mergeCell ref="S34:T34"/>
    <mergeCell ref="Y34:Z34"/>
    <mergeCell ref="AA34:AB34"/>
    <mergeCell ref="B33:E33"/>
    <mergeCell ref="I33:J33"/>
    <mergeCell ref="K33:L33"/>
    <mergeCell ref="Q33:R33"/>
    <mergeCell ref="S33:T33"/>
    <mergeCell ref="Y33:Z33"/>
    <mergeCell ref="AA31:AB31"/>
    <mergeCell ref="B32:E32"/>
    <mergeCell ref="I32:J32"/>
    <mergeCell ref="K32:L32"/>
    <mergeCell ref="Q32:R32"/>
    <mergeCell ref="S32:T32"/>
    <mergeCell ref="Y32:Z32"/>
    <mergeCell ref="AA32:AB32"/>
    <mergeCell ref="B31:E31"/>
    <mergeCell ref="I31:J31"/>
    <mergeCell ref="K31:L31"/>
    <mergeCell ref="Q31:R31"/>
    <mergeCell ref="S31:T31"/>
    <mergeCell ref="Y31:Z31"/>
    <mergeCell ref="AA29:AB29"/>
    <mergeCell ref="B30:E30"/>
    <mergeCell ref="I30:J30"/>
    <mergeCell ref="K30:L30"/>
    <mergeCell ref="Q30:R30"/>
    <mergeCell ref="S30:T30"/>
    <mergeCell ref="Y30:Z30"/>
    <mergeCell ref="AA30:AB30"/>
    <mergeCell ref="B29:E29"/>
    <mergeCell ref="I29:J29"/>
    <mergeCell ref="K29:L29"/>
    <mergeCell ref="Q29:R29"/>
    <mergeCell ref="S29:T29"/>
    <mergeCell ref="Y29:Z29"/>
    <mergeCell ref="B26:E26"/>
    <mergeCell ref="I26:J26"/>
    <mergeCell ref="K26:L26"/>
    <mergeCell ref="Q26:R26"/>
    <mergeCell ref="S26:T26"/>
    <mergeCell ref="Y26:Z26"/>
    <mergeCell ref="AA26:AB26"/>
    <mergeCell ref="AA27:AB27"/>
    <mergeCell ref="B28:E28"/>
    <mergeCell ref="I28:J28"/>
    <mergeCell ref="K28:L28"/>
    <mergeCell ref="Q28:R28"/>
    <mergeCell ref="S28:T28"/>
    <mergeCell ref="Y28:Z28"/>
    <mergeCell ref="AA28:AB28"/>
    <mergeCell ref="B27:E27"/>
    <mergeCell ref="I27:J27"/>
    <mergeCell ref="K27:L27"/>
    <mergeCell ref="Q27:R27"/>
    <mergeCell ref="S27:T27"/>
    <mergeCell ref="Y27:Z27"/>
    <mergeCell ref="B18:E18"/>
    <mergeCell ref="B19:E19"/>
    <mergeCell ref="B20:E20"/>
    <mergeCell ref="B21:E21"/>
    <mergeCell ref="B24:AG24"/>
    <mergeCell ref="B25:E25"/>
    <mergeCell ref="I25:J25"/>
    <mergeCell ref="K25:L25"/>
    <mergeCell ref="Q25:R25"/>
    <mergeCell ref="S25:T25"/>
    <mergeCell ref="Y25:Z25"/>
    <mergeCell ref="AA25:AB25"/>
    <mergeCell ref="B22:E23"/>
    <mergeCell ref="A14:A15"/>
    <mergeCell ref="B14:B15"/>
    <mergeCell ref="C14:E14"/>
    <mergeCell ref="C15:E15"/>
    <mergeCell ref="A16:A17"/>
    <mergeCell ref="B16:D17"/>
    <mergeCell ref="E16:E17"/>
    <mergeCell ref="A10:A11"/>
    <mergeCell ref="B10:C11"/>
    <mergeCell ref="D10:E10"/>
    <mergeCell ref="D11:E11"/>
    <mergeCell ref="A12:A13"/>
    <mergeCell ref="B12:C13"/>
    <mergeCell ref="D12:E12"/>
    <mergeCell ref="D13:E13"/>
    <mergeCell ref="A6:A7"/>
    <mergeCell ref="B6:C7"/>
    <mergeCell ref="D6:E6"/>
    <mergeCell ref="D7:E7"/>
    <mergeCell ref="A8:A9"/>
    <mergeCell ref="B8:C9"/>
    <mergeCell ref="D8:E8"/>
    <mergeCell ref="D9:E9"/>
    <mergeCell ref="A4:A5"/>
    <mergeCell ref="B4:E5"/>
    <mergeCell ref="A1:Z1"/>
    <mergeCell ref="A2:Z2"/>
    <mergeCell ref="AD2:AE2"/>
    <mergeCell ref="AF2:AG2"/>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 ref="I3:L3"/>
    <mergeCell ref="AI34:AJ34"/>
    <mergeCell ref="AK34:AL34"/>
    <mergeCell ref="AQ34:AR34"/>
    <mergeCell ref="AS34:AT34"/>
    <mergeCell ref="AY34:AZ34"/>
    <mergeCell ref="BA34:BB34"/>
    <mergeCell ref="AI35:AJ35"/>
    <mergeCell ref="AK35:AL35"/>
    <mergeCell ref="AQ35:AR35"/>
    <mergeCell ref="AS35:AT35"/>
    <mergeCell ref="AY35:AZ35"/>
    <mergeCell ref="BA35:BB35"/>
  </mergeCells>
  <conditionalFormatting sqref="I39 Y39 Q39">
    <cfRule type="expression" dxfId="4556" priority="841">
      <formula>I39&lt;30</formula>
    </cfRule>
    <cfRule type="expression" dxfId="4555" priority="842">
      <formula>I39&gt;50</formula>
    </cfRule>
  </conditionalFormatting>
  <conditionalFormatting sqref="I40 Y40 Q40">
    <cfRule type="expression" dxfId="4554" priority="839">
      <formula>I40&lt;160</formula>
    </cfRule>
    <cfRule type="expression" dxfId="4553" priority="840">
      <formula>I40&gt;220</formula>
    </cfRule>
  </conditionalFormatting>
  <conditionalFormatting sqref="I80 Y80 Q80">
    <cfRule type="expression" dxfId="4552" priority="837">
      <formula>I80&lt;30</formula>
    </cfRule>
    <cfRule type="expression" dxfId="4551" priority="838">
      <formula>I80&gt;50</formula>
    </cfRule>
  </conditionalFormatting>
  <conditionalFormatting sqref="I81 Y81 Q81">
    <cfRule type="expression" dxfId="4550" priority="835">
      <formula>I81&lt;160</formula>
    </cfRule>
    <cfRule type="expression" dxfId="4549" priority="836">
      <formula>I81&gt;220</formula>
    </cfRule>
  </conditionalFormatting>
  <conditionalFormatting sqref="AK35:AK36">
    <cfRule type="cellIs" dxfId="4548" priority="595" operator="between">
      <formula>65</formula>
      <formula>66.9</formula>
    </cfRule>
    <cfRule type="cellIs" dxfId="4547" priority="596" operator="between">
      <formula>73.1</formula>
      <formula>75</formula>
    </cfRule>
    <cfRule type="expression" dxfId="4546" priority="597">
      <formula>AK35&lt;65</formula>
    </cfRule>
    <cfRule type="expression" dxfId="4545" priority="598">
      <formula>AK35&gt;75</formula>
    </cfRule>
  </conditionalFormatting>
  <conditionalFormatting sqref="AS35:AS36">
    <cfRule type="cellIs" dxfId="4544" priority="591" operator="between">
      <formula>65</formula>
      <formula>66.9</formula>
    </cfRule>
    <cfRule type="cellIs" dxfId="4543" priority="592" operator="between">
      <formula>73.1</formula>
      <formula>75</formula>
    </cfRule>
    <cfRule type="expression" dxfId="4542" priority="593">
      <formula>AS35&lt;65</formula>
    </cfRule>
    <cfRule type="expression" dxfId="4541" priority="594">
      <formula>AS35&gt;75</formula>
    </cfRule>
  </conditionalFormatting>
  <conditionalFormatting sqref="BA35:BA36">
    <cfRule type="cellIs" dxfId="4540" priority="587" operator="between">
      <formula>65</formula>
      <formula>66.9</formula>
    </cfRule>
    <cfRule type="cellIs" dxfId="4539" priority="588" operator="between">
      <formula>73.1</formula>
      <formula>75</formula>
    </cfRule>
    <cfRule type="expression" dxfId="4538" priority="589">
      <formula>BA35&lt;65</formula>
    </cfRule>
    <cfRule type="expression" dxfId="4537" priority="590">
      <formula>BA35&gt;75</formula>
    </cfRule>
  </conditionalFormatting>
  <conditionalFormatting sqref="AI35:AI36">
    <cfRule type="expression" dxfId="4536" priority="585">
      <formula>AI35&lt;40</formula>
    </cfRule>
    <cfRule type="expression" dxfId="4535" priority="586">
      <formula>AI35&gt;60</formula>
    </cfRule>
  </conditionalFormatting>
  <conditionalFormatting sqref="AK35:AK36">
    <cfRule type="expression" dxfId="4534" priority="583">
      <formula>AK35&lt;40</formula>
    </cfRule>
    <cfRule type="expression" dxfId="4533" priority="584">
      <formula>AK35&gt;60</formula>
    </cfRule>
  </conditionalFormatting>
  <conditionalFormatting sqref="AQ35:AQ36">
    <cfRule type="expression" dxfId="4532" priority="581">
      <formula>AQ35&lt;40</formula>
    </cfRule>
    <cfRule type="expression" dxfId="4531" priority="582">
      <formula>AQ35&gt;60</formula>
    </cfRule>
  </conditionalFormatting>
  <conditionalFormatting sqref="AS35:AS36">
    <cfRule type="expression" dxfId="4530" priority="579">
      <formula>AS35&lt;40</formula>
    </cfRule>
    <cfRule type="expression" dxfId="4529" priority="580">
      <formula>AS35&gt;60</formula>
    </cfRule>
  </conditionalFormatting>
  <conditionalFormatting sqref="AY35:AY36">
    <cfRule type="expression" dxfId="4528" priority="577">
      <formula>AY35&lt;40</formula>
    </cfRule>
    <cfRule type="expression" dxfId="4527" priority="578">
      <formula>AY35&gt;60</formula>
    </cfRule>
  </conditionalFormatting>
  <conditionalFormatting sqref="BA35:BA36">
    <cfRule type="expression" dxfId="4526" priority="575">
      <formula>BA35&lt;40</formula>
    </cfRule>
    <cfRule type="expression" dxfId="4525" priority="576">
      <formula>BA35&gt;60</formula>
    </cfRule>
  </conditionalFormatting>
  <conditionalFormatting sqref="AI34">
    <cfRule type="expression" dxfId="4524" priority="573">
      <formula>AI34&lt;50</formula>
    </cfRule>
    <cfRule type="expression" dxfId="4523" priority="574">
      <formula>AI34&gt;70</formula>
    </cfRule>
  </conditionalFormatting>
  <conditionalFormatting sqref="AI34:AJ34">
    <cfRule type="cellIs" dxfId="4522" priority="571" operator="between">
      <formula>50</formula>
      <formula>54.9</formula>
    </cfRule>
    <cfRule type="cellIs" dxfId="4521" priority="572" operator="between">
      <formula>65.1</formula>
      <formula>70</formula>
    </cfRule>
  </conditionalFormatting>
  <conditionalFormatting sqref="AK34">
    <cfRule type="expression" dxfId="4520" priority="569">
      <formula>AK34&lt;50</formula>
    </cfRule>
    <cfRule type="expression" dxfId="4519" priority="570">
      <formula>AK34&gt;70</formula>
    </cfRule>
  </conditionalFormatting>
  <conditionalFormatting sqref="AK34:AL34">
    <cfRule type="cellIs" dxfId="4518" priority="567" operator="between">
      <formula>50</formula>
      <formula>54.9</formula>
    </cfRule>
    <cfRule type="cellIs" dxfId="4517" priority="568" operator="between">
      <formula>65.1</formula>
      <formula>70</formula>
    </cfRule>
  </conditionalFormatting>
  <conditionalFormatting sqref="AQ34">
    <cfRule type="expression" dxfId="4516" priority="565">
      <formula>AQ34&lt;50</formula>
    </cfRule>
    <cfRule type="expression" dxfId="4515" priority="566">
      <formula>AQ34&gt;70</formula>
    </cfRule>
  </conditionalFormatting>
  <conditionalFormatting sqref="AQ34:AR34">
    <cfRule type="cellIs" dxfId="4514" priority="563" operator="between">
      <formula>50</formula>
      <formula>54.9</formula>
    </cfRule>
    <cfRule type="cellIs" dxfId="4513" priority="564" operator="between">
      <formula>65.1</formula>
      <formula>70</formula>
    </cfRule>
  </conditionalFormatting>
  <conditionalFormatting sqref="AS34">
    <cfRule type="expression" dxfId="4512" priority="561">
      <formula>AS34&lt;50</formula>
    </cfRule>
    <cfRule type="expression" dxfId="4511" priority="562">
      <formula>AS34&gt;70</formula>
    </cfRule>
  </conditionalFormatting>
  <conditionalFormatting sqref="AS34:AT34">
    <cfRule type="cellIs" dxfId="4510" priority="559" operator="between">
      <formula>50</formula>
      <formula>54.9</formula>
    </cfRule>
    <cfRule type="cellIs" dxfId="4509" priority="560" operator="between">
      <formula>65.1</formula>
      <formula>70</formula>
    </cfRule>
  </conditionalFormatting>
  <conditionalFormatting sqref="AY34">
    <cfRule type="expression" dxfId="4508" priority="557">
      <formula>AY34&lt;50</formula>
    </cfRule>
    <cfRule type="expression" dxfId="4507" priority="558">
      <formula>AY34&gt;70</formula>
    </cfRule>
  </conditionalFormatting>
  <conditionalFormatting sqref="AY34:AZ34">
    <cfRule type="cellIs" dxfId="4506" priority="555" operator="between">
      <formula>50</formula>
      <formula>54.9</formula>
    </cfRule>
    <cfRule type="cellIs" dxfId="4505" priority="556" operator="between">
      <formula>65.1</formula>
      <formula>70</formula>
    </cfRule>
  </conditionalFormatting>
  <conditionalFormatting sqref="BA34">
    <cfRule type="expression" dxfId="4504" priority="553">
      <formula>BA34&lt;50</formula>
    </cfRule>
    <cfRule type="expression" dxfId="4503" priority="554">
      <formula>BA34&gt;70</formula>
    </cfRule>
  </conditionalFormatting>
  <conditionalFormatting sqref="BA34:BB34">
    <cfRule type="cellIs" dxfId="4502" priority="551" operator="between">
      <formula>50</formula>
      <formula>54.9</formula>
    </cfRule>
    <cfRule type="cellIs" dxfId="4501" priority="552" operator="between">
      <formula>65.1</formula>
      <formula>70</formula>
    </cfRule>
  </conditionalFormatting>
  <conditionalFormatting sqref="I14">
    <cfRule type="expression" dxfId="4500" priority="364" stopIfTrue="1">
      <formula>I14&lt;135</formula>
    </cfRule>
  </conditionalFormatting>
  <conditionalFormatting sqref="I14">
    <cfRule type="expression" dxfId="4499" priority="363" stopIfTrue="1">
      <formula>I14&gt;145</formula>
    </cfRule>
  </conditionalFormatting>
  <conditionalFormatting sqref="I20">
    <cfRule type="expression" dxfId="4498" priority="358">
      <formula>I20&lt;10%</formula>
    </cfRule>
    <cfRule type="expression" dxfId="4497" priority="359">
      <formula>I20&gt;20%</formula>
    </cfRule>
  </conditionalFormatting>
  <conditionalFormatting sqref="I10 I12">
    <cfRule type="cellIs" dxfId="4496" priority="354" operator="between">
      <formula>50</formula>
      <formula>54.99</formula>
    </cfRule>
    <cfRule type="cellIs" dxfId="4495" priority="355" operator="between">
      <formula>65.01</formula>
      <formula>70</formula>
    </cfRule>
    <cfRule type="expression" dxfId="4494" priority="356">
      <formula>I10&lt;50</formula>
    </cfRule>
    <cfRule type="expression" dxfId="4493" priority="357">
      <formula>I10&gt;70</formula>
    </cfRule>
  </conditionalFormatting>
  <conditionalFormatting sqref="I6 I8">
    <cfRule type="cellIs" dxfId="4492" priority="350" operator="between">
      <formula>40</formula>
      <formula>44.99</formula>
    </cfRule>
    <cfRule type="cellIs" dxfId="4491" priority="351" operator="between">
      <formula>55.1</formula>
      <formula>60</formula>
    </cfRule>
    <cfRule type="expression" dxfId="4490" priority="352">
      <formula>I6&lt;40</formula>
    </cfRule>
    <cfRule type="expression" dxfId="4489" priority="353">
      <formula>I6&gt;60</formula>
    </cfRule>
  </conditionalFormatting>
  <conditionalFormatting sqref="I18:I19">
    <cfRule type="expression" dxfId="4488" priority="348">
      <formula>I18&lt;40%</formula>
    </cfRule>
    <cfRule type="expression" dxfId="4487" priority="349">
      <formula>I18&gt;50%</formula>
    </cfRule>
  </conditionalFormatting>
  <conditionalFormatting sqref="I21">
    <cfRule type="expression" dxfId="4486" priority="346">
      <formula>I21&lt;0.6%</formula>
    </cfRule>
    <cfRule type="expression" dxfId="4485" priority="347">
      <formula>I21&gt;1.4%</formula>
    </cfRule>
  </conditionalFormatting>
  <conditionalFormatting sqref="I15">
    <cfRule type="cellIs" dxfId="4484" priority="342" operator="between">
      <formula>7</formula>
      <formula>7.499</formula>
    </cfRule>
    <cfRule type="cellIs" dxfId="4483" priority="343" operator="between">
      <formula>9.51</formula>
      <formula>10</formula>
    </cfRule>
    <cfRule type="expression" dxfId="4482" priority="344">
      <formula>I15&lt;7</formula>
    </cfRule>
    <cfRule type="expression" dxfId="4481" priority="345">
      <formula>I15&gt;10</formula>
    </cfRule>
  </conditionalFormatting>
  <conditionalFormatting sqref="Q14">
    <cfRule type="expression" dxfId="4480" priority="337" stopIfTrue="1">
      <formula>Q14&lt;135</formula>
    </cfRule>
  </conditionalFormatting>
  <conditionalFormatting sqref="Q14">
    <cfRule type="expression" dxfId="4479" priority="336" stopIfTrue="1">
      <formula>Q14&gt;145</formula>
    </cfRule>
  </conditionalFormatting>
  <conditionalFormatting sqref="Q20">
    <cfRule type="expression" dxfId="4478" priority="331">
      <formula>Q20&lt;10%</formula>
    </cfRule>
    <cfRule type="expression" dxfId="4477" priority="332">
      <formula>Q20&gt;20%</formula>
    </cfRule>
  </conditionalFormatting>
  <conditionalFormatting sqref="Q10 Q12">
    <cfRule type="cellIs" dxfId="4476" priority="327" operator="between">
      <formula>50</formula>
      <formula>54.99</formula>
    </cfRule>
    <cfRule type="cellIs" dxfId="4475" priority="328" operator="between">
      <formula>65.01</formula>
      <formula>70</formula>
    </cfRule>
    <cfRule type="expression" dxfId="4474" priority="329">
      <formula>Q10&lt;50</formula>
    </cfRule>
    <cfRule type="expression" dxfId="4473" priority="330">
      <formula>Q10&gt;70</formula>
    </cfRule>
  </conditionalFormatting>
  <conditionalFormatting sqref="Q6 Q8">
    <cfRule type="cellIs" dxfId="4472" priority="323" operator="between">
      <formula>40</formula>
      <formula>44.99</formula>
    </cfRule>
    <cfRule type="cellIs" dxfId="4471" priority="324" operator="between">
      <formula>55.1</formula>
      <formula>60</formula>
    </cfRule>
    <cfRule type="expression" dxfId="4470" priority="325">
      <formula>Q6&lt;40</formula>
    </cfRule>
    <cfRule type="expression" dxfId="4469" priority="326">
      <formula>Q6&gt;60</formula>
    </cfRule>
  </conditionalFormatting>
  <conditionalFormatting sqref="Q18:Q19">
    <cfRule type="expression" dxfId="4468" priority="321">
      <formula>Q18&lt;40%</formula>
    </cfRule>
    <cfRule type="expression" dxfId="4467" priority="322">
      <formula>Q18&gt;50%</formula>
    </cfRule>
  </conditionalFormatting>
  <conditionalFormatting sqref="Q21">
    <cfRule type="expression" dxfId="4466" priority="319">
      <formula>Q21&lt;0.6%</formula>
    </cfRule>
    <cfRule type="expression" dxfId="4465" priority="320">
      <formula>Q21&gt;1.4%</formula>
    </cfRule>
  </conditionalFormatting>
  <conditionalFormatting sqref="Q15">
    <cfRule type="cellIs" dxfId="4464" priority="315" operator="between">
      <formula>7</formula>
      <formula>7.499</formula>
    </cfRule>
    <cfRule type="cellIs" dxfId="4463" priority="316" operator="between">
      <formula>9.51</formula>
      <formula>10</formula>
    </cfRule>
    <cfRule type="expression" dxfId="4462" priority="317">
      <formula>Q15&lt;7</formula>
    </cfRule>
    <cfRule type="expression" dxfId="4461" priority="318">
      <formula>Q15&gt;10</formula>
    </cfRule>
  </conditionalFormatting>
  <conditionalFormatting sqref="Y14">
    <cfRule type="expression" dxfId="4460" priority="310" stopIfTrue="1">
      <formula>Y14&lt;135</formula>
    </cfRule>
  </conditionalFormatting>
  <conditionalFormatting sqref="Y14">
    <cfRule type="expression" dxfId="4459" priority="309" stopIfTrue="1">
      <formula>Y14&gt;145</formula>
    </cfRule>
  </conditionalFormatting>
  <conditionalFormatting sqref="Y20">
    <cfRule type="expression" dxfId="4458" priority="304">
      <formula>Y20&lt;10%</formula>
    </cfRule>
    <cfRule type="expression" dxfId="4457" priority="305">
      <formula>Y20&gt;20%</formula>
    </cfRule>
  </conditionalFormatting>
  <conditionalFormatting sqref="Y10 Y12">
    <cfRule type="cellIs" dxfId="4456" priority="300" operator="between">
      <formula>50</formula>
      <formula>54.99</formula>
    </cfRule>
    <cfRule type="cellIs" dxfId="4455" priority="301" operator="between">
      <formula>65.01</formula>
      <formula>70</formula>
    </cfRule>
    <cfRule type="expression" dxfId="4454" priority="302">
      <formula>Y10&lt;50</formula>
    </cfRule>
    <cfRule type="expression" dxfId="4453" priority="303">
      <formula>Y10&gt;70</formula>
    </cfRule>
  </conditionalFormatting>
  <conditionalFormatting sqref="Y6 Y8">
    <cfRule type="cellIs" dxfId="4452" priority="296" operator="between">
      <formula>40</formula>
      <formula>44.99</formula>
    </cfRule>
    <cfRule type="cellIs" dxfId="4451" priority="297" operator="between">
      <formula>55.1</formula>
      <formula>60</formula>
    </cfRule>
    <cfRule type="expression" dxfId="4450" priority="298">
      <formula>Y6&lt;40</formula>
    </cfRule>
    <cfRule type="expression" dxfId="4449" priority="299">
      <formula>Y6&gt;60</formula>
    </cfRule>
  </conditionalFormatting>
  <conditionalFormatting sqref="Y18:Y19">
    <cfRule type="expression" dxfId="4448" priority="294">
      <formula>Y18&lt;40%</formula>
    </cfRule>
    <cfRule type="expression" dxfId="4447" priority="295">
      <formula>Y18&gt;50%</formula>
    </cfRule>
  </conditionalFormatting>
  <conditionalFormatting sqref="Y21">
    <cfRule type="expression" dxfId="4446" priority="292">
      <formula>Y21&lt;0.6%</formula>
    </cfRule>
    <cfRule type="expression" dxfId="4445" priority="293">
      <formula>Y21&gt;1.4%</formula>
    </cfRule>
  </conditionalFormatting>
  <conditionalFormatting sqref="Y15">
    <cfRule type="cellIs" dxfId="4444" priority="288" operator="between">
      <formula>7</formula>
      <formula>7.499</formula>
    </cfRule>
    <cfRule type="cellIs" dxfId="4443" priority="289" operator="between">
      <formula>9.51</formula>
      <formula>10</formula>
    </cfRule>
    <cfRule type="expression" dxfId="4442" priority="290">
      <formula>Y15&lt;7</formula>
    </cfRule>
    <cfRule type="expression" dxfId="4441" priority="291">
      <formula>Y15&gt;10</formula>
    </cfRule>
  </conditionalFormatting>
  <conditionalFormatting sqref="I55">
    <cfRule type="expression" dxfId="4440" priority="283" stopIfTrue="1">
      <formula>I55&lt;135</formula>
    </cfRule>
  </conditionalFormatting>
  <conditionalFormatting sqref="I55">
    <cfRule type="expression" dxfId="4439" priority="282" stopIfTrue="1">
      <formula>I55&gt;145</formula>
    </cfRule>
  </conditionalFormatting>
  <conditionalFormatting sqref="I61">
    <cfRule type="expression" dxfId="4438" priority="277">
      <formula>I61&lt;10%</formula>
    </cfRule>
    <cfRule type="expression" dxfId="4437" priority="278">
      <formula>I61&gt;20%</formula>
    </cfRule>
  </conditionalFormatting>
  <conditionalFormatting sqref="I51 I53">
    <cfRule type="cellIs" dxfId="4436" priority="273" operator="between">
      <formula>50</formula>
      <formula>54.99</formula>
    </cfRule>
    <cfRule type="cellIs" dxfId="4435" priority="274" operator="between">
      <formula>65.01</formula>
      <formula>70</formula>
    </cfRule>
    <cfRule type="expression" dxfId="4434" priority="275">
      <formula>I51&lt;50</formula>
    </cfRule>
    <cfRule type="expression" dxfId="4433" priority="276">
      <formula>I51&gt;70</formula>
    </cfRule>
  </conditionalFormatting>
  <conditionalFormatting sqref="I47 I49">
    <cfRule type="cellIs" dxfId="4432" priority="269" operator="between">
      <formula>40</formula>
      <formula>44.99</formula>
    </cfRule>
    <cfRule type="cellIs" dxfId="4431" priority="270" operator="between">
      <formula>55.1</formula>
      <formula>60</formula>
    </cfRule>
    <cfRule type="expression" dxfId="4430" priority="271">
      <formula>I47&lt;40</formula>
    </cfRule>
    <cfRule type="expression" dxfId="4429" priority="272">
      <formula>I47&gt;60</formula>
    </cfRule>
  </conditionalFormatting>
  <conditionalFormatting sqref="I59:I60">
    <cfRule type="expression" dxfId="4428" priority="267">
      <formula>I59&lt;40%</formula>
    </cfRule>
    <cfRule type="expression" dxfId="4427" priority="268">
      <formula>I59&gt;50%</formula>
    </cfRule>
  </conditionalFormatting>
  <conditionalFormatting sqref="I62:I64">
    <cfRule type="expression" dxfId="4426" priority="265">
      <formula>I62&lt;0.6%</formula>
    </cfRule>
    <cfRule type="expression" dxfId="4425" priority="266">
      <formula>I62&gt;1.4%</formula>
    </cfRule>
  </conditionalFormatting>
  <conditionalFormatting sqref="I56">
    <cfRule type="cellIs" dxfId="4424" priority="261" operator="between">
      <formula>7</formula>
      <formula>7.499</formula>
    </cfRule>
    <cfRule type="cellIs" dxfId="4423" priority="262" operator="between">
      <formula>9.51</formula>
      <formula>10</formula>
    </cfRule>
    <cfRule type="expression" dxfId="4422" priority="263">
      <formula>I56&lt;7</formula>
    </cfRule>
    <cfRule type="expression" dxfId="4421" priority="264">
      <formula>I56&gt;10</formula>
    </cfRule>
  </conditionalFormatting>
  <conditionalFormatting sqref="Q55">
    <cfRule type="expression" dxfId="4420" priority="256" stopIfTrue="1">
      <formula>Q55&lt;135</formula>
    </cfRule>
  </conditionalFormatting>
  <conditionalFormatting sqref="Q55">
    <cfRule type="expression" dxfId="4419" priority="255" stopIfTrue="1">
      <formula>Q55&gt;145</formula>
    </cfRule>
  </conditionalFormatting>
  <conditionalFormatting sqref="Q61">
    <cfRule type="expression" dxfId="4418" priority="250">
      <formula>Q61&lt;10%</formula>
    </cfRule>
    <cfRule type="expression" dxfId="4417" priority="251">
      <formula>Q61&gt;20%</formula>
    </cfRule>
  </conditionalFormatting>
  <conditionalFormatting sqref="Q51 Q53">
    <cfRule type="cellIs" dxfId="4416" priority="246" operator="between">
      <formula>50</formula>
      <formula>54.99</formula>
    </cfRule>
    <cfRule type="cellIs" dxfId="4415" priority="247" operator="between">
      <formula>65.01</formula>
      <formula>70</formula>
    </cfRule>
    <cfRule type="expression" dxfId="4414" priority="248">
      <formula>Q51&lt;50</formula>
    </cfRule>
    <cfRule type="expression" dxfId="4413" priority="249">
      <formula>Q51&gt;70</formula>
    </cfRule>
  </conditionalFormatting>
  <conditionalFormatting sqref="Q47 Q49">
    <cfRule type="cellIs" dxfId="4412" priority="242" operator="between">
      <formula>40</formula>
      <formula>44.99</formula>
    </cfRule>
    <cfRule type="cellIs" dxfId="4411" priority="243" operator="between">
      <formula>55.1</formula>
      <formula>60</formula>
    </cfRule>
    <cfRule type="expression" dxfId="4410" priority="244">
      <formula>Q47&lt;40</formula>
    </cfRule>
    <cfRule type="expression" dxfId="4409" priority="245">
      <formula>Q47&gt;60</formula>
    </cfRule>
  </conditionalFormatting>
  <conditionalFormatting sqref="Q59:Q60">
    <cfRule type="expression" dxfId="4408" priority="240">
      <formula>Q59&lt;40%</formula>
    </cfRule>
    <cfRule type="expression" dxfId="4407" priority="241">
      <formula>Q59&gt;50%</formula>
    </cfRule>
  </conditionalFormatting>
  <conditionalFormatting sqref="Q62:Q64">
    <cfRule type="expression" dxfId="4406" priority="238">
      <formula>Q62&lt;0.6%</formula>
    </cfRule>
    <cfRule type="expression" dxfId="4405" priority="239">
      <formula>Q62&gt;1.4%</formula>
    </cfRule>
  </conditionalFormatting>
  <conditionalFormatting sqref="Q56">
    <cfRule type="cellIs" dxfId="4404" priority="234" operator="between">
      <formula>7</formula>
      <formula>7.499</formula>
    </cfRule>
    <cfRule type="cellIs" dxfId="4403" priority="235" operator="between">
      <formula>9.51</formula>
      <formula>10</formula>
    </cfRule>
    <cfRule type="expression" dxfId="4402" priority="236">
      <formula>Q56&lt;7</formula>
    </cfRule>
    <cfRule type="expression" dxfId="4401" priority="237">
      <formula>Q56&gt;10</formula>
    </cfRule>
  </conditionalFormatting>
  <conditionalFormatting sqref="Y55">
    <cfRule type="expression" dxfId="4400" priority="229" stopIfTrue="1">
      <formula>Y55&lt;135</formula>
    </cfRule>
  </conditionalFormatting>
  <conditionalFormatting sqref="Y55">
    <cfRule type="expression" dxfId="4399" priority="228" stopIfTrue="1">
      <formula>Y55&gt;145</formula>
    </cfRule>
  </conditionalFormatting>
  <conditionalFormatting sqref="Y61">
    <cfRule type="expression" dxfId="4398" priority="223">
      <formula>Y61&lt;10%</formula>
    </cfRule>
    <cfRule type="expression" dxfId="4397" priority="224">
      <formula>Y61&gt;20%</formula>
    </cfRule>
  </conditionalFormatting>
  <conditionalFormatting sqref="Y51 Y53">
    <cfRule type="cellIs" dxfId="4396" priority="219" operator="between">
      <formula>50</formula>
      <formula>54.99</formula>
    </cfRule>
    <cfRule type="cellIs" dxfId="4395" priority="220" operator="between">
      <formula>65.01</formula>
      <formula>70</formula>
    </cfRule>
    <cfRule type="expression" dxfId="4394" priority="221">
      <formula>Y51&lt;50</formula>
    </cfRule>
    <cfRule type="expression" dxfId="4393" priority="222">
      <formula>Y51&gt;70</formula>
    </cfRule>
  </conditionalFormatting>
  <conditionalFormatting sqref="Y47 Y49">
    <cfRule type="cellIs" dxfId="4392" priority="215" operator="between">
      <formula>40</formula>
      <formula>44.99</formula>
    </cfRule>
    <cfRule type="cellIs" dxfId="4391" priority="216" operator="between">
      <formula>55.1</formula>
      <formula>60</formula>
    </cfRule>
    <cfRule type="expression" dxfId="4390" priority="217">
      <formula>Y47&lt;40</formula>
    </cfRule>
    <cfRule type="expression" dxfId="4389" priority="218">
      <formula>Y47&gt;60</formula>
    </cfRule>
  </conditionalFormatting>
  <conditionalFormatting sqref="Y59:Y60">
    <cfRule type="expression" dxfId="4388" priority="213">
      <formula>Y59&lt;40%</formula>
    </cfRule>
    <cfRule type="expression" dxfId="4387" priority="214">
      <formula>Y59&gt;50%</formula>
    </cfRule>
  </conditionalFormatting>
  <conditionalFormatting sqref="Y62:Y64">
    <cfRule type="expression" dxfId="4386" priority="211">
      <formula>Y62&lt;0.6%</formula>
    </cfRule>
    <cfRule type="expression" dxfId="4385" priority="212">
      <formula>Y62&gt;1.4%</formula>
    </cfRule>
  </conditionalFormatting>
  <conditionalFormatting sqref="Y56">
    <cfRule type="cellIs" dxfId="4384" priority="207" operator="between">
      <formula>7</formula>
      <formula>7.499</formula>
    </cfRule>
    <cfRule type="cellIs" dxfId="4383" priority="208" operator="between">
      <formula>9.51</formula>
      <formula>10</formula>
    </cfRule>
    <cfRule type="expression" dxfId="4382" priority="209">
      <formula>Y56&lt;7</formula>
    </cfRule>
    <cfRule type="expression" dxfId="4381" priority="210">
      <formula>Y56&gt;10</formula>
    </cfRule>
  </conditionalFormatting>
  <conditionalFormatting sqref="I30:L30 Q30:T30 Y30:AB30">
    <cfRule type="expression" dxfId="4380" priority="201">
      <formula>I30&lt;22</formula>
    </cfRule>
    <cfRule type="expression" dxfId="4379" priority="202">
      <formula>I30&gt;28</formula>
    </cfRule>
  </conditionalFormatting>
  <conditionalFormatting sqref="I26:L29 Q26:T29 Y26:AB29">
    <cfRule type="cellIs" dxfId="4378" priority="197" operator="between">
      <formula>50</formula>
      <formula>54.9</formula>
    </cfRule>
    <cfRule type="cellIs" dxfId="4377" priority="198" operator="between">
      <formula>65.1</formula>
      <formula>70</formula>
    </cfRule>
    <cfRule type="expression" dxfId="4376" priority="199">
      <formula>I26&lt;50</formula>
    </cfRule>
    <cfRule type="expression" dxfId="4375" priority="200">
      <formula>I26&gt;70</formula>
    </cfRule>
  </conditionalFormatting>
  <conditionalFormatting sqref="K32 I32 S32 Q32 AA32 Y32">
    <cfRule type="expression" dxfId="4374" priority="191">
      <formula>I32&lt;55</formula>
    </cfRule>
    <cfRule type="expression" dxfId="4373" priority="192">
      <formula>I32&gt;65</formula>
    </cfRule>
  </conditionalFormatting>
  <conditionalFormatting sqref="K33 S33 AA33">
    <cfRule type="cellIs" dxfId="4372" priority="187" operator="between">
      <formula>80</formula>
      <formula>84.9</formula>
    </cfRule>
    <cfRule type="cellIs" dxfId="4371" priority="188" operator="between">
      <formula>95.1</formula>
      <formula>100</formula>
    </cfRule>
    <cfRule type="expression" dxfId="4370" priority="189">
      <formula>K33&lt;80</formula>
    </cfRule>
    <cfRule type="expression" dxfId="4369" priority="190">
      <formula>K33&gt;100</formula>
    </cfRule>
  </conditionalFormatting>
  <conditionalFormatting sqref="K34 I34 S34 Q34 AA34 Y34">
    <cfRule type="expression" dxfId="4368" priority="185">
      <formula>I34&lt;40</formula>
    </cfRule>
    <cfRule type="expression" dxfId="4367" priority="186">
      <formula>I34&gt;60</formula>
    </cfRule>
  </conditionalFormatting>
  <conditionalFormatting sqref="I35:I36 S35:S36 Q35:Q36 AA35:AA36 Y35:Y36 K35:K36">
    <cfRule type="expression" dxfId="4366" priority="183">
      <formula>I35&lt;50</formula>
    </cfRule>
    <cfRule type="expression" dxfId="4365" priority="184">
      <formula>I35&gt;70</formula>
    </cfRule>
  </conditionalFormatting>
  <conditionalFormatting sqref="I71:L71 Q71:T71 Y71:AB71">
    <cfRule type="expression" dxfId="4364" priority="181">
      <formula>I71&lt;22</formula>
    </cfRule>
    <cfRule type="expression" dxfId="4363" priority="182">
      <formula>I71&gt;28</formula>
    </cfRule>
  </conditionalFormatting>
  <conditionalFormatting sqref="I67:L70 Q67:T70 Y67:AB70">
    <cfRule type="cellIs" dxfId="4362" priority="177" operator="between">
      <formula>50</formula>
      <formula>54.9</formula>
    </cfRule>
    <cfRule type="cellIs" dxfId="4361" priority="178" operator="between">
      <formula>65.1</formula>
      <formula>70</formula>
    </cfRule>
    <cfRule type="expression" dxfId="4360" priority="179">
      <formula>I67&lt;50</formula>
    </cfRule>
    <cfRule type="expression" dxfId="4359" priority="180">
      <formula>I67&gt;70</formula>
    </cfRule>
  </conditionalFormatting>
  <conditionalFormatting sqref="K73 I73 S73 Q73 AA73 Y73">
    <cfRule type="expression" dxfId="4358" priority="171">
      <formula>I73&lt;55</formula>
    </cfRule>
    <cfRule type="expression" dxfId="4357" priority="172">
      <formula>I73&gt;65</formula>
    </cfRule>
  </conditionalFormatting>
  <conditionalFormatting sqref="K74 S74 AA74">
    <cfRule type="cellIs" dxfId="4356" priority="167" operator="between">
      <formula>80</formula>
      <formula>84.9</formula>
    </cfRule>
    <cfRule type="cellIs" dxfId="4355" priority="168" operator="between">
      <formula>95.1</formula>
      <formula>100</formula>
    </cfRule>
    <cfRule type="expression" dxfId="4354" priority="169">
      <formula>K74&lt;80</formula>
    </cfRule>
    <cfRule type="expression" dxfId="4353" priority="170">
      <formula>K74&gt;100</formula>
    </cfRule>
  </conditionalFormatting>
  <conditionalFormatting sqref="K75 I75 S75 Q75 AA75 Y75">
    <cfRule type="expression" dxfId="4352" priority="165">
      <formula>I75&lt;40</formula>
    </cfRule>
    <cfRule type="expression" dxfId="4351" priority="166">
      <formula>I75&gt;60</formula>
    </cfRule>
  </conditionalFormatting>
  <conditionalFormatting sqref="I76:I77 S76:S77 Q76:Q77 AA76:AA77 Y76:Y77 K76:K77">
    <cfRule type="expression" dxfId="4350" priority="163">
      <formula>I76&lt;50</formula>
    </cfRule>
    <cfRule type="expression" dxfId="4349" priority="164">
      <formula>I76&gt;70</formula>
    </cfRule>
  </conditionalFormatting>
  <conditionalFormatting sqref="I58">
    <cfRule type="cellIs" dxfId="4348" priority="160" operator="between">
      <formula>2.21</formula>
      <formula>2.4</formula>
    </cfRule>
    <cfRule type="expression" dxfId="4347" priority="161">
      <formula>I58&lt;1.8</formula>
    </cfRule>
    <cfRule type="expression" dxfId="4346" priority="162">
      <formula>I58&gt;2.4</formula>
    </cfRule>
  </conditionalFormatting>
  <conditionalFormatting sqref="I57">
    <cfRule type="cellIs" dxfId="4345" priority="156" operator="between">
      <formula>8</formula>
      <formula>9.99</formula>
    </cfRule>
    <cfRule type="cellIs" dxfId="4344" priority="157" operator="between">
      <formula>14.1</formula>
      <formula>16</formula>
    </cfRule>
    <cfRule type="expression" dxfId="4343" priority="158">
      <formula>I57&lt;8</formula>
    </cfRule>
    <cfRule type="expression" dxfId="4342" priority="159">
      <formula>I57&gt;16</formula>
    </cfRule>
  </conditionalFormatting>
  <conditionalFormatting sqref="Q58">
    <cfRule type="cellIs" dxfId="4341" priority="153" operator="between">
      <formula>2.21</formula>
      <formula>2.4</formula>
    </cfRule>
    <cfRule type="expression" dxfId="4340" priority="154">
      <formula>Q58&lt;1.8</formula>
    </cfRule>
    <cfRule type="expression" dxfId="4339" priority="155">
      <formula>Q58&gt;2.4</formula>
    </cfRule>
  </conditionalFormatting>
  <conditionalFormatting sqref="Q57">
    <cfRule type="cellIs" dxfId="4338" priority="149" operator="between">
      <formula>8</formula>
      <formula>9.99</formula>
    </cfRule>
    <cfRule type="cellIs" dxfId="4337" priority="150" operator="between">
      <formula>14.1</formula>
      <formula>16</formula>
    </cfRule>
    <cfRule type="expression" dxfId="4336" priority="151">
      <formula>Q57&lt;8</formula>
    </cfRule>
    <cfRule type="expression" dxfId="4335" priority="152">
      <formula>Q57&gt;16</formula>
    </cfRule>
  </conditionalFormatting>
  <conditionalFormatting sqref="Y58">
    <cfRule type="cellIs" dxfId="4334" priority="146" operator="between">
      <formula>2.21</formula>
      <formula>2.4</formula>
    </cfRule>
    <cfRule type="expression" dxfId="4333" priority="147">
      <formula>Y58&lt;1.8</formula>
    </cfRule>
    <cfRule type="expression" dxfId="4332" priority="148">
      <formula>Y58&gt;2.4</formula>
    </cfRule>
  </conditionalFormatting>
  <conditionalFormatting sqref="Y57">
    <cfRule type="cellIs" dxfId="4331" priority="142" operator="between">
      <formula>8</formula>
      <formula>9.99</formula>
    </cfRule>
    <cfRule type="cellIs" dxfId="4330" priority="143" operator="between">
      <formula>14.1</formula>
      <formula>16</formula>
    </cfRule>
    <cfRule type="expression" dxfId="4329" priority="144">
      <formula>Y57&lt;8</formula>
    </cfRule>
    <cfRule type="expression" dxfId="4328" priority="145">
      <formula>Y57&gt;16</formula>
    </cfRule>
  </conditionalFormatting>
  <conditionalFormatting sqref="I17">
    <cfRule type="cellIs" dxfId="4327" priority="139" operator="between">
      <formula>2.21</formula>
      <formula>2.4</formula>
    </cfRule>
    <cfRule type="expression" dxfId="4326" priority="140">
      <formula>I17&lt;1.8</formula>
    </cfRule>
    <cfRule type="expression" dxfId="4325" priority="141">
      <formula>I17&gt;2.4</formula>
    </cfRule>
  </conditionalFormatting>
  <conditionalFormatting sqref="I16">
    <cfRule type="cellIs" dxfId="4324" priority="135" operator="between">
      <formula>8</formula>
      <formula>9.99</formula>
    </cfRule>
    <cfRule type="cellIs" dxfId="4323" priority="136" operator="between">
      <formula>14.1</formula>
      <formula>16</formula>
    </cfRule>
    <cfRule type="expression" dxfId="4322" priority="137">
      <formula>I16&lt;8</formula>
    </cfRule>
    <cfRule type="expression" dxfId="4321" priority="138">
      <formula>I16&gt;16</formula>
    </cfRule>
  </conditionalFormatting>
  <conditionalFormatting sqref="Q17">
    <cfRule type="cellIs" dxfId="4320" priority="132" operator="between">
      <formula>2.21</formula>
      <formula>2.4</formula>
    </cfRule>
    <cfRule type="expression" dxfId="4319" priority="133">
      <formula>Q17&lt;1.8</formula>
    </cfRule>
    <cfRule type="expression" dxfId="4318" priority="134">
      <formula>Q17&gt;2.4</formula>
    </cfRule>
  </conditionalFormatting>
  <conditionalFormatting sqref="Q16">
    <cfRule type="cellIs" dxfId="4317" priority="128" operator="between">
      <formula>8</formula>
      <formula>9.99</formula>
    </cfRule>
    <cfRule type="cellIs" dxfId="4316" priority="129" operator="between">
      <formula>14.1</formula>
      <formula>16</formula>
    </cfRule>
    <cfRule type="expression" dxfId="4315" priority="130">
      <formula>Q16&lt;8</formula>
    </cfRule>
    <cfRule type="expression" dxfId="4314" priority="131">
      <formula>Q16&gt;16</formula>
    </cfRule>
  </conditionalFormatting>
  <conditionalFormatting sqref="Y17">
    <cfRule type="cellIs" dxfId="4313" priority="125" operator="between">
      <formula>2.21</formula>
      <formula>2.4</formula>
    </cfRule>
    <cfRule type="expression" dxfId="4312" priority="126">
      <formula>Y17&lt;1.8</formula>
    </cfRule>
    <cfRule type="expression" dxfId="4311" priority="127">
      <formula>Y17&gt;2.4</formula>
    </cfRule>
  </conditionalFormatting>
  <conditionalFormatting sqref="Y16">
    <cfRule type="cellIs" dxfId="4310" priority="121" operator="between">
      <formula>8</formula>
      <formula>9.99</formula>
    </cfRule>
    <cfRule type="cellIs" dxfId="4309" priority="122" operator="between">
      <formula>14.1</formula>
      <formula>16</formula>
    </cfRule>
    <cfRule type="expression" dxfId="4308" priority="123">
      <formula>Y16&lt;8</formula>
    </cfRule>
    <cfRule type="expression" dxfId="4307" priority="124">
      <formula>Y16&gt;16</formula>
    </cfRule>
  </conditionalFormatting>
  <conditionalFormatting sqref="I31">
    <cfRule type="expression" dxfId="4306" priority="119">
      <formula>I31&lt;35</formula>
    </cfRule>
    <cfRule type="expression" dxfId="4305" priority="120">
      <formula>I31&gt;45</formula>
    </cfRule>
  </conditionalFormatting>
  <conditionalFormatting sqref="I31:J31">
    <cfRule type="cellIs" dxfId="4304" priority="117" operator="between">
      <formula>43.1</formula>
      <formula>45</formula>
    </cfRule>
    <cfRule type="cellIs" dxfId="4303" priority="118" operator="between">
      <formula>35</formula>
      <formula>36.9</formula>
    </cfRule>
  </conditionalFormatting>
  <conditionalFormatting sqref="K31">
    <cfRule type="expression" dxfId="4302" priority="115">
      <formula>K31&lt;35</formula>
    </cfRule>
    <cfRule type="expression" dxfId="4301" priority="116">
      <formula>K31&gt;45</formula>
    </cfRule>
  </conditionalFormatting>
  <conditionalFormatting sqref="K31:L31">
    <cfRule type="cellIs" dxfId="4300" priority="113" operator="between">
      <formula>43.1</formula>
      <formula>45</formula>
    </cfRule>
    <cfRule type="cellIs" dxfId="4299" priority="114" operator="between">
      <formula>35</formula>
      <formula>36.9</formula>
    </cfRule>
  </conditionalFormatting>
  <conditionalFormatting sqref="Q31">
    <cfRule type="expression" dxfId="4298" priority="111">
      <formula>Q31&lt;35</formula>
    </cfRule>
    <cfRule type="expression" dxfId="4297" priority="112">
      <formula>Q31&gt;45</formula>
    </cfRule>
  </conditionalFormatting>
  <conditionalFormatting sqref="Q31:R31">
    <cfRule type="cellIs" dxfId="4296" priority="109" operator="between">
      <formula>43.1</formula>
      <formula>45</formula>
    </cfRule>
    <cfRule type="cellIs" dxfId="4295" priority="110" operator="between">
      <formula>35</formula>
      <formula>36.9</formula>
    </cfRule>
  </conditionalFormatting>
  <conditionalFormatting sqref="S31">
    <cfRule type="expression" dxfId="4294" priority="107">
      <formula>S31&lt;35</formula>
    </cfRule>
    <cfRule type="expression" dxfId="4293" priority="108">
      <formula>S31&gt;45</formula>
    </cfRule>
  </conditionalFormatting>
  <conditionalFormatting sqref="S31:T31">
    <cfRule type="cellIs" dxfId="4292" priority="105" operator="between">
      <formula>43.1</formula>
      <formula>45</formula>
    </cfRule>
    <cfRule type="cellIs" dxfId="4291" priority="106" operator="between">
      <formula>35</formula>
      <formula>36.9</formula>
    </cfRule>
  </conditionalFormatting>
  <conditionalFormatting sqref="Y31">
    <cfRule type="expression" dxfId="4290" priority="103">
      <formula>Y31&lt;35</formula>
    </cfRule>
    <cfRule type="expression" dxfId="4289" priority="104">
      <formula>Y31&gt;45</formula>
    </cfRule>
  </conditionalFormatting>
  <conditionalFormatting sqref="Y31:Z31">
    <cfRule type="cellIs" dxfId="4288" priority="101" operator="between">
      <formula>43.1</formula>
      <formula>45</formula>
    </cfRule>
    <cfRule type="cellIs" dxfId="4287" priority="102" operator="between">
      <formula>35</formula>
      <formula>36.9</formula>
    </cfRule>
  </conditionalFormatting>
  <conditionalFormatting sqref="AA31">
    <cfRule type="expression" dxfId="4286" priority="99">
      <formula>AA31&lt;35</formula>
    </cfRule>
    <cfRule type="expression" dxfId="4285" priority="100">
      <formula>AA31&gt;45</formula>
    </cfRule>
  </conditionalFormatting>
  <conditionalFormatting sqref="AA31:AB31">
    <cfRule type="cellIs" dxfId="4284" priority="97" operator="between">
      <formula>43.1</formula>
      <formula>45</formula>
    </cfRule>
    <cfRule type="cellIs" dxfId="4283" priority="98" operator="between">
      <formula>35</formula>
      <formula>36.9</formula>
    </cfRule>
  </conditionalFormatting>
  <conditionalFormatting sqref="I72">
    <cfRule type="expression" dxfId="4282" priority="95">
      <formula>I72&lt;35</formula>
    </cfRule>
    <cfRule type="expression" dxfId="4281" priority="96">
      <formula>I72&gt;45</formula>
    </cfRule>
  </conditionalFormatting>
  <conditionalFormatting sqref="I72:J72">
    <cfRule type="cellIs" dxfId="4280" priority="93" operator="between">
      <formula>43.1</formula>
      <formula>45</formula>
    </cfRule>
    <cfRule type="cellIs" dxfId="4279" priority="94" operator="between">
      <formula>35</formula>
      <formula>36.9</formula>
    </cfRule>
  </conditionalFormatting>
  <conditionalFormatting sqref="K72">
    <cfRule type="expression" dxfId="4278" priority="91">
      <formula>K72&lt;35</formula>
    </cfRule>
    <cfRule type="expression" dxfId="4277" priority="92">
      <formula>K72&gt;45</formula>
    </cfRule>
  </conditionalFormatting>
  <conditionalFormatting sqref="K72:L72">
    <cfRule type="cellIs" dxfId="4276" priority="89" operator="between">
      <formula>43.1</formula>
      <formula>45</formula>
    </cfRule>
    <cfRule type="cellIs" dxfId="4275" priority="90" operator="between">
      <formula>35</formula>
      <formula>36.9</formula>
    </cfRule>
  </conditionalFormatting>
  <conditionalFormatting sqref="Q72">
    <cfRule type="expression" dxfId="4274" priority="87">
      <formula>Q72&lt;35</formula>
    </cfRule>
    <cfRule type="expression" dxfId="4273" priority="88">
      <formula>Q72&gt;45</formula>
    </cfRule>
  </conditionalFormatting>
  <conditionalFormatting sqref="Q72:R72">
    <cfRule type="cellIs" dxfId="4272" priority="85" operator="between">
      <formula>43.1</formula>
      <formula>45</formula>
    </cfRule>
    <cfRule type="cellIs" dxfId="4271" priority="86" operator="between">
      <formula>35</formula>
      <formula>36.9</formula>
    </cfRule>
  </conditionalFormatting>
  <conditionalFormatting sqref="S72">
    <cfRule type="expression" dxfId="4270" priority="83">
      <formula>S72&lt;35</formula>
    </cfRule>
    <cfRule type="expression" dxfId="4269" priority="84">
      <formula>S72&gt;45</formula>
    </cfRule>
  </conditionalFormatting>
  <conditionalFormatting sqref="S72:T72">
    <cfRule type="cellIs" dxfId="4268" priority="81" operator="between">
      <formula>43.1</formula>
      <formula>45</formula>
    </cfRule>
    <cfRule type="cellIs" dxfId="4267" priority="82" operator="between">
      <formula>35</formula>
      <formula>36.9</formula>
    </cfRule>
  </conditionalFormatting>
  <conditionalFormatting sqref="Y72">
    <cfRule type="expression" dxfId="4266" priority="79">
      <formula>Y72&lt;35</formula>
    </cfRule>
    <cfRule type="expression" dxfId="4265" priority="80">
      <formula>Y72&gt;45</formula>
    </cfRule>
  </conditionalFormatting>
  <conditionalFormatting sqref="Y72:Z72">
    <cfRule type="cellIs" dxfId="4264" priority="77" operator="between">
      <formula>43.1</formula>
      <formula>45</formula>
    </cfRule>
    <cfRule type="cellIs" dxfId="4263" priority="78" operator="between">
      <formula>35</formula>
      <formula>36.9</formula>
    </cfRule>
  </conditionalFormatting>
  <conditionalFormatting sqref="AA72">
    <cfRule type="expression" dxfId="4262" priority="75">
      <formula>AA72&lt;35</formula>
    </cfRule>
    <cfRule type="expression" dxfId="4261" priority="76">
      <formula>AA72&gt;45</formula>
    </cfRule>
  </conditionalFormatting>
  <conditionalFormatting sqref="AA72:AB72">
    <cfRule type="cellIs" dxfId="4260" priority="73" operator="between">
      <formula>43.1</formula>
      <formula>45</formula>
    </cfRule>
    <cfRule type="cellIs" dxfId="4259" priority="74" operator="between">
      <formula>35</formula>
      <formula>36.9</formula>
    </cfRule>
  </conditionalFormatting>
  <conditionalFormatting sqref="I72">
    <cfRule type="expression" dxfId="4258" priority="71">
      <formula>I72&lt;35</formula>
    </cfRule>
    <cfRule type="expression" dxfId="4257" priority="72">
      <formula>I72&gt;45</formula>
    </cfRule>
  </conditionalFormatting>
  <conditionalFormatting sqref="I72:J72">
    <cfRule type="cellIs" dxfId="4256" priority="69" operator="between">
      <formula>43.1</formula>
      <formula>45</formula>
    </cfRule>
    <cfRule type="cellIs" dxfId="4255" priority="70" operator="between">
      <formula>35</formula>
      <formula>36.9</formula>
    </cfRule>
  </conditionalFormatting>
  <conditionalFormatting sqref="K72">
    <cfRule type="expression" dxfId="4254" priority="67">
      <formula>K72&lt;35</formula>
    </cfRule>
    <cfRule type="expression" dxfId="4253" priority="68">
      <formula>K72&gt;45</formula>
    </cfRule>
  </conditionalFormatting>
  <conditionalFormatting sqref="K72:L72">
    <cfRule type="cellIs" dxfId="4252" priority="65" operator="between">
      <formula>43.1</formula>
      <formula>45</formula>
    </cfRule>
    <cfRule type="cellIs" dxfId="4251" priority="66" operator="between">
      <formula>35</formula>
      <formula>36.9</formula>
    </cfRule>
  </conditionalFormatting>
  <conditionalFormatting sqref="Q72">
    <cfRule type="expression" dxfId="4250" priority="63">
      <formula>Q72&lt;35</formula>
    </cfRule>
    <cfRule type="expression" dxfId="4249" priority="64">
      <formula>Q72&gt;45</formula>
    </cfRule>
  </conditionalFormatting>
  <conditionalFormatting sqref="Q72:R72">
    <cfRule type="cellIs" dxfId="4248" priority="61" operator="between">
      <formula>43.1</formula>
      <formula>45</formula>
    </cfRule>
    <cfRule type="cellIs" dxfId="4247" priority="62" operator="between">
      <formula>35</formula>
      <formula>36.9</formula>
    </cfRule>
  </conditionalFormatting>
  <conditionalFormatting sqref="S72">
    <cfRule type="expression" dxfId="4246" priority="59">
      <formula>S72&lt;35</formula>
    </cfRule>
    <cfRule type="expression" dxfId="4245" priority="60">
      <formula>S72&gt;45</formula>
    </cfRule>
  </conditionalFormatting>
  <conditionalFormatting sqref="S72:T72">
    <cfRule type="cellIs" dxfId="4244" priority="57" operator="between">
      <formula>43.1</formula>
      <formula>45</formula>
    </cfRule>
    <cfRule type="cellIs" dxfId="4243" priority="58" operator="between">
      <formula>35</formula>
      <formula>36.9</formula>
    </cfRule>
  </conditionalFormatting>
  <conditionalFormatting sqref="Y72">
    <cfRule type="expression" dxfId="4242" priority="55">
      <formula>Y72&lt;35</formula>
    </cfRule>
    <cfRule type="expression" dxfId="4241" priority="56">
      <formula>Y72&gt;45</formula>
    </cfRule>
  </conditionalFormatting>
  <conditionalFormatting sqref="Y72:Z72">
    <cfRule type="cellIs" dxfId="4240" priority="53" operator="between">
      <formula>43.1</formula>
      <formula>45</formula>
    </cfRule>
    <cfRule type="cellIs" dxfId="4239" priority="54" operator="between">
      <formula>35</formula>
      <formula>36.9</formula>
    </cfRule>
  </conditionalFormatting>
  <conditionalFormatting sqref="AA72">
    <cfRule type="expression" dxfId="4238" priority="51">
      <formula>AA72&lt;35</formula>
    </cfRule>
    <cfRule type="expression" dxfId="4237" priority="52">
      <formula>AA72&gt;45</formula>
    </cfRule>
  </conditionalFormatting>
  <conditionalFormatting sqref="AA72:AB72">
    <cfRule type="cellIs" dxfId="4236" priority="49" operator="between">
      <formula>43.1</formula>
      <formula>45</formula>
    </cfRule>
    <cfRule type="cellIs" dxfId="4235" priority="50" operator="between">
      <formula>35</formula>
      <formula>36.9</formula>
    </cfRule>
  </conditionalFormatting>
  <conditionalFormatting sqref="I22">
    <cfRule type="cellIs" dxfId="4234" priority="45" operator="between">
      <formula>5</formula>
      <formula>5.499</formula>
    </cfRule>
    <cfRule type="cellIs" dxfId="4233" priority="46" operator="between">
      <formula>6.51</formula>
      <formula>8</formula>
    </cfRule>
    <cfRule type="expression" dxfId="4232" priority="47">
      <formula>I22&lt;5</formula>
    </cfRule>
    <cfRule type="expression" dxfId="4231" priority="48">
      <formula>I22&gt;8</formula>
    </cfRule>
  </conditionalFormatting>
  <conditionalFormatting sqref="I23">
    <cfRule type="cellIs" dxfId="4230" priority="41" operator="between">
      <formula>1.8</formula>
      <formula>1.999</formula>
    </cfRule>
    <cfRule type="cellIs" dxfId="4229" priority="42" operator="between">
      <formula>2.21</formula>
      <formula>2.4</formula>
    </cfRule>
    <cfRule type="expression" dxfId="4228" priority="43">
      <formula>I23&lt;1.8</formula>
    </cfRule>
    <cfRule type="expression" dxfId="4227" priority="44">
      <formula>I23&gt;2.4</formula>
    </cfRule>
  </conditionalFormatting>
  <conditionalFormatting sqref="Q22">
    <cfRule type="cellIs" dxfId="4226" priority="37" operator="between">
      <formula>5</formula>
      <formula>5.499</formula>
    </cfRule>
    <cfRule type="cellIs" dxfId="4225" priority="38" operator="between">
      <formula>6.51</formula>
      <formula>8</formula>
    </cfRule>
    <cfRule type="expression" dxfId="4224" priority="39">
      <formula>Q22&lt;5</formula>
    </cfRule>
    <cfRule type="expression" dxfId="4223" priority="40">
      <formula>Q22&gt;8</formula>
    </cfRule>
  </conditionalFormatting>
  <conditionalFormatting sqref="Q23">
    <cfRule type="cellIs" dxfId="4222" priority="33" operator="between">
      <formula>1.8</formula>
      <formula>1.999</formula>
    </cfRule>
    <cfRule type="cellIs" dxfId="4221" priority="34" operator="between">
      <formula>2.21</formula>
      <formula>2.4</formula>
    </cfRule>
    <cfRule type="expression" dxfId="4220" priority="35">
      <formula>Q23&lt;1.8</formula>
    </cfRule>
    <cfRule type="expression" dxfId="4219" priority="36">
      <formula>Q23&gt;2.4</formula>
    </cfRule>
  </conditionalFormatting>
  <conditionalFormatting sqref="Y22">
    <cfRule type="cellIs" dxfId="4218" priority="29" operator="between">
      <formula>5</formula>
      <formula>5.499</formula>
    </cfRule>
    <cfRule type="cellIs" dxfId="4217" priority="30" operator="between">
      <formula>6.51</formula>
      <formula>8</formula>
    </cfRule>
    <cfRule type="expression" dxfId="4216" priority="31">
      <formula>Y22&lt;5</formula>
    </cfRule>
    <cfRule type="expression" dxfId="4215" priority="32">
      <formula>Y22&gt;8</formula>
    </cfRule>
  </conditionalFormatting>
  <conditionalFormatting sqref="Y23">
    <cfRule type="cellIs" dxfId="4214" priority="25" operator="between">
      <formula>1.8</formula>
      <formula>1.999</formula>
    </cfRule>
    <cfRule type="cellIs" dxfId="4213" priority="26" operator="between">
      <formula>2.21</formula>
      <formula>2.4</formula>
    </cfRule>
    <cfRule type="expression" dxfId="4212" priority="27">
      <formula>Y23&lt;1.8</formula>
    </cfRule>
    <cfRule type="expression" dxfId="4211" priority="28">
      <formula>Y23&gt;2.4</formula>
    </cfRule>
  </conditionalFormatting>
  <conditionalFormatting sqref="I63">
    <cfRule type="cellIs" dxfId="4210" priority="21" operator="between">
      <formula>5</formula>
      <formula>5.499</formula>
    </cfRule>
    <cfRule type="cellIs" dxfId="4209" priority="22" operator="between">
      <formula>6.51</formula>
      <formula>8</formula>
    </cfRule>
    <cfRule type="expression" dxfId="4208" priority="23">
      <formula>I63&lt;5</formula>
    </cfRule>
    <cfRule type="expression" dxfId="4207" priority="24">
      <formula>I63&gt;8</formula>
    </cfRule>
  </conditionalFormatting>
  <conditionalFormatting sqref="I64">
    <cfRule type="cellIs" dxfId="4206" priority="17" operator="between">
      <formula>1.8</formula>
      <formula>1.999</formula>
    </cfRule>
    <cfRule type="cellIs" dxfId="4205" priority="18" operator="between">
      <formula>2.21</formula>
      <formula>2.4</formula>
    </cfRule>
    <cfRule type="expression" dxfId="4204" priority="19">
      <formula>I64&lt;1.8</formula>
    </cfRule>
    <cfRule type="expression" dxfId="4203" priority="20">
      <formula>I64&gt;2.4</formula>
    </cfRule>
  </conditionalFormatting>
  <conditionalFormatting sqref="Q63">
    <cfRule type="cellIs" dxfId="4202" priority="13" operator="between">
      <formula>5</formula>
      <formula>5.499</formula>
    </cfRule>
    <cfRule type="cellIs" dxfId="4201" priority="14" operator="between">
      <formula>6.51</formula>
      <formula>8</formula>
    </cfRule>
    <cfRule type="expression" dxfId="4200" priority="15">
      <formula>Q63&lt;5</formula>
    </cfRule>
    <cfRule type="expression" dxfId="4199" priority="16">
      <formula>Q63&gt;8</formula>
    </cfRule>
  </conditionalFormatting>
  <conditionalFormatting sqref="Q64">
    <cfRule type="cellIs" dxfId="4198" priority="9" operator="between">
      <formula>1.8</formula>
      <formula>1.999</formula>
    </cfRule>
    <cfRule type="cellIs" dxfId="4197" priority="10" operator="between">
      <formula>2.21</formula>
      <formula>2.4</formula>
    </cfRule>
    <cfRule type="expression" dxfId="4196" priority="11">
      <formula>Q64&lt;1.8</formula>
    </cfRule>
    <cfRule type="expression" dxfId="4195" priority="12">
      <formula>Q64&gt;2.4</formula>
    </cfRule>
  </conditionalFormatting>
  <conditionalFormatting sqref="Y63">
    <cfRule type="cellIs" dxfId="4194" priority="5" operator="between">
      <formula>5</formula>
      <formula>5.499</formula>
    </cfRule>
    <cfRule type="cellIs" dxfId="4193" priority="6" operator="between">
      <formula>6.51</formula>
      <formula>8</formula>
    </cfRule>
    <cfRule type="expression" dxfId="4192" priority="7">
      <formula>Y63&lt;5</formula>
    </cfRule>
    <cfRule type="expression" dxfId="4191" priority="8">
      <formula>Y63&gt;8</formula>
    </cfRule>
  </conditionalFormatting>
  <conditionalFormatting sqref="Y64">
    <cfRule type="cellIs" dxfId="4190" priority="1" operator="between">
      <formula>1.8</formula>
      <formula>1.999</formula>
    </cfRule>
    <cfRule type="cellIs" dxfId="4189" priority="2" operator="between">
      <formula>2.21</formula>
      <formula>2.4</formula>
    </cfRule>
    <cfRule type="expression" dxfId="4188" priority="3">
      <formula>Y64&lt;1.8</formula>
    </cfRule>
    <cfRule type="expression" dxfId="4187" priority="4">
      <formula>Y64&gt;2.4</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7.xml><?xml version="1.0" encoding="utf-8"?>
<worksheet xmlns="http://schemas.openxmlformats.org/spreadsheetml/2006/main" xmlns:r="http://schemas.openxmlformats.org/officeDocument/2006/relationships">
  <sheetPr>
    <tabColor rgb="FFFFC000"/>
  </sheetPr>
  <dimension ref="A1:AL65"/>
  <sheetViews>
    <sheetView tabSelected="1" view="pageBreakPreview" topLeftCell="A14" zoomScale="55" zoomScaleNormal="55" zoomScaleSheetLayoutView="55" workbookViewId="0">
      <selection activeCell="F6" sqref="A6:XFD13"/>
    </sheetView>
  </sheetViews>
  <sheetFormatPr defaultRowHeight="16.5"/>
  <cols>
    <col min="1" max="1" width="5" style="1014" customWidth="1"/>
    <col min="2" max="2" width="8" style="1015" customWidth="1"/>
    <col min="3" max="3" width="3.5" style="1015" customWidth="1"/>
    <col min="4" max="4" width="6" style="1015" customWidth="1"/>
    <col min="5" max="5" width="3.25" style="1015" customWidth="1"/>
    <col min="6" max="6" width="7.5" style="1016" customWidth="1"/>
    <col min="7" max="7" width="14.125" style="1016" customWidth="1"/>
    <col min="8" max="8" width="11.625" style="1016" customWidth="1"/>
    <col min="9" max="9" width="8.375" style="1016" customWidth="1"/>
    <col min="10" max="10" width="2.625" style="1016" customWidth="1"/>
    <col min="11" max="11" width="8" style="1016" customWidth="1"/>
    <col min="12" max="12" width="4" style="1016" customWidth="1"/>
    <col min="13" max="13" width="7.5" style="977" customWidth="1"/>
    <col min="14" max="14" width="2.75" style="977" customWidth="1"/>
    <col min="15" max="15" width="8.75" style="977" customWidth="1"/>
    <col min="16" max="16" width="4" style="977" customWidth="1"/>
    <col min="17" max="17" width="8.25" style="1016" customWidth="1"/>
    <col min="18" max="18" width="2.375" style="1016" customWidth="1"/>
    <col min="19" max="19" width="8.25" style="1016" customWidth="1"/>
    <col min="20" max="20" width="4.25" style="1016" customWidth="1"/>
    <col min="21" max="21" width="7.75" style="977" customWidth="1"/>
    <col min="22" max="22" width="4" style="977" customWidth="1"/>
    <col min="23" max="23" width="7.875" style="977" customWidth="1"/>
    <col min="24" max="24" width="3.75" style="977" customWidth="1"/>
    <col min="25" max="25" width="7.5" style="1016" customWidth="1"/>
    <col min="26" max="26" width="4.25" style="1016" customWidth="1"/>
    <col min="27" max="27" width="7.625" style="1016" customWidth="1"/>
    <col min="28" max="28" width="4.875" style="1016" customWidth="1"/>
    <col min="29" max="29" width="7" style="977" customWidth="1"/>
    <col min="30" max="30" width="3.75" style="977" customWidth="1"/>
    <col min="31" max="31" width="7.5" style="977" customWidth="1"/>
    <col min="32" max="32" width="4.25" style="977" customWidth="1"/>
    <col min="33" max="33" width="7.625" style="8" customWidth="1"/>
    <col min="34" max="16384" width="9" style="8"/>
  </cols>
  <sheetData>
    <row r="1" spans="1:38" ht="28.5" customHeight="1">
      <c r="A1" s="2970" t="s">
        <v>136</v>
      </c>
      <c r="B1" s="2970"/>
      <c r="C1" s="2970"/>
      <c r="D1" s="2970"/>
      <c r="E1" s="2970"/>
      <c r="F1" s="2970"/>
      <c r="G1" s="2970"/>
      <c r="H1" s="2970"/>
      <c r="I1" s="2970"/>
      <c r="J1" s="2970"/>
      <c r="K1" s="2970"/>
      <c r="L1" s="2970"/>
      <c r="M1" s="2970"/>
      <c r="N1" s="2970"/>
      <c r="O1" s="2970"/>
      <c r="P1" s="2970"/>
      <c r="Q1" s="2970"/>
      <c r="R1" s="2970"/>
      <c r="S1" s="2970"/>
      <c r="T1" s="2970"/>
      <c r="U1" s="2970"/>
      <c r="V1" s="2970"/>
      <c r="W1" s="2970"/>
      <c r="X1" s="2970"/>
      <c r="Y1" s="2970"/>
      <c r="Z1" s="2970"/>
      <c r="AA1" s="1017"/>
      <c r="AB1" s="1017"/>
      <c r="AC1" s="978"/>
      <c r="AD1" s="978"/>
      <c r="AE1" s="978"/>
      <c r="AF1" s="978"/>
      <c r="AG1" s="64"/>
    </row>
    <row r="2" spans="1:38" ht="51.75" customHeight="1">
      <c r="A2" s="2971" t="s">
        <v>1531</v>
      </c>
      <c r="B2" s="2971"/>
      <c r="C2" s="2971"/>
      <c r="D2" s="2971"/>
      <c r="E2" s="2971"/>
      <c r="F2" s="2971"/>
      <c r="G2" s="2971"/>
      <c r="H2" s="2971"/>
      <c r="I2" s="2971"/>
      <c r="J2" s="2971"/>
      <c r="K2" s="2971"/>
      <c r="L2" s="2971"/>
      <c r="M2" s="2971"/>
      <c r="N2" s="2971"/>
      <c r="O2" s="2971"/>
      <c r="P2" s="2971"/>
      <c r="Q2" s="2971"/>
      <c r="R2" s="2971"/>
      <c r="S2" s="2971"/>
      <c r="T2" s="2971"/>
      <c r="U2" s="2971"/>
      <c r="V2" s="2971"/>
      <c r="W2" s="2971"/>
      <c r="X2" s="2971"/>
      <c r="Y2" s="2971"/>
      <c r="Z2" s="2971"/>
      <c r="AA2" s="1017"/>
      <c r="AB2" s="1017"/>
      <c r="AC2" s="978"/>
      <c r="AD2" s="2861" t="s">
        <v>89</v>
      </c>
      <c r="AE2" s="2861"/>
      <c r="AF2" s="2863" t="s">
        <v>90</v>
      </c>
      <c r="AG2" s="2864"/>
    </row>
    <row r="3" spans="1:38" ht="32.25" customHeight="1">
      <c r="A3" s="1002"/>
      <c r="B3" s="1496" t="s">
        <v>128</v>
      </c>
      <c r="C3" s="1497"/>
      <c r="D3" s="1464"/>
      <c r="E3" s="1465"/>
      <c r="F3" s="1466"/>
      <c r="G3" s="1462"/>
      <c r="H3" s="1930" t="str">
        <f>MENU!$AC$9</f>
        <v>Thứ 3,</v>
      </c>
      <c r="I3" s="2901" t="str">
        <f>MENU!$AD$9</f>
        <v>2024/01/09</v>
      </c>
      <c r="J3" s="2902"/>
      <c r="K3" s="2902"/>
      <c r="L3" s="2902"/>
      <c r="M3" s="975"/>
      <c r="N3" s="975"/>
      <c r="O3" s="975"/>
      <c r="P3" s="975"/>
      <c r="Q3" s="1003"/>
      <c r="R3" s="1003"/>
      <c r="S3" s="1003"/>
      <c r="T3" s="1003"/>
      <c r="U3" s="975"/>
      <c r="V3" s="975"/>
      <c r="W3" s="975"/>
      <c r="X3" s="975"/>
      <c r="Y3" s="1003"/>
      <c r="Z3" s="1003"/>
      <c r="AA3" s="1017"/>
      <c r="AB3" s="1017"/>
      <c r="AC3" s="978"/>
      <c r="AD3" s="2862" t="str">
        <f>MENU!AE6</f>
        <v>Trang</v>
      </c>
      <c r="AE3" s="2862"/>
      <c r="AF3" s="2854" t="s">
        <v>11</v>
      </c>
      <c r="AG3" s="2855"/>
    </row>
    <row r="4" spans="1:38" s="65" customFormat="1" ht="46.5" customHeight="1">
      <c r="A4" s="2972" t="s">
        <v>7</v>
      </c>
      <c r="B4" s="2885" t="s">
        <v>77</v>
      </c>
      <c r="C4" s="2886"/>
      <c r="D4" s="2886"/>
      <c r="E4" s="2887"/>
      <c r="F4" s="2883" t="s">
        <v>125</v>
      </c>
      <c r="G4" s="2922" t="s">
        <v>1325</v>
      </c>
      <c r="H4" s="2920" t="s">
        <v>1317</v>
      </c>
      <c r="I4" s="2950">
        <v>0.30208333333333331</v>
      </c>
      <c r="J4" s="2907"/>
      <c r="K4" s="2907"/>
      <c r="L4" s="2908"/>
      <c r="M4" s="2856" t="s">
        <v>940</v>
      </c>
      <c r="N4" s="2986"/>
      <c r="O4" s="2986"/>
      <c r="P4" s="2987"/>
      <c r="Q4" s="2906">
        <v>0.46875</v>
      </c>
      <c r="R4" s="2907"/>
      <c r="S4" s="2907"/>
      <c r="T4" s="2908"/>
      <c r="U4" s="2856" t="s">
        <v>940</v>
      </c>
      <c r="V4" s="2857"/>
      <c r="W4" s="2857"/>
      <c r="X4" s="2858"/>
      <c r="Y4" s="2906">
        <v>0.63541666666666663</v>
      </c>
      <c r="Z4" s="2907"/>
      <c r="AA4" s="2907"/>
      <c r="AB4" s="2908"/>
      <c r="AC4" s="2856" t="s">
        <v>940</v>
      </c>
      <c r="AD4" s="2857"/>
      <c r="AE4" s="2857"/>
      <c r="AF4" s="2858"/>
      <c r="AG4" s="2961" t="s">
        <v>39</v>
      </c>
    </row>
    <row r="5" spans="1:38" s="65" customFormat="1" ht="46.5" customHeight="1">
      <c r="A5" s="2972"/>
      <c r="B5" s="2888"/>
      <c r="C5" s="2889"/>
      <c r="D5" s="2889"/>
      <c r="E5" s="2890"/>
      <c r="F5" s="2884"/>
      <c r="G5" s="2923"/>
      <c r="H5" s="2921"/>
      <c r="I5" s="2414" t="s">
        <v>130</v>
      </c>
      <c r="J5" s="2912" t="s">
        <v>1</v>
      </c>
      <c r="K5" s="2913"/>
      <c r="L5" s="2914"/>
      <c r="M5" s="938" t="s">
        <v>941</v>
      </c>
      <c r="N5" s="2859" t="s">
        <v>1</v>
      </c>
      <c r="O5" s="2859"/>
      <c r="P5" s="2860"/>
      <c r="Q5" s="981" t="s">
        <v>130</v>
      </c>
      <c r="R5" s="2912" t="s">
        <v>1</v>
      </c>
      <c r="S5" s="2913"/>
      <c r="T5" s="2914"/>
      <c r="U5" s="938" t="s">
        <v>130</v>
      </c>
      <c r="V5" s="2859" t="s">
        <v>1</v>
      </c>
      <c r="W5" s="2859"/>
      <c r="X5" s="2860"/>
      <c r="Y5" s="981" t="s">
        <v>130</v>
      </c>
      <c r="Z5" s="2912" t="s">
        <v>1</v>
      </c>
      <c r="AA5" s="2913"/>
      <c r="AB5" s="2914"/>
      <c r="AC5" s="938" t="s">
        <v>130</v>
      </c>
      <c r="AD5" s="2859" t="s">
        <v>1</v>
      </c>
      <c r="AE5" s="2859"/>
      <c r="AF5" s="2860"/>
      <c r="AG5" s="2962"/>
    </row>
    <row r="6" spans="1:38" ht="57.75" hidden="1" customHeight="1">
      <c r="A6" s="2973">
        <v>1</v>
      </c>
      <c r="B6" s="2975" t="s">
        <v>951</v>
      </c>
      <c r="C6" s="2976"/>
      <c r="D6" s="2898" t="s">
        <v>231</v>
      </c>
      <c r="E6" s="2899"/>
      <c r="F6" s="2200" t="s">
        <v>4</v>
      </c>
      <c r="G6" s="929" t="str">
        <f>'XM.FILE GOC'!$E$78</f>
        <v>40~60</v>
      </c>
      <c r="H6" s="2427" t="str">
        <f>'XM.FILE GOC'!$F$78</f>
        <v>(50±5)</v>
      </c>
      <c r="I6" s="2438">
        <f>'XM.FILE GOC'!I78</f>
        <v>49.5</v>
      </c>
      <c r="J6" s="1004" t="s">
        <v>8</v>
      </c>
      <c r="K6" s="1005">
        <f>'XM.FILE GOC'!L78</f>
        <v>7.7584999999999997</v>
      </c>
      <c r="L6" s="1006" t="s">
        <v>9</v>
      </c>
      <c r="M6" s="1670">
        <f>'3.XT-C kh.mau HALO'!M6</f>
        <v>50.8</v>
      </c>
      <c r="N6" s="940" t="s">
        <v>8</v>
      </c>
      <c r="O6" s="1686">
        <f>IF(M6=0,"",('XM.FILE GOC'!$G$78-M6)*15517/1000)</f>
        <v>-12.413599999999956</v>
      </c>
      <c r="P6" s="941" t="s">
        <v>9</v>
      </c>
      <c r="Q6" s="56">
        <f>'XM.FILE GOC'!P78</f>
        <v>51.92</v>
      </c>
      <c r="R6" s="1004" t="s">
        <v>8</v>
      </c>
      <c r="S6" s="1005">
        <f>'XM.FILE GOC'!S78</f>
        <v>0</v>
      </c>
      <c r="T6" s="1006" t="s">
        <v>9</v>
      </c>
      <c r="U6" s="1670">
        <f>'3.XT-C kh.mau HALO'!U6</f>
        <v>0</v>
      </c>
      <c r="V6" s="940" t="s">
        <v>8</v>
      </c>
      <c r="W6" s="1686" t="str">
        <f>IF(U6=0,"",('XM.FILE GOC'!$G$78-U6)*15517/1000)</f>
        <v/>
      </c>
      <c r="X6" s="941" t="s">
        <v>9</v>
      </c>
      <c r="Y6" s="56">
        <f>'XM.FILE GOC'!W78</f>
        <v>51.595500000000001</v>
      </c>
      <c r="Z6" s="1004" t="s">
        <v>8</v>
      </c>
      <c r="AA6" s="1005">
        <f>'XM.FILE GOC'!Z78</f>
        <v>0</v>
      </c>
      <c r="AB6" s="1006" t="s">
        <v>9</v>
      </c>
      <c r="AC6" s="1670">
        <f>'3.XT-C kh.mau HALO'!AC6</f>
        <v>0</v>
      </c>
      <c r="AD6" s="940" t="s">
        <v>8</v>
      </c>
      <c r="AE6" s="1686" t="str">
        <f>IF(AC6=0,"",('XM.FILE GOC'!$G$78-AC6)*15517/1000)</f>
        <v/>
      </c>
      <c r="AF6" s="941" t="s">
        <v>9</v>
      </c>
      <c r="AG6" s="2197" t="s">
        <v>40</v>
      </c>
    </row>
    <row r="7" spans="1:38" ht="57.75" hidden="1" customHeight="1">
      <c r="A7" s="2974"/>
      <c r="B7" s="2977"/>
      <c r="C7" s="2978"/>
      <c r="D7" s="2898" t="s">
        <v>232</v>
      </c>
      <c r="E7" s="2899"/>
      <c r="F7" s="928"/>
      <c r="G7" s="929" t="s">
        <v>1286</v>
      </c>
      <c r="H7" s="2427"/>
      <c r="I7" s="2439"/>
      <c r="J7" s="61"/>
      <c r="K7" s="985">
        <f>K6/25*8.5</f>
        <v>2.6378900000000001</v>
      </c>
      <c r="L7" s="614" t="s">
        <v>10</v>
      </c>
      <c r="M7" s="1670">
        <f>'3.XT-C kh.mau HALO'!M7</f>
        <v>0</v>
      </c>
      <c r="N7" s="942" t="s">
        <v>8</v>
      </c>
      <c r="O7" s="1684">
        <f>IF(M6=0,"",O6/25*8.5)</f>
        <v>-4.2206239999999848</v>
      </c>
      <c r="P7" s="943" t="s">
        <v>10</v>
      </c>
      <c r="Q7" s="307"/>
      <c r="R7" s="61"/>
      <c r="S7" s="985">
        <f>S6/25*8.5</f>
        <v>0</v>
      </c>
      <c r="T7" s="614" t="s">
        <v>10</v>
      </c>
      <c r="U7" s="1670">
        <f>'3.XT-C kh.mau HALO'!U7</f>
        <v>0</v>
      </c>
      <c r="V7" s="942" t="s">
        <v>8</v>
      </c>
      <c r="W7" s="1684" t="str">
        <f>IF(U6=0,"",W6/25*8.5)</f>
        <v/>
      </c>
      <c r="X7" s="943" t="s">
        <v>10</v>
      </c>
      <c r="Y7" s="307"/>
      <c r="Z7" s="61"/>
      <c r="AA7" s="985">
        <f>AA6/25*8.5</f>
        <v>0</v>
      </c>
      <c r="AB7" s="614" t="s">
        <v>10</v>
      </c>
      <c r="AC7" s="1670">
        <f>'3.XT-C kh.mau HALO'!AC7</f>
        <v>0</v>
      </c>
      <c r="AD7" s="942" t="s">
        <v>8</v>
      </c>
      <c r="AE7" s="1684" t="str">
        <f>IF(AC6=0,"",AE6/25*8.5)</f>
        <v/>
      </c>
      <c r="AF7" s="943" t="s">
        <v>10</v>
      </c>
      <c r="AG7" s="2197"/>
    </row>
    <row r="8" spans="1:38" ht="57.75" hidden="1" customHeight="1">
      <c r="A8" s="2973">
        <v>2</v>
      </c>
      <c r="B8" s="2975" t="s">
        <v>952</v>
      </c>
      <c r="C8" s="2976"/>
      <c r="D8" s="2898" t="s">
        <v>231</v>
      </c>
      <c r="E8" s="2899"/>
      <c r="F8" s="2200" t="s">
        <v>4</v>
      </c>
      <c r="G8" s="929" t="str">
        <f>'XM.FILE GOC'!$E$80</f>
        <v>40~60</v>
      </c>
      <c r="H8" s="2427" t="str">
        <f>'XM.FILE GOC'!$F$80</f>
        <v>(50±5)</v>
      </c>
      <c r="I8" s="2438">
        <f>'XM.FILE GOC'!I80</f>
        <v>50.297499999999999</v>
      </c>
      <c r="J8" s="1004" t="s">
        <v>8</v>
      </c>
      <c r="K8" s="1005">
        <f>'XM.FILE GOC'!L80</f>
        <v>0</v>
      </c>
      <c r="L8" s="1006" t="s">
        <v>9</v>
      </c>
      <c r="M8" s="1670">
        <f>'3.XT-C kh.mau HALO'!M8</f>
        <v>0</v>
      </c>
      <c r="N8" s="940" t="s">
        <v>8</v>
      </c>
      <c r="O8" s="1686" t="str">
        <f>IF(M8=0,"",('XM.FILE GOC'!$G$80-M8)*11475/1000)</f>
        <v/>
      </c>
      <c r="P8" s="941" t="s">
        <v>9</v>
      </c>
      <c r="Q8" s="56">
        <f>'XM.FILE GOC'!P80</f>
        <v>50.297499999999999</v>
      </c>
      <c r="R8" s="1004" t="s">
        <v>8</v>
      </c>
      <c r="S8" s="1005">
        <f>'XM.FILE GOC'!S80</f>
        <v>0</v>
      </c>
      <c r="T8" s="1006" t="s">
        <v>9</v>
      </c>
      <c r="U8" s="1670">
        <f>'3.XT-C kh.mau HALO'!U8</f>
        <v>0</v>
      </c>
      <c r="V8" s="940" t="s">
        <v>8</v>
      </c>
      <c r="W8" s="1686" t="str">
        <f>IF(U8=0,"",('XM.FILE GOC'!$G$80-U8)*11475/1000)</f>
        <v/>
      </c>
      <c r="X8" s="941" t="s">
        <v>9</v>
      </c>
      <c r="Y8" s="56">
        <f>'XM.FILE GOC'!W80</f>
        <v>50.297499999999999</v>
      </c>
      <c r="Z8" s="1004" t="s">
        <v>8</v>
      </c>
      <c r="AA8" s="1005">
        <f>'XM.FILE GOC'!Z80</f>
        <v>0</v>
      </c>
      <c r="AB8" s="1006" t="s">
        <v>9</v>
      </c>
      <c r="AC8" s="1670">
        <f>'3.XT-C kh.mau HALO'!AC8</f>
        <v>0</v>
      </c>
      <c r="AD8" s="940" t="s">
        <v>8</v>
      </c>
      <c r="AE8" s="1686" t="str">
        <f>IF(AC8=0,"",('XM.FILE GOC'!$G$80-AC8)*11475/1000)</f>
        <v/>
      </c>
      <c r="AF8" s="941" t="s">
        <v>9</v>
      </c>
      <c r="AG8" s="2197" t="s">
        <v>40</v>
      </c>
    </row>
    <row r="9" spans="1:38" ht="57.75" hidden="1" customHeight="1">
      <c r="A9" s="2974"/>
      <c r="B9" s="2977"/>
      <c r="C9" s="2978"/>
      <c r="D9" s="2898" t="s">
        <v>232</v>
      </c>
      <c r="E9" s="2899"/>
      <c r="F9" s="928"/>
      <c r="G9" s="929" t="s">
        <v>1286</v>
      </c>
      <c r="H9" s="2427"/>
      <c r="I9" s="2439"/>
      <c r="J9" s="61"/>
      <c r="K9" s="985">
        <f>K8/25*8.5</f>
        <v>0</v>
      </c>
      <c r="L9" s="614" t="s">
        <v>10</v>
      </c>
      <c r="M9" s="1670">
        <f>'3.XT-C kh.mau HALO'!M9</f>
        <v>0</v>
      </c>
      <c r="N9" s="942" t="s">
        <v>8</v>
      </c>
      <c r="O9" s="1684" t="str">
        <f>IF(M8=0,"",O8/25*8.5)</f>
        <v/>
      </c>
      <c r="P9" s="943" t="s">
        <v>10</v>
      </c>
      <c r="Q9" s="307"/>
      <c r="R9" s="61"/>
      <c r="S9" s="985">
        <f>S8/25*8.5</f>
        <v>0</v>
      </c>
      <c r="T9" s="614" t="s">
        <v>10</v>
      </c>
      <c r="U9" s="1670">
        <f>'3.XT-C kh.mau HALO'!U9</f>
        <v>0</v>
      </c>
      <c r="V9" s="942" t="s">
        <v>8</v>
      </c>
      <c r="W9" s="1684" t="str">
        <f>IF(U8=0,"",W8/25*8.5)</f>
        <v/>
      </c>
      <c r="X9" s="943" t="s">
        <v>10</v>
      </c>
      <c r="Y9" s="307"/>
      <c r="Z9" s="61"/>
      <c r="AA9" s="985">
        <f>AA8/25*8.5</f>
        <v>0</v>
      </c>
      <c r="AB9" s="614" t="s">
        <v>10</v>
      </c>
      <c r="AC9" s="1670">
        <f>'3.XT-C kh.mau HALO'!AC9</f>
        <v>0</v>
      </c>
      <c r="AD9" s="942" t="s">
        <v>8</v>
      </c>
      <c r="AE9" s="1684" t="str">
        <f>IF(AC8=0,"",AE8/25*8.5)</f>
        <v/>
      </c>
      <c r="AF9" s="943" t="s">
        <v>10</v>
      </c>
      <c r="AG9" s="2197"/>
    </row>
    <row r="10" spans="1:38" ht="57.75" hidden="1" customHeight="1">
      <c r="A10" s="2973">
        <v>3</v>
      </c>
      <c r="B10" s="2896" t="s">
        <v>953</v>
      </c>
      <c r="C10" s="2897"/>
      <c r="D10" s="2871" t="s">
        <v>233</v>
      </c>
      <c r="E10" s="2873" t="s">
        <v>233</v>
      </c>
      <c r="F10" s="2200" t="s">
        <v>4</v>
      </c>
      <c r="G10" s="929" t="str">
        <f>'XM.FILE GOC'!$E$82</f>
        <v>50~70</v>
      </c>
      <c r="H10" s="2427" t="str">
        <f>'XM.FILE GOC'!$F$82</f>
        <v>(60±5)</v>
      </c>
      <c r="I10" s="2439">
        <f>'XM.FILE GOC'!I82</f>
        <v>63.524999999999999</v>
      </c>
      <c r="J10" s="61" t="s">
        <v>8</v>
      </c>
      <c r="K10" s="613">
        <f>'XM.FILE GOC'!L82</f>
        <v>0</v>
      </c>
      <c r="L10" s="614" t="s">
        <v>9</v>
      </c>
      <c r="M10" s="1670">
        <f>'3.XT-C kh.mau HALO'!M10</f>
        <v>0</v>
      </c>
      <c r="N10" s="940" t="s">
        <v>8</v>
      </c>
      <c r="O10" s="1686" t="str">
        <f>IF(M10=0,"",('XM.FILE GOC'!$G$82-M10)*8200/1000)</f>
        <v/>
      </c>
      <c r="P10" s="941" t="s">
        <v>9</v>
      </c>
      <c r="Q10" s="307">
        <f>'XM.FILE GOC'!P82</f>
        <v>63.293999999999997</v>
      </c>
      <c r="R10" s="61" t="s">
        <v>8</v>
      </c>
      <c r="S10" s="613">
        <f>'XM.FILE GOC'!S82</f>
        <v>0</v>
      </c>
      <c r="T10" s="614" t="s">
        <v>9</v>
      </c>
      <c r="U10" s="1670">
        <f>'3.XT-C kh.mau HALO'!U10</f>
        <v>0</v>
      </c>
      <c r="V10" s="940" t="s">
        <v>8</v>
      </c>
      <c r="W10" s="1686" t="str">
        <f>IF(U10=0,"",('XM.FILE GOC'!$G$82-U10)*8200/1000)</f>
        <v/>
      </c>
      <c r="X10" s="941" t="s">
        <v>9</v>
      </c>
      <c r="Y10" s="307">
        <f>'XM.FILE GOC'!W82</f>
        <v>61.908000000000001</v>
      </c>
      <c r="Z10" s="61" t="s">
        <v>8</v>
      </c>
      <c r="AA10" s="613">
        <f>'XM.FILE GOC'!Z82</f>
        <v>0</v>
      </c>
      <c r="AB10" s="1006" t="s">
        <v>9</v>
      </c>
      <c r="AC10" s="1670">
        <f>'3.XT-C kh.mau HALO'!AC10</f>
        <v>0</v>
      </c>
      <c r="AD10" s="940" t="s">
        <v>8</v>
      </c>
      <c r="AE10" s="1686" t="str">
        <f>IF(AC10=0,"",('XM.FILE GOC'!$G$82-AC10)*8200/1000)</f>
        <v/>
      </c>
      <c r="AF10" s="941" t="s">
        <v>9</v>
      </c>
      <c r="AG10" s="2197" t="s">
        <v>40</v>
      </c>
    </row>
    <row r="11" spans="1:38" ht="57.75" hidden="1" customHeight="1">
      <c r="A11" s="2979"/>
      <c r="B11" s="2897"/>
      <c r="C11" s="2897"/>
      <c r="D11" s="2871" t="s">
        <v>234</v>
      </c>
      <c r="E11" s="2873" t="s">
        <v>234</v>
      </c>
      <c r="F11" s="928"/>
      <c r="G11" s="929" t="s">
        <v>1287</v>
      </c>
      <c r="H11" s="2427"/>
      <c r="I11" s="2439"/>
      <c r="J11" s="61"/>
      <c r="K11" s="985">
        <f>K10/25*8</f>
        <v>0</v>
      </c>
      <c r="L11" s="614" t="s">
        <v>10</v>
      </c>
      <c r="M11" s="1670">
        <f>'3.XT-C kh.mau HALO'!M11</f>
        <v>0</v>
      </c>
      <c r="N11" s="942" t="s">
        <v>8</v>
      </c>
      <c r="O11" s="1684" t="str">
        <f>IF(M10=0,"",O10/25*8)</f>
        <v/>
      </c>
      <c r="P11" s="943" t="s">
        <v>10</v>
      </c>
      <c r="Q11" s="307"/>
      <c r="R11" s="61"/>
      <c r="S11" s="985">
        <f>S10/25*8</f>
        <v>0</v>
      </c>
      <c r="T11" s="614" t="s">
        <v>10</v>
      </c>
      <c r="U11" s="1670">
        <f>'3.XT-C kh.mau HALO'!U11</f>
        <v>0</v>
      </c>
      <c r="V11" s="942" t="s">
        <v>8</v>
      </c>
      <c r="W11" s="1684" t="str">
        <f>IF(U10=0,"",W10/25*8)</f>
        <v/>
      </c>
      <c r="X11" s="943" t="s">
        <v>10</v>
      </c>
      <c r="Y11" s="307"/>
      <c r="Z11" s="61"/>
      <c r="AA11" s="985">
        <f>AA10/25*8</f>
        <v>0</v>
      </c>
      <c r="AB11" s="614" t="s">
        <v>10</v>
      </c>
      <c r="AC11" s="1670">
        <f>'3.XT-C kh.mau HALO'!AC11</f>
        <v>0</v>
      </c>
      <c r="AD11" s="942" t="s">
        <v>8</v>
      </c>
      <c r="AE11" s="1684" t="str">
        <f>IF(AC10=0,"",AE10/25*8)</f>
        <v/>
      </c>
      <c r="AF11" s="943" t="s">
        <v>10</v>
      </c>
      <c r="AG11" s="2197"/>
    </row>
    <row r="12" spans="1:38" ht="57.75" hidden="1" customHeight="1">
      <c r="A12" s="2973">
        <v>4</v>
      </c>
      <c r="B12" s="2896" t="s">
        <v>954</v>
      </c>
      <c r="C12" s="2897"/>
      <c r="D12" s="2871" t="s">
        <v>233</v>
      </c>
      <c r="E12" s="2873" t="s">
        <v>233</v>
      </c>
      <c r="F12" s="2200" t="s">
        <v>4</v>
      </c>
      <c r="G12" s="929" t="str">
        <f>'XM.FILE GOC'!$E$84</f>
        <v>50~70</v>
      </c>
      <c r="H12" s="2427" t="str">
        <f>'XM.FILE GOC'!$F$84</f>
        <v>(60±5)</v>
      </c>
      <c r="I12" s="2439">
        <f>'XM.FILE GOC'!I84</f>
        <v>59.7</v>
      </c>
      <c r="J12" s="1004" t="s">
        <v>8</v>
      </c>
      <c r="K12" s="1005">
        <f>'XM.FILE GOC'!L84</f>
        <v>2.6003999999999756</v>
      </c>
      <c r="L12" s="1006" t="s">
        <v>9</v>
      </c>
      <c r="M12" s="1670">
        <f>'3.XT-C kh.mau HALO'!M12</f>
        <v>62.2</v>
      </c>
      <c r="N12" s="940" t="s">
        <v>8</v>
      </c>
      <c r="O12" s="1687">
        <f>IF(M12=0,"",('XM.FILE GOC'!$G$84-M12)*8668/1000)</f>
        <v>-19.069600000000023</v>
      </c>
      <c r="P12" s="941" t="s">
        <v>9</v>
      </c>
      <c r="Q12" s="307">
        <f>'XM.FILE GOC'!P84</f>
        <v>63.063000000000002</v>
      </c>
      <c r="R12" s="1004" t="s">
        <v>8</v>
      </c>
      <c r="S12" s="1005">
        <f>'XM.FILE GOC'!S84</f>
        <v>0</v>
      </c>
      <c r="T12" s="1006" t="s">
        <v>9</v>
      </c>
      <c r="U12" s="1670">
        <f>'3.XT-C kh.mau HALO'!U12</f>
        <v>0</v>
      </c>
      <c r="V12" s="940" t="s">
        <v>8</v>
      </c>
      <c r="W12" s="1687" t="str">
        <f>IF(U12=0,"",('XM.FILE GOC'!$G$84-U12)*8668/1000)</f>
        <v/>
      </c>
      <c r="X12" s="941" t="s">
        <v>9</v>
      </c>
      <c r="Y12" s="307">
        <f>'XM.FILE GOC'!W84</f>
        <v>60.521999999999998</v>
      </c>
      <c r="Z12" s="1004" t="s">
        <v>8</v>
      </c>
      <c r="AA12" s="1005">
        <f>'XM.FILE GOC'!Z84</f>
        <v>0</v>
      </c>
      <c r="AB12" s="1006" t="s">
        <v>9</v>
      </c>
      <c r="AC12" s="1670">
        <f>'3.XT-C kh.mau HALO'!AC12</f>
        <v>0</v>
      </c>
      <c r="AD12" s="940" t="s">
        <v>8</v>
      </c>
      <c r="AE12" s="1687" t="str">
        <f>IF(AC12=0,"",('XM.FILE GOC'!$G$84-AC12)*8668/1000)</f>
        <v/>
      </c>
      <c r="AF12" s="941" t="s">
        <v>9</v>
      </c>
      <c r="AG12" s="2197" t="s">
        <v>40</v>
      </c>
    </row>
    <row r="13" spans="1:38" ht="57.75" hidden="1" customHeight="1">
      <c r="A13" s="2979"/>
      <c r="B13" s="3061"/>
      <c r="C13" s="3061"/>
      <c r="D13" s="2885" t="s">
        <v>234</v>
      </c>
      <c r="E13" s="2887" t="s">
        <v>234</v>
      </c>
      <c r="F13" s="2274"/>
      <c r="G13" s="1675" t="s">
        <v>1287</v>
      </c>
      <c r="H13" s="2444"/>
      <c r="I13" s="2440"/>
      <c r="J13" s="1373"/>
      <c r="K13" s="2276">
        <f>K12/25*8</f>
        <v>0.83212799999999221</v>
      </c>
      <c r="L13" s="1375" t="s">
        <v>10</v>
      </c>
      <c r="M13" s="2277">
        <f>'3.XT-C kh.mau HALO'!M13</f>
        <v>0</v>
      </c>
      <c r="N13" s="2278" t="s">
        <v>8</v>
      </c>
      <c r="O13" s="2279">
        <f>IF(M12=0,"",O12/25*8)</f>
        <v>-6.1022720000000072</v>
      </c>
      <c r="P13" s="2280" t="s">
        <v>10</v>
      </c>
      <c r="Q13" s="2275"/>
      <c r="R13" s="1373"/>
      <c r="S13" s="2276">
        <f>S12/25*8</f>
        <v>0</v>
      </c>
      <c r="T13" s="1375" t="s">
        <v>10</v>
      </c>
      <c r="U13" s="2277">
        <f>'3.XT-C kh.mau HALO'!U13</f>
        <v>0</v>
      </c>
      <c r="V13" s="2278" t="s">
        <v>8</v>
      </c>
      <c r="W13" s="2279" t="str">
        <f>IF(U12=0,"",W12/25*8)</f>
        <v/>
      </c>
      <c r="X13" s="2280" t="s">
        <v>10</v>
      </c>
      <c r="Y13" s="2275"/>
      <c r="Z13" s="1373"/>
      <c r="AA13" s="2276">
        <f>AA12/25*8</f>
        <v>0</v>
      </c>
      <c r="AB13" s="1375" t="s">
        <v>10</v>
      </c>
      <c r="AC13" s="2277">
        <f>'3.XT-C kh.mau HALO'!AC13</f>
        <v>0</v>
      </c>
      <c r="AD13" s="2278" t="s">
        <v>8</v>
      </c>
      <c r="AE13" s="2279" t="str">
        <f>IF(AC12=0,"",AE12/25*8)</f>
        <v/>
      </c>
      <c r="AF13" s="2280" t="s">
        <v>10</v>
      </c>
      <c r="AG13" s="2271"/>
    </row>
    <row r="14" spans="1:38" ht="57.75" customHeight="1">
      <c r="A14" s="3025">
        <v>5</v>
      </c>
      <c r="B14" s="3053" t="s">
        <v>123</v>
      </c>
      <c r="C14" s="3054"/>
      <c r="D14" s="3057" t="s">
        <v>117</v>
      </c>
      <c r="E14" s="3058"/>
      <c r="F14" s="2553" t="s">
        <v>4</v>
      </c>
      <c r="G14" s="2554" t="str">
        <f>'XM.GUI MAIL'!$E$99</f>
        <v>5~6</v>
      </c>
      <c r="H14" s="2555" t="str">
        <f>'XM.GUI MAIL'!$F$99</f>
        <v>(5.5± 0.5)</v>
      </c>
      <c r="I14" s="2521">
        <f>'XM.FILE GOC'!I99</f>
        <v>5.59</v>
      </c>
      <c r="J14" s="2522" t="s">
        <v>8</v>
      </c>
      <c r="K14" s="2523">
        <f>'XM.FILE GOC'!L99</f>
        <v>0</v>
      </c>
      <c r="L14" s="2524" t="s">
        <v>9</v>
      </c>
      <c r="M14" s="2525"/>
      <c r="N14" s="2556" t="s">
        <v>8</v>
      </c>
      <c r="O14" s="2557" t="str">
        <f>IF(M14=0,"",('XM.FILE GOC'!$G$99-M14)*8000/1000)</f>
        <v/>
      </c>
      <c r="P14" s="2558" t="s">
        <v>9</v>
      </c>
      <c r="Q14" s="2529">
        <f>'XM.FILE GOC'!P99</f>
        <v>5.3950000000000005</v>
      </c>
      <c r="R14" s="2522" t="s">
        <v>8</v>
      </c>
      <c r="S14" s="2523">
        <f>'XM.FILE GOC'!S99</f>
        <v>0.83999999999999642</v>
      </c>
      <c r="T14" s="2524" t="s">
        <v>9</v>
      </c>
      <c r="U14" s="2525">
        <v>5.5</v>
      </c>
      <c r="V14" s="2556" t="s">
        <v>8</v>
      </c>
      <c r="W14" s="2557">
        <f>IF(U14=0,"",('XM.FILE GOC'!$G$99-U14)*8000/1000)</f>
        <v>0</v>
      </c>
      <c r="X14" s="2558" t="s">
        <v>9</v>
      </c>
      <c r="Y14" s="2529">
        <f>'XM.FILE GOC'!W99</f>
        <v>5.4600000000000009</v>
      </c>
      <c r="Z14" s="2522" t="s">
        <v>8</v>
      </c>
      <c r="AA14" s="2523">
        <f>'XM.FILE GOC'!Z99</f>
        <v>0.31999999999999318</v>
      </c>
      <c r="AB14" s="2524" t="s">
        <v>9</v>
      </c>
      <c r="AC14" s="2525"/>
      <c r="AD14" s="2556" t="s">
        <v>8</v>
      </c>
      <c r="AE14" s="2557" t="str">
        <f>IF(AC14=0,"",('XM.FILE GOC'!$G$99-AC14)*8000/1000)</f>
        <v/>
      </c>
      <c r="AF14" s="2558" t="s">
        <v>9</v>
      </c>
      <c r="AG14" s="2530" t="s">
        <v>41</v>
      </c>
    </row>
    <row r="15" spans="1:38" ht="57.75" customHeight="1">
      <c r="A15" s="3026"/>
      <c r="B15" s="3055"/>
      <c r="C15" s="3056"/>
      <c r="D15" s="3059" t="s">
        <v>101</v>
      </c>
      <c r="E15" s="3060"/>
      <c r="F15" s="2206" t="s">
        <v>4</v>
      </c>
      <c r="G15" s="2205" t="str">
        <f>'XM.GUI MAIL'!$E$100</f>
        <v>130~140</v>
      </c>
      <c r="H15" s="2445" t="str">
        <f>'XM.GUI MAIL'!$F$100</f>
        <v>(135 ± 5)</v>
      </c>
      <c r="I15" s="2441">
        <f>'XM.FILE GOC'!I100</f>
        <v>134</v>
      </c>
      <c r="J15" s="1004" t="s">
        <v>8</v>
      </c>
      <c r="K15" s="1005">
        <f>'XM.FILE GOC'!L100</f>
        <v>8</v>
      </c>
      <c r="L15" s="1006" t="s">
        <v>9</v>
      </c>
      <c r="M15" s="1670"/>
      <c r="N15" s="940" t="s">
        <v>8</v>
      </c>
      <c r="O15" s="1687" t="str">
        <f>IF(M15=0,"",('XM.FILE GOC'!$G$100-M15)*8000/1000)</f>
        <v/>
      </c>
      <c r="P15" s="941" t="s">
        <v>9</v>
      </c>
      <c r="Q15" s="1886">
        <f>'XM.FILE GOC'!P100</f>
        <v>136</v>
      </c>
      <c r="R15" s="1004" t="s">
        <v>8</v>
      </c>
      <c r="S15" s="1005">
        <f>'XM.FILE GOC'!S100</f>
        <v>0</v>
      </c>
      <c r="T15" s="1006" t="s">
        <v>9</v>
      </c>
      <c r="U15" s="1670"/>
      <c r="V15" s="940" t="s">
        <v>8</v>
      </c>
      <c r="W15" s="1687" t="str">
        <f>IF(U15=0,"",('XM.FILE GOC'!$G$100-U15)*8000/1000)</f>
        <v/>
      </c>
      <c r="X15" s="941" t="s">
        <v>9</v>
      </c>
      <c r="Y15" s="1886">
        <f>'XM.FILE GOC'!W100</f>
        <v>135.6</v>
      </c>
      <c r="Z15" s="1004" t="s">
        <v>8</v>
      </c>
      <c r="AA15" s="1005">
        <f>'XM.FILE GOC'!Z100</f>
        <v>0</v>
      </c>
      <c r="AB15" s="941" t="s">
        <v>9</v>
      </c>
      <c r="AC15" s="1670"/>
      <c r="AD15" s="940" t="s">
        <v>8</v>
      </c>
      <c r="AE15" s="1687" t="str">
        <f>IF(AC15=0,"",('XM.FILE GOC'!$G$100-AC15)*8000/1000)</f>
        <v/>
      </c>
      <c r="AF15" s="941" t="s">
        <v>9</v>
      </c>
      <c r="AG15" s="2559" t="s">
        <v>42</v>
      </c>
    </row>
    <row r="16" spans="1:38" s="7" customFormat="1" ht="57.75" customHeight="1">
      <c r="A16" s="2273">
        <v>6</v>
      </c>
      <c r="B16" s="3070" t="s">
        <v>124</v>
      </c>
      <c r="C16" s="3071"/>
      <c r="D16" s="3071"/>
      <c r="E16" s="3072"/>
      <c r="F16" s="2560" t="s">
        <v>5</v>
      </c>
      <c r="G16" s="2561" t="str">
        <f>'XM.GUI MAIL'!$E$101</f>
        <v>3.0-4.5</v>
      </c>
      <c r="H16" s="2562" t="str">
        <f>'XM.GUI MAIL'!$F$101</f>
        <v>(4.3±0.2)</v>
      </c>
      <c r="I16" s="2534">
        <f>'XM.FILE GOC'!I101</f>
        <v>4.0999999999999996</v>
      </c>
      <c r="J16" s="2543"/>
      <c r="K16" s="2544"/>
      <c r="L16" s="2545"/>
      <c r="M16" s="2538"/>
      <c r="N16" s="2563"/>
      <c r="O16" s="2564"/>
      <c r="P16" s="2565"/>
      <c r="Q16" s="2542">
        <f>'XM.FILE GOC'!P101</f>
        <v>4.0999999999999996</v>
      </c>
      <c r="R16" s="2543"/>
      <c r="S16" s="2544"/>
      <c r="T16" s="2545"/>
      <c r="U16" s="2538"/>
      <c r="V16" s="2563"/>
      <c r="W16" s="2564"/>
      <c r="X16" s="2565"/>
      <c r="Y16" s="2542">
        <f>'XM.FILE GOC'!W101</f>
        <v>4.0999999999999996</v>
      </c>
      <c r="Z16" s="2543"/>
      <c r="AA16" s="2544"/>
      <c r="AB16" s="2545"/>
      <c r="AC16" s="2538"/>
      <c r="AD16" s="2563"/>
      <c r="AE16" s="2564"/>
      <c r="AF16" s="2565"/>
      <c r="AG16" s="2566" t="s">
        <v>43</v>
      </c>
      <c r="AH16" s="8"/>
      <c r="AI16" s="8"/>
      <c r="AJ16" s="8"/>
      <c r="AK16" s="8"/>
      <c r="AL16" s="8"/>
    </row>
    <row r="17" spans="1:33" ht="57.75" hidden="1" customHeight="1">
      <c r="A17" s="2198">
        <v>7</v>
      </c>
      <c r="B17" s="3033" t="s">
        <v>958</v>
      </c>
      <c r="C17" s="3034"/>
      <c r="D17" s="3034"/>
      <c r="E17" s="3035"/>
      <c r="F17" s="2281" t="s">
        <v>6</v>
      </c>
      <c r="G17" s="1677" t="str">
        <f>'XM.FILE GOC'!$E$90</f>
        <v>40~50</v>
      </c>
      <c r="H17" s="2446" t="str">
        <f>'XM.FILE GOC'!$F$90</f>
        <v>(45±5)</v>
      </c>
      <c r="I17" s="2442">
        <f>'XM.FILE GOC'!I90</f>
        <v>0.46500000000000002</v>
      </c>
      <c r="J17" s="2283" t="s">
        <v>8</v>
      </c>
      <c r="K17" s="2284">
        <f>'XM.FILE GOC'!L90</f>
        <v>0</v>
      </c>
      <c r="L17" s="2285" t="s">
        <v>10</v>
      </c>
      <c r="M17" s="2514" t="str">
        <f>IF(I17&gt;44.99%,"",'3.XT-C kh.mau HALO'!M18)</f>
        <v/>
      </c>
      <c r="N17" s="2515" t="s">
        <v>8</v>
      </c>
      <c r="O17" s="2516" t="str">
        <f>IF(M17="","",('XM.FILE GOC'!$G$90-M17)*6723/2.6)</f>
        <v/>
      </c>
      <c r="P17" s="2517" t="s">
        <v>10</v>
      </c>
      <c r="Q17" s="2282">
        <f>'XM.FILE GOC'!P90</f>
        <v>0.46400000000000002</v>
      </c>
      <c r="R17" s="2283" t="s">
        <v>8</v>
      </c>
      <c r="S17" s="2284">
        <f>'XM.FILE GOC'!S90</f>
        <v>0</v>
      </c>
      <c r="T17" s="2285" t="s">
        <v>10</v>
      </c>
      <c r="U17" s="2514" t="str">
        <f>IF(Q17&gt;44.99%,"",'3.XT-C kh.mau HALO'!U18)</f>
        <v/>
      </c>
      <c r="V17" s="2515" t="s">
        <v>8</v>
      </c>
      <c r="W17" s="2516" t="str">
        <f>IF(U17="","",('XM.FILE GOC'!$G$90-U17)*6723/2.6)</f>
        <v/>
      </c>
      <c r="X17" s="2517" t="s">
        <v>10</v>
      </c>
      <c r="Y17" s="2282">
        <f>'XM.FILE GOC'!W90</f>
        <v>0.46</v>
      </c>
      <c r="Z17" s="2283" t="s">
        <v>8</v>
      </c>
      <c r="AA17" s="2284">
        <f>'XM.FILE GOC'!Z90</f>
        <v>0</v>
      </c>
      <c r="AB17" s="2285" t="s">
        <v>10</v>
      </c>
      <c r="AC17" s="2514" t="str">
        <f>IF(Y17&gt;44.99%,"",'3.XT-C kh.mau HALO'!AC18)</f>
        <v/>
      </c>
      <c r="AD17" s="2515" t="s">
        <v>8</v>
      </c>
      <c r="AE17" s="2516" t="str">
        <f>IF(AC17="","",('XM.FILE GOC'!$G$90-AC17)*6723/2.6)</f>
        <v/>
      </c>
      <c r="AF17" s="2517" t="s">
        <v>10</v>
      </c>
      <c r="AG17" s="2272" t="s">
        <v>44</v>
      </c>
    </row>
    <row r="18" spans="1:33" ht="57.75" hidden="1" customHeight="1">
      <c r="A18" s="2198">
        <v>8</v>
      </c>
      <c r="B18" s="2988" t="s">
        <v>959</v>
      </c>
      <c r="C18" s="2989"/>
      <c r="D18" s="2989"/>
      <c r="E18" s="2990"/>
      <c r="F18" s="660" t="s">
        <v>6</v>
      </c>
      <c r="G18" s="929" t="str">
        <f>'XM.FILE GOC'!$E$92</f>
        <v>40~50</v>
      </c>
      <c r="H18" s="2427" t="str">
        <f>'XM.FILE GOC'!$F$92</f>
        <v>(45±5)</v>
      </c>
      <c r="I18" s="2436">
        <f>'XM.FILE GOC'!I92</f>
        <v>0.45168749999999996</v>
      </c>
      <c r="J18" s="1004" t="s">
        <v>8</v>
      </c>
      <c r="K18" s="1005">
        <f>'XM.FILE GOC'!L92</f>
        <v>0</v>
      </c>
      <c r="L18" s="1006" t="s">
        <v>10</v>
      </c>
      <c r="M18" s="946" t="str">
        <f>IF(I18&gt;44.99%,"",'3.XT-C kh.mau HALO'!M19)</f>
        <v/>
      </c>
      <c r="N18" s="942" t="s">
        <v>8</v>
      </c>
      <c r="O18" s="1686" t="str">
        <f>IF(M18="","",('XM.FILE GOC'!$G$92-M18)*10509/2.6)</f>
        <v/>
      </c>
      <c r="P18" s="943" t="s">
        <v>10</v>
      </c>
      <c r="Q18" s="310">
        <f>'XM.FILE GOC'!P92</f>
        <v>0.43799999999999994</v>
      </c>
      <c r="R18" s="1004" t="s">
        <v>8</v>
      </c>
      <c r="S18" s="1005">
        <f>'XM.FILE GOC'!S92</f>
        <v>48.503076923077188</v>
      </c>
      <c r="T18" s="1006" t="s">
        <v>10</v>
      </c>
      <c r="U18" s="946">
        <f>IF(Q18&gt;44.99%,"",'3.XT-C kh.mau HALO'!U19)</f>
        <v>0.45200000000000001</v>
      </c>
      <c r="V18" s="942" t="s">
        <v>8</v>
      </c>
      <c r="W18" s="1686">
        <f>IF(U18="","",('XM.FILE GOC'!$G$92-U18)*10509/2.6)</f>
        <v>-8.0838461538461601</v>
      </c>
      <c r="X18" s="943" t="s">
        <v>10</v>
      </c>
      <c r="Y18" s="310">
        <f>'XM.FILE GOC'!W92</f>
        <v>0.45800000000000002</v>
      </c>
      <c r="Z18" s="1004" t="s">
        <v>8</v>
      </c>
      <c r="AA18" s="1005">
        <f>'XM.FILE GOC'!Z92</f>
        <v>0</v>
      </c>
      <c r="AB18" s="1006" t="s">
        <v>10</v>
      </c>
      <c r="AC18" s="946" t="str">
        <f>IF(Y18&gt;44.99%,"",'3.XT-C kh.mau HALO'!AC19)</f>
        <v/>
      </c>
      <c r="AD18" s="942" t="s">
        <v>8</v>
      </c>
      <c r="AE18" s="1686" t="str">
        <f>IF(AC18="","",('XM.FILE GOC'!$G$92-AC18)*10509/2.6)</f>
        <v/>
      </c>
      <c r="AF18" s="943" t="s">
        <v>10</v>
      </c>
      <c r="AG18" s="72" t="s">
        <v>44</v>
      </c>
    </row>
    <row r="19" spans="1:33" ht="57.75" hidden="1" customHeight="1">
      <c r="A19" s="2198">
        <v>9</v>
      </c>
      <c r="B19" s="2991" t="s">
        <v>83</v>
      </c>
      <c r="C19" s="2992"/>
      <c r="D19" s="2992"/>
      <c r="E19" s="2993"/>
      <c r="F19" s="660" t="s">
        <v>6</v>
      </c>
      <c r="G19" s="929" t="str">
        <f>'XM.FILE GOC'!$E$93</f>
        <v>10~20</v>
      </c>
      <c r="H19" s="2427" t="str">
        <f>'XM.FILE GOC'!$F$93</f>
        <v>(15±5)</v>
      </c>
      <c r="I19" s="2469">
        <f>'XM.FILE GOC'!I93</f>
        <v>0.1323125</v>
      </c>
      <c r="J19" s="1004" t="s">
        <v>8</v>
      </c>
      <c r="K19" s="1005">
        <f>'XM.FILE GOC'!L93</f>
        <v>19.724612068965513</v>
      </c>
      <c r="L19" s="1006" t="s">
        <v>10</v>
      </c>
      <c r="M19" s="946">
        <f>IF(I19&gt;14.99%,"",'3.XT-C kh.mau HALO'!M20)</f>
        <v>0.45200000000000001</v>
      </c>
      <c r="N19" s="940" t="s">
        <v>8</v>
      </c>
      <c r="O19" s="968">
        <f>IF(M19="","",('XM.FILE GOC'!$G$93-M19)*3234/2.9)</f>
        <v>-336.78206896551728</v>
      </c>
      <c r="P19" s="941" t="s">
        <v>10</v>
      </c>
      <c r="Q19" s="2469">
        <f>'XM.FILE GOC'!P93</f>
        <v>0.159</v>
      </c>
      <c r="R19" s="1004" t="s">
        <v>8</v>
      </c>
      <c r="S19" s="1005">
        <f>'XM.FILE GOC'!S93</f>
        <v>0</v>
      </c>
      <c r="T19" s="1006" t="s">
        <v>10</v>
      </c>
      <c r="U19" s="946" t="str">
        <f>IF(Q19&gt;14.99%,"",'3.XT-C kh.mau HALO'!U20)</f>
        <v/>
      </c>
      <c r="V19" s="940" t="s">
        <v>8</v>
      </c>
      <c r="W19" s="968" t="str">
        <f>IF(U19="","",('XM.FILE GOC'!$G$93-U19)*3234/2.9)</f>
        <v/>
      </c>
      <c r="X19" s="941" t="s">
        <v>10</v>
      </c>
      <c r="Y19" s="2469">
        <f>'XM.FILE GOC'!W93</f>
        <v>0.154</v>
      </c>
      <c r="Z19" s="1004" t="s">
        <v>8</v>
      </c>
      <c r="AA19" s="1005">
        <f>'XM.FILE GOC'!Z93</f>
        <v>0</v>
      </c>
      <c r="AB19" s="1006" t="s">
        <v>10</v>
      </c>
      <c r="AC19" s="946" t="str">
        <f>IF(Y19&gt;14.99%,"",'3.XT-C kh.mau HALO'!AC20)</f>
        <v/>
      </c>
      <c r="AD19" s="940" t="s">
        <v>8</v>
      </c>
      <c r="AE19" s="968" t="str">
        <f>IF(AC19="","",('XM.FILE GOC'!$G$93-AC19)*3234/2.9)</f>
        <v/>
      </c>
      <c r="AF19" s="941" t="s">
        <v>10</v>
      </c>
      <c r="AG19" s="2197" t="s">
        <v>45</v>
      </c>
    </row>
    <row r="20" spans="1:33" ht="57.75" hidden="1" customHeight="1">
      <c r="A20" s="2198">
        <v>10</v>
      </c>
      <c r="B20" s="2991" t="s">
        <v>960</v>
      </c>
      <c r="C20" s="2992" t="s">
        <v>960</v>
      </c>
      <c r="D20" s="2992" t="s">
        <v>960</v>
      </c>
      <c r="E20" s="2993" t="s">
        <v>960</v>
      </c>
      <c r="F20" s="660" t="s">
        <v>6</v>
      </c>
      <c r="G20" s="929" t="str">
        <f>'XM.FILE GOC'!$E$94</f>
        <v>(1±0.4)=0.6~1.4</v>
      </c>
      <c r="H20" s="2427" t="str">
        <f>'XM.FILE GOC'!$F$94</f>
        <v>(1±0.4)</v>
      </c>
      <c r="I20" s="2443">
        <f>'XM.FILE GOC'!I94</f>
        <v>1.0500000000000001E-2</v>
      </c>
      <c r="J20" s="1004" t="s">
        <v>8</v>
      </c>
      <c r="K20" s="1008">
        <f>'XM.FILE GOC'!L94</f>
        <v>0</v>
      </c>
      <c r="L20" s="1009" t="s">
        <v>10</v>
      </c>
      <c r="M20" s="1669" t="str">
        <f>IF(I20&gt;0.99%,"",'3.XT-C kh.mau HALO'!M21)</f>
        <v/>
      </c>
      <c r="N20" s="979" t="s">
        <v>8</v>
      </c>
      <c r="O20" s="1688" t="str">
        <f>IF(M20="","",('XM.FILE GOC'!$G$94-M20)*2808)</f>
        <v/>
      </c>
      <c r="P20" s="949" t="s">
        <v>10</v>
      </c>
      <c r="Q20" s="312">
        <f>'XM.FILE GOC'!P94</f>
        <v>1.0200000000000001E-2</v>
      </c>
      <c r="R20" s="1004" t="s">
        <v>8</v>
      </c>
      <c r="S20" s="1008">
        <f>'XM.FILE GOC'!S94</f>
        <v>0</v>
      </c>
      <c r="T20" s="1009" t="s">
        <v>10</v>
      </c>
      <c r="U20" s="1669" t="str">
        <f>IF(Q20&gt;0.99%,"",'3.XT-C kh.mau HALO'!U21)</f>
        <v/>
      </c>
      <c r="V20" s="979" t="s">
        <v>8</v>
      </c>
      <c r="W20" s="1688" t="str">
        <f>IF(U20="","",('XM.FILE GOC'!$G$94-U20)*2808)</f>
        <v/>
      </c>
      <c r="X20" s="949" t="s">
        <v>10</v>
      </c>
      <c r="Y20" s="312">
        <f>'XM.FILE GOC'!W94</f>
        <v>0.01</v>
      </c>
      <c r="Z20" s="1004" t="s">
        <v>8</v>
      </c>
      <c r="AA20" s="1008">
        <f>'XM.FILE GOC'!Z94</f>
        <v>0</v>
      </c>
      <c r="AB20" s="1009" t="s">
        <v>10</v>
      </c>
      <c r="AC20" s="1669" t="str">
        <f>IF(Y20&gt;0.99%,"",'3.XT-C kh.mau HALO'!AC21)</f>
        <v/>
      </c>
      <c r="AD20" s="979" t="s">
        <v>8</v>
      </c>
      <c r="AE20" s="1688" t="str">
        <f>IF(AC20="","",('XM.FILE GOC'!$G$94-AC20)*2808)</f>
        <v/>
      </c>
      <c r="AF20" s="949" t="s">
        <v>10</v>
      </c>
      <c r="AG20" s="2197" t="s">
        <v>45</v>
      </c>
    </row>
    <row r="21" spans="1:33" ht="57.75" customHeight="1">
      <c r="A21" s="2198"/>
      <c r="B21" s="2999" t="s">
        <v>2</v>
      </c>
      <c r="C21" s="2999"/>
      <c r="D21" s="2999"/>
      <c r="E21" s="2999"/>
      <c r="F21" s="2999"/>
      <c r="G21" s="2999"/>
      <c r="H21" s="2999"/>
      <c r="I21" s="2999"/>
      <c r="J21" s="2999"/>
      <c r="K21" s="2999"/>
      <c r="L21" s="2999"/>
      <c r="M21" s="2999"/>
      <c r="N21" s="2999"/>
      <c r="O21" s="2999"/>
      <c r="P21" s="2999"/>
      <c r="Q21" s="2999"/>
      <c r="R21" s="2999"/>
      <c r="S21" s="2999"/>
      <c r="T21" s="2999"/>
      <c r="U21" s="2999"/>
      <c r="V21" s="2999"/>
      <c r="W21" s="2999"/>
      <c r="X21" s="2999"/>
      <c r="Y21" s="2999"/>
      <c r="Z21" s="2999"/>
      <c r="AA21" s="2999"/>
      <c r="AB21" s="2999"/>
      <c r="AC21" s="2999"/>
      <c r="AD21" s="2999"/>
      <c r="AE21" s="2999"/>
      <c r="AF21" s="2999"/>
      <c r="AG21" s="2999"/>
    </row>
    <row r="22" spans="1:33" ht="57.75" customHeight="1">
      <c r="A22" s="2198" t="s">
        <v>7</v>
      </c>
      <c r="B22" s="2965" t="s">
        <v>961</v>
      </c>
      <c r="C22" s="2966"/>
      <c r="D22" s="2966"/>
      <c r="E22" s="2967"/>
      <c r="F22" s="1010" t="s">
        <v>962</v>
      </c>
      <c r="G22" s="1010" t="s">
        <v>1325</v>
      </c>
      <c r="H22" s="2429" t="s">
        <v>1317</v>
      </c>
      <c r="I22" s="3000" t="s">
        <v>963</v>
      </c>
      <c r="J22" s="3001"/>
      <c r="K22" s="3002" t="s">
        <v>964</v>
      </c>
      <c r="L22" s="3001"/>
      <c r="M22" s="950"/>
      <c r="N22" s="951"/>
      <c r="O22" s="951"/>
      <c r="P22" s="952"/>
      <c r="Q22" s="3002" t="s">
        <v>963</v>
      </c>
      <c r="R22" s="3001"/>
      <c r="S22" s="3002" t="s">
        <v>964</v>
      </c>
      <c r="T22" s="3001"/>
      <c r="U22" s="950"/>
      <c r="V22" s="951"/>
      <c r="W22" s="951"/>
      <c r="X22" s="952"/>
      <c r="Y22" s="3002" t="s">
        <v>963</v>
      </c>
      <c r="Z22" s="3001"/>
      <c r="AA22" s="3002" t="s">
        <v>964</v>
      </c>
      <c r="AB22" s="3001"/>
      <c r="AC22" s="950"/>
      <c r="AD22" s="951"/>
      <c r="AE22" s="951"/>
      <c r="AF22" s="952"/>
      <c r="AG22" s="10"/>
    </row>
    <row r="23" spans="1:33" ht="57.75" hidden="1" customHeight="1">
      <c r="A23" s="2198">
        <v>1</v>
      </c>
      <c r="B23" s="2965" t="s">
        <v>965</v>
      </c>
      <c r="C23" s="2966"/>
      <c r="D23" s="2966"/>
      <c r="E23" s="2967"/>
      <c r="F23" s="1011" t="s">
        <v>966</v>
      </c>
      <c r="G23" s="929" t="str">
        <f>'XM.FILE GOC'!$E$104</f>
        <v>50~70</v>
      </c>
      <c r="H23" s="2427" t="str">
        <f>'XM.FILE GOC'!$F$104</f>
        <v>(60±5)</v>
      </c>
      <c r="I23" s="2934">
        <f>'3.XT-C kh.mau HALO'!I26:J26</f>
        <v>60</v>
      </c>
      <c r="J23" s="2867"/>
      <c r="K23" s="2867">
        <f>'3.XT-C kh.mau HALO'!K26:L26</f>
        <v>60</v>
      </c>
      <c r="L23" s="2867"/>
      <c r="M23" s="953"/>
      <c r="N23" s="954"/>
      <c r="O23" s="954"/>
      <c r="P23" s="955"/>
      <c r="Q23" s="2867">
        <f>'3.XT-C kh.mau HALO'!Q26:R26</f>
        <v>60</v>
      </c>
      <c r="R23" s="2867"/>
      <c r="S23" s="2867">
        <f>'3.XT-C kh.mau HALO'!S26:T26</f>
        <v>60</v>
      </c>
      <c r="T23" s="2867"/>
      <c r="U23" s="953"/>
      <c r="V23" s="954"/>
      <c r="W23" s="954"/>
      <c r="X23" s="955"/>
      <c r="Y23" s="2867">
        <f>'3.XT-C kh.mau HALO'!Y26:Z26</f>
        <v>60</v>
      </c>
      <c r="Z23" s="2867"/>
      <c r="AA23" s="2867">
        <f>'3.XT-C kh.mau HALO'!AA26:AB26</f>
        <v>60</v>
      </c>
      <c r="AB23" s="2867"/>
      <c r="AC23" s="953"/>
      <c r="AD23" s="954"/>
      <c r="AE23" s="954"/>
      <c r="AF23" s="955"/>
      <c r="AG23" s="2199"/>
    </row>
    <row r="24" spans="1:33" ht="57.75" hidden="1" customHeight="1">
      <c r="A24" s="2198">
        <v>2</v>
      </c>
      <c r="B24" s="2965" t="s">
        <v>967</v>
      </c>
      <c r="C24" s="2966"/>
      <c r="D24" s="2966"/>
      <c r="E24" s="2967"/>
      <c r="F24" s="1011" t="s">
        <v>966</v>
      </c>
      <c r="G24" s="929" t="str">
        <f>'XM.FILE GOC'!$E$105</f>
        <v>50~70</v>
      </c>
      <c r="H24" s="2427" t="str">
        <f>'XM.FILE GOC'!$F$105</f>
        <v>(60±5)</v>
      </c>
      <c r="I24" s="2934">
        <f>'3.XT-C kh.mau HALO'!I27:J27</f>
        <v>61</v>
      </c>
      <c r="J24" s="2867"/>
      <c r="K24" s="2867">
        <f>'3.XT-C kh.mau HALO'!K27:L27</f>
        <v>61</v>
      </c>
      <c r="L24" s="2867"/>
      <c r="M24" s="953"/>
      <c r="N24" s="954"/>
      <c r="O24" s="954"/>
      <c r="P24" s="955"/>
      <c r="Q24" s="2867">
        <f>'3.XT-C kh.mau HALO'!Q27:R27</f>
        <v>60</v>
      </c>
      <c r="R24" s="2867"/>
      <c r="S24" s="2867">
        <f>'3.XT-C kh.mau HALO'!S27:T27</f>
        <v>60</v>
      </c>
      <c r="T24" s="2867"/>
      <c r="U24" s="953"/>
      <c r="V24" s="954"/>
      <c r="W24" s="954"/>
      <c r="X24" s="955"/>
      <c r="Y24" s="2867">
        <f>'3.XT-C kh.mau HALO'!Y27:Z27</f>
        <v>61</v>
      </c>
      <c r="Z24" s="2867"/>
      <c r="AA24" s="2867">
        <f>'3.XT-C kh.mau HALO'!AA27:AB27</f>
        <v>60</v>
      </c>
      <c r="AB24" s="2867"/>
      <c r="AC24" s="953"/>
      <c r="AD24" s="954"/>
      <c r="AE24" s="954"/>
      <c r="AF24" s="955"/>
      <c r="AG24" s="2199"/>
    </row>
    <row r="25" spans="1:33" ht="57.75" hidden="1" customHeight="1">
      <c r="A25" s="2198">
        <v>3</v>
      </c>
      <c r="B25" s="2965" t="s">
        <v>968</v>
      </c>
      <c r="C25" s="2966"/>
      <c r="D25" s="2966"/>
      <c r="E25" s="2967"/>
      <c r="F25" s="1011" t="s">
        <v>966</v>
      </c>
      <c r="G25" s="929" t="str">
        <f>'XM.FILE GOC'!$E$106</f>
        <v>50~70</v>
      </c>
      <c r="H25" s="2427" t="str">
        <f>'XM.FILE GOC'!$F$106</f>
        <v>(60±5)</v>
      </c>
      <c r="I25" s="2934">
        <f>'3.XT-C kh.mau HALO'!I28:J28</f>
        <v>61</v>
      </c>
      <c r="J25" s="2867"/>
      <c r="K25" s="2867">
        <f>'3.XT-C kh.mau HALO'!K28:L28</f>
        <v>60</v>
      </c>
      <c r="L25" s="2867"/>
      <c r="M25" s="953"/>
      <c r="N25" s="954"/>
      <c r="O25" s="954"/>
      <c r="P25" s="955"/>
      <c r="Q25" s="2867">
        <f>'3.XT-C kh.mau HALO'!Q28:R28</f>
        <v>60</v>
      </c>
      <c r="R25" s="2867"/>
      <c r="S25" s="2867">
        <f>'3.XT-C kh.mau HALO'!S28:T28</f>
        <v>60</v>
      </c>
      <c r="T25" s="2867"/>
      <c r="U25" s="953"/>
      <c r="V25" s="954"/>
      <c r="W25" s="954"/>
      <c r="X25" s="955"/>
      <c r="Y25" s="2867">
        <f>'3.XT-C kh.mau HALO'!Y28:Z28</f>
        <v>59</v>
      </c>
      <c r="Z25" s="2867"/>
      <c r="AA25" s="2867">
        <f>'3.XT-C kh.mau HALO'!AA28:AB28</f>
        <v>58</v>
      </c>
      <c r="AB25" s="2867"/>
      <c r="AC25" s="953"/>
      <c r="AD25" s="954"/>
      <c r="AE25" s="954"/>
      <c r="AF25" s="955"/>
      <c r="AG25" s="2199"/>
    </row>
    <row r="26" spans="1:33" ht="57.75" hidden="1" customHeight="1">
      <c r="A26" s="2198">
        <v>4</v>
      </c>
      <c r="B26" s="2965" t="s">
        <v>969</v>
      </c>
      <c r="C26" s="2966"/>
      <c r="D26" s="2966"/>
      <c r="E26" s="2967"/>
      <c r="F26" s="1011" t="s">
        <v>966</v>
      </c>
      <c r="G26" s="929" t="str">
        <f>'XM.FILE GOC'!$E$107</f>
        <v>50~70</v>
      </c>
      <c r="H26" s="2427" t="str">
        <f>'XM.FILE GOC'!$F$107</f>
        <v>(60±5)</v>
      </c>
      <c r="I26" s="2934">
        <f>'3.XT-C kh.mau HALO'!I29:J29</f>
        <v>62</v>
      </c>
      <c r="J26" s="2867"/>
      <c r="K26" s="2867">
        <f>'3.XT-C kh.mau HALO'!K29:L29</f>
        <v>63</v>
      </c>
      <c r="L26" s="2867"/>
      <c r="M26" s="953"/>
      <c r="N26" s="954"/>
      <c r="O26" s="954"/>
      <c r="P26" s="955"/>
      <c r="Q26" s="2867">
        <f>'3.XT-C kh.mau HALO'!Q29:R29</f>
        <v>63</v>
      </c>
      <c r="R26" s="2867"/>
      <c r="S26" s="2867">
        <f>'3.XT-C kh.mau HALO'!S29:T29</f>
        <v>64</v>
      </c>
      <c r="T26" s="2867"/>
      <c r="U26" s="953"/>
      <c r="V26" s="954"/>
      <c r="W26" s="954"/>
      <c r="X26" s="955"/>
      <c r="Y26" s="2867">
        <f>'3.XT-C kh.mau HALO'!Y29:Z29</f>
        <v>63</v>
      </c>
      <c r="Z26" s="2867"/>
      <c r="AA26" s="2867">
        <f>'3.XT-C kh.mau HALO'!AA29:AB29</f>
        <v>63</v>
      </c>
      <c r="AB26" s="2867"/>
      <c r="AC26" s="953"/>
      <c r="AD26" s="954"/>
      <c r="AE26" s="954"/>
      <c r="AF26" s="955"/>
      <c r="AG26" s="2199"/>
    </row>
    <row r="27" spans="1:33" ht="57.75" customHeight="1">
      <c r="A27" s="1680">
        <v>5</v>
      </c>
      <c r="B27" s="3062" t="s">
        <v>118</v>
      </c>
      <c r="C27" s="3063"/>
      <c r="D27" s="3063"/>
      <c r="E27" s="3064"/>
      <c r="F27" s="2207" t="s">
        <v>26</v>
      </c>
      <c r="G27" s="2208" t="str">
        <f>'XM.GUI MAIL'!$E$116</f>
        <v>24~28</v>
      </c>
      <c r="H27" s="2447" t="str">
        <f>'XM.GUI MAIL'!$F$116</f>
        <v>(26±2)</v>
      </c>
      <c r="I27" s="3065">
        <f>'XM.FILE GOC'!I116</f>
        <v>26</v>
      </c>
      <c r="J27" s="2841"/>
      <c r="K27" s="2840">
        <f>'XM.FILE GOC'!L116</f>
        <v>25</v>
      </c>
      <c r="L27" s="2841"/>
      <c r="M27" s="953"/>
      <c r="N27" s="954"/>
      <c r="O27" s="954"/>
      <c r="P27" s="955"/>
      <c r="Q27" s="2840">
        <f>'XM.FILE GOC'!P116</f>
        <v>25</v>
      </c>
      <c r="R27" s="2841"/>
      <c r="S27" s="2840">
        <f>'XM.FILE GOC'!S116</f>
        <v>25</v>
      </c>
      <c r="T27" s="2841"/>
      <c r="U27" s="953"/>
      <c r="V27" s="954"/>
      <c r="W27" s="954"/>
      <c r="X27" s="955"/>
      <c r="Y27" s="2840">
        <f>'XM.FILE GOC'!W116</f>
        <v>26</v>
      </c>
      <c r="Z27" s="2841"/>
      <c r="AA27" s="2840">
        <f>'XM.FILE GOC'!Z116</f>
        <v>26</v>
      </c>
      <c r="AB27" s="2841"/>
      <c r="AC27" s="953"/>
      <c r="AD27" s="954"/>
      <c r="AE27" s="954"/>
      <c r="AF27" s="955"/>
      <c r="AG27" s="77"/>
    </row>
    <row r="28" spans="1:33" ht="57.75" customHeight="1">
      <c r="A28" s="1672">
        <v>6</v>
      </c>
      <c r="B28" s="3062" t="s">
        <v>122</v>
      </c>
      <c r="C28" s="3063"/>
      <c r="D28" s="3063"/>
      <c r="E28" s="3064"/>
      <c r="F28" s="2207" t="s">
        <v>26</v>
      </c>
      <c r="G28" s="2208" t="str">
        <f>'XM.GUI MAIL'!$E$117</f>
        <v>20~30</v>
      </c>
      <c r="H28" s="2447" t="str">
        <f>'XM.GUI MAIL'!$F$117</f>
        <v>(25±5)</v>
      </c>
      <c r="I28" s="3065">
        <f>'XM.FILE GOC'!I117</f>
        <v>28</v>
      </c>
      <c r="J28" s="2841"/>
      <c r="K28" s="2840">
        <f>'XM.FILE GOC'!L117</f>
        <v>28</v>
      </c>
      <c r="L28" s="3066"/>
      <c r="M28" s="953"/>
      <c r="N28" s="954"/>
      <c r="O28" s="954"/>
      <c r="P28" s="955"/>
      <c r="Q28" s="2840">
        <f>'XM.FILE GOC'!P117</f>
        <v>29</v>
      </c>
      <c r="R28" s="2841"/>
      <c r="S28" s="2840">
        <f>'XM.FILE GOC'!S117</f>
        <v>28</v>
      </c>
      <c r="T28" s="3066"/>
      <c r="U28" s="953"/>
      <c r="V28" s="954"/>
      <c r="W28" s="954"/>
      <c r="X28" s="955"/>
      <c r="Y28" s="2840">
        <f>'XM.FILE GOC'!W117</f>
        <v>29</v>
      </c>
      <c r="Z28" s="2841"/>
      <c r="AA28" s="2969">
        <f>'XM.FILE GOC'!Z117</f>
        <v>28</v>
      </c>
      <c r="AB28" s="2969"/>
      <c r="AC28" s="954"/>
      <c r="AD28" s="954"/>
      <c r="AE28" s="954"/>
      <c r="AF28" s="955"/>
      <c r="AG28" s="1679"/>
    </row>
    <row r="29" spans="1:33" ht="57.75" hidden="1" customHeight="1">
      <c r="A29" s="1681">
        <v>7</v>
      </c>
      <c r="B29" s="3043" t="s">
        <v>972</v>
      </c>
      <c r="C29" s="3044"/>
      <c r="D29" s="3044"/>
      <c r="E29" s="3045"/>
      <c r="F29" s="1676" t="s">
        <v>966</v>
      </c>
      <c r="G29" s="1677" t="str">
        <f>'XM.FILE GOC'!$E$110</f>
        <v>55~65</v>
      </c>
      <c r="H29" s="2446" t="str">
        <f>'XM.FILE GOC'!$F$110</f>
        <v>(60±5)</v>
      </c>
      <c r="I29" s="2934">
        <f>'3.XT-C kh.mau HALO'!I32</f>
        <v>57</v>
      </c>
      <c r="J29" s="2867"/>
      <c r="K29" s="2867">
        <f>'3.XT-C kh.mau HALO'!K32</f>
        <v>58</v>
      </c>
      <c r="L29" s="2867"/>
      <c r="M29" s="953"/>
      <c r="N29" s="954"/>
      <c r="O29" s="954"/>
      <c r="P29" s="955"/>
      <c r="Q29" s="2867">
        <f>'3.XT-C kh.mau HALO'!Q32</f>
        <v>62</v>
      </c>
      <c r="R29" s="2867"/>
      <c r="S29" s="2867">
        <f>'3.XT-C kh.mau HALO'!S32</f>
        <v>61</v>
      </c>
      <c r="T29" s="2867"/>
      <c r="U29" s="953"/>
      <c r="V29" s="954"/>
      <c r="W29" s="954"/>
      <c r="X29" s="955"/>
      <c r="Y29" s="2867">
        <f>'3.XT-C kh.mau HALO'!Y32</f>
        <v>58</v>
      </c>
      <c r="Z29" s="2867"/>
      <c r="AA29" s="2867">
        <f>'3.XT-C kh.mau HALO'!AA32</f>
        <v>57</v>
      </c>
      <c r="AB29" s="2867"/>
      <c r="AC29" s="953"/>
      <c r="AD29" s="954"/>
      <c r="AE29" s="954"/>
      <c r="AF29" s="955"/>
      <c r="AG29" s="1678"/>
    </row>
    <row r="30" spans="1:33" ht="57.75" hidden="1" customHeight="1">
      <c r="A30" s="2198">
        <v>8</v>
      </c>
      <c r="B30" s="2965" t="s">
        <v>973</v>
      </c>
      <c r="C30" s="2966"/>
      <c r="D30" s="2966"/>
      <c r="E30" s="2967"/>
      <c r="F30" s="1011" t="s">
        <v>966</v>
      </c>
      <c r="G30" s="929" t="str">
        <f>'XM.FILE GOC'!$E$111</f>
        <v>80~100</v>
      </c>
      <c r="H30" s="2427" t="str">
        <f>'XM.FILE GOC'!$F$111</f>
        <v>(90±5)</v>
      </c>
      <c r="I30" s="3001" t="str">
        <f>'3.XT-C kh.mau HALO'!I33</f>
        <v>\</v>
      </c>
      <c r="J30" s="3008"/>
      <c r="K30" s="2867">
        <f>'3.XT-C kh.mau HALO'!K33</f>
        <v>94</v>
      </c>
      <c r="L30" s="2867"/>
      <c r="M30" s="953"/>
      <c r="N30" s="954"/>
      <c r="O30" s="954"/>
      <c r="P30" s="955"/>
      <c r="Q30" s="3008" t="str">
        <f>'3.XT-C kh.mau HALO'!Q33</f>
        <v>\</v>
      </c>
      <c r="R30" s="3008"/>
      <c r="S30" s="2867">
        <f>'3.XT-C kh.mau HALO'!S33</f>
        <v>92</v>
      </c>
      <c r="T30" s="2867"/>
      <c r="U30" s="953"/>
      <c r="V30" s="954"/>
      <c r="W30" s="954"/>
      <c r="X30" s="955"/>
      <c r="Y30" s="3008" t="str">
        <f>'3.XT-C kh.mau HALO'!Y33</f>
        <v>\</v>
      </c>
      <c r="Z30" s="3008"/>
      <c r="AA30" s="2867">
        <f>'3.XT-C kh.mau HALO'!AA33</f>
        <v>94</v>
      </c>
      <c r="AB30" s="2867"/>
      <c r="AC30" s="953"/>
      <c r="AD30" s="954"/>
      <c r="AE30" s="954"/>
      <c r="AF30" s="955"/>
      <c r="AG30" s="2199"/>
    </row>
    <row r="31" spans="1:33" ht="57.75" hidden="1" customHeight="1">
      <c r="A31" s="2198">
        <v>9</v>
      </c>
      <c r="B31" s="3005" t="s">
        <v>1302</v>
      </c>
      <c r="C31" s="3006"/>
      <c r="D31" s="3006"/>
      <c r="E31" s="3007"/>
      <c r="F31" s="1011" t="s">
        <v>966</v>
      </c>
      <c r="G31" s="929" t="str">
        <f>'XM.FILE GOC'!$E$112</f>
        <v>40~60</v>
      </c>
      <c r="H31" s="2427" t="str">
        <f>'XM.FILE GOC'!$F$112</f>
        <v>(50±10)</v>
      </c>
      <c r="I31" s="3003">
        <f>'3.XT-C kh.mau HALO'!I34</f>
        <v>52</v>
      </c>
      <c r="J31" s="3004"/>
      <c r="K31" s="3004">
        <f>'3.XT-C kh.mau HALO'!K34</f>
        <v>51</v>
      </c>
      <c r="L31" s="3004"/>
      <c r="M31" s="953"/>
      <c r="N31" s="954"/>
      <c r="O31" s="954"/>
      <c r="P31" s="955"/>
      <c r="Q31" s="3004">
        <f>'3.XT-C kh.mau HALO'!Q34</f>
        <v>52</v>
      </c>
      <c r="R31" s="3004"/>
      <c r="S31" s="3004">
        <f>'3.XT-C kh.mau HALO'!S34</f>
        <v>51</v>
      </c>
      <c r="T31" s="3004"/>
      <c r="U31" s="953"/>
      <c r="V31" s="954"/>
      <c r="W31" s="954"/>
      <c r="X31" s="955"/>
      <c r="Y31" s="3004">
        <f>'3.XT-C kh.mau HALO'!Y34</f>
        <v>52</v>
      </c>
      <c r="Z31" s="3004"/>
      <c r="AA31" s="3004">
        <f>'3.XT-C kh.mau HALO'!AA34</f>
        <v>52</v>
      </c>
      <c r="AB31" s="3004"/>
      <c r="AC31" s="953"/>
      <c r="AD31" s="954"/>
      <c r="AE31" s="954"/>
      <c r="AF31" s="955"/>
      <c r="AG31" s="2199"/>
    </row>
    <row r="32" spans="1:33" ht="57.75" hidden="1" customHeight="1">
      <c r="A32" s="2198">
        <v>10</v>
      </c>
      <c r="B32" s="3067" t="s">
        <v>1305</v>
      </c>
      <c r="C32" s="3068"/>
      <c r="D32" s="3068"/>
      <c r="E32" s="3069"/>
      <c r="F32" s="2209" t="s">
        <v>966</v>
      </c>
      <c r="G32" s="929" t="str">
        <f>'XM.FILE GOC'!$E$113</f>
        <v>50~70</v>
      </c>
      <c r="H32" s="2427" t="str">
        <f>'XM.FILE GOC'!$F$113</f>
        <v>(60±10)</v>
      </c>
      <c r="I32" s="3003">
        <f>'3.XT-C kh.mau HALO'!I35</f>
        <v>54</v>
      </c>
      <c r="J32" s="3004"/>
      <c r="K32" s="3004">
        <f>'3.XT-C kh.mau HALO'!K35</f>
        <v>53</v>
      </c>
      <c r="L32" s="3004"/>
      <c r="M32" s="953"/>
      <c r="N32" s="954"/>
      <c r="O32" s="954"/>
      <c r="P32" s="955"/>
      <c r="Q32" s="3004">
        <f>'3.XT-C kh.mau HALO'!Q35</f>
        <v>57</v>
      </c>
      <c r="R32" s="3004"/>
      <c r="S32" s="3004">
        <f>'3.XT-C kh.mau HALO'!S35</f>
        <v>58</v>
      </c>
      <c r="T32" s="3004"/>
      <c r="U32" s="953"/>
      <c r="V32" s="954"/>
      <c r="W32" s="954"/>
      <c r="X32" s="955"/>
      <c r="Y32" s="3004">
        <f>'3.XT-C kh.mau HALO'!Y35</f>
        <v>60</v>
      </c>
      <c r="Z32" s="3004"/>
      <c r="AA32" s="3004">
        <f>'3.XT-C kh.mau HALO'!AA35</f>
        <v>61</v>
      </c>
      <c r="AB32" s="3004"/>
      <c r="AC32" s="953"/>
      <c r="AD32" s="954"/>
      <c r="AE32" s="954"/>
      <c r="AF32" s="955"/>
      <c r="AG32" s="2199"/>
    </row>
    <row r="33" spans="1:33" ht="27.75" customHeight="1">
      <c r="A33" s="1012"/>
      <c r="B33" s="930"/>
      <c r="C33" s="930"/>
      <c r="D33" s="930"/>
      <c r="E33" s="930"/>
      <c r="F33" s="1013"/>
      <c r="G33" s="1013"/>
      <c r="H33" s="1013"/>
      <c r="I33" s="1013"/>
      <c r="J33" s="1013"/>
      <c r="K33" s="1013"/>
      <c r="L33" s="1013"/>
      <c r="M33" s="976"/>
      <c r="N33" s="976"/>
      <c r="O33" s="976"/>
      <c r="P33" s="976"/>
      <c r="Q33" s="1013"/>
      <c r="R33" s="1013"/>
      <c r="S33" s="1013"/>
      <c r="T33" s="1013"/>
      <c r="U33" s="976"/>
      <c r="V33" s="976"/>
      <c r="W33" s="976"/>
      <c r="X33" s="976"/>
      <c r="Y33" s="1013"/>
      <c r="Z33" s="1013"/>
      <c r="AA33" s="1013"/>
      <c r="AB33" s="1013"/>
      <c r="AC33" s="976"/>
      <c r="AD33" s="976"/>
      <c r="AE33" s="976"/>
      <c r="AF33" s="976"/>
      <c r="AG33" s="65"/>
    </row>
    <row r="34" spans="1:33" ht="42" customHeight="1">
      <c r="A34" s="2970" t="s">
        <v>136</v>
      </c>
      <c r="B34" s="2970"/>
      <c r="C34" s="2970"/>
      <c r="D34" s="2970"/>
      <c r="E34" s="2970"/>
      <c r="F34" s="2970"/>
      <c r="G34" s="2970"/>
      <c r="H34" s="2970"/>
      <c r="I34" s="2970"/>
      <c r="J34" s="2970"/>
      <c r="K34" s="2970"/>
      <c r="L34" s="2970"/>
      <c r="M34" s="2970"/>
      <c r="N34" s="2970"/>
      <c r="O34" s="2970"/>
      <c r="P34" s="2970"/>
      <c r="Q34" s="2970"/>
      <c r="R34" s="2970"/>
      <c r="S34" s="2970"/>
      <c r="T34" s="2970"/>
      <c r="U34" s="2970"/>
      <c r="V34" s="2970"/>
      <c r="W34" s="2970"/>
      <c r="X34" s="2970"/>
      <c r="Y34" s="2970"/>
      <c r="Z34" s="2970"/>
      <c r="AA34" s="1017"/>
      <c r="AB34" s="1017"/>
      <c r="AC34" s="978"/>
      <c r="AD34" s="978"/>
      <c r="AE34" s="978"/>
      <c r="AF34" s="978"/>
      <c r="AG34" s="64"/>
    </row>
    <row r="35" spans="1:33" ht="51" customHeight="1">
      <c r="A35" s="2971" t="s">
        <v>1531</v>
      </c>
      <c r="B35" s="2971"/>
      <c r="C35" s="2971"/>
      <c r="D35" s="2971"/>
      <c r="E35" s="2971"/>
      <c r="F35" s="2971"/>
      <c r="G35" s="2971"/>
      <c r="H35" s="2971"/>
      <c r="I35" s="2971"/>
      <c r="J35" s="2971"/>
      <c r="K35" s="2971"/>
      <c r="L35" s="2971"/>
      <c r="M35" s="2971"/>
      <c r="N35" s="2971"/>
      <c r="O35" s="2971"/>
      <c r="P35" s="2971"/>
      <c r="Q35" s="2971"/>
      <c r="R35" s="2971"/>
      <c r="S35" s="2971"/>
      <c r="T35" s="2971"/>
      <c r="U35" s="2971"/>
      <c r="V35" s="2971"/>
      <c r="W35" s="2971"/>
      <c r="X35" s="2971"/>
      <c r="Y35" s="2971"/>
      <c r="Z35" s="2971"/>
      <c r="AA35" s="2948"/>
      <c r="AB35" s="2948"/>
      <c r="AC35" s="972"/>
      <c r="AD35" s="2861" t="s">
        <v>89</v>
      </c>
      <c r="AE35" s="2861"/>
      <c r="AF35" s="2863" t="s">
        <v>90</v>
      </c>
      <c r="AG35" s="2864"/>
    </row>
    <row r="36" spans="1:33" ht="40.5" customHeight="1">
      <c r="A36" s="1001"/>
      <c r="B36" s="1496" t="s">
        <v>128</v>
      </c>
      <c r="C36" s="1497"/>
      <c r="D36" s="1464"/>
      <c r="E36" s="1465"/>
      <c r="F36" s="1466"/>
      <c r="G36" s="1462"/>
      <c r="H36" s="1930" t="str">
        <f>MENU!$AC$9</f>
        <v>Thứ 3,</v>
      </c>
      <c r="I36" s="2901" t="str">
        <f>MENU!$AD$9</f>
        <v>2024/01/09</v>
      </c>
      <c r="J36" s="2902"/>
      <c r="K36" s="2902"/>
      <c r="L36" s="2902"/>
      <c r="M36" s="975"/>
      <c r="N36" s="975"/>
      <c r="O36" s="975"/>
      <c r="P36" s="975"/>
      <c r="Q36" s="1003"/>
      <c r="R36" s="1003"/>
      <c r="S36" s="1003"/>
      <c r="T36" s="1003"/>
      <c r="U36" s="975"/>
      <c r="V36" s="975"/>
      <c r="W36" s="975"/>
      <c r="X36" s="975"/>
      <c r="Y36" s="1003"/>
      <c r="Z36" s="1003"/>
      <c r="AA36" s="2949"/>
      <c r="AB36" s="2949"/>
      <c r="AC36" s="973"/>
      <c r="AD36" s="2862" t="str">
        <f>MENU!AE7</f>
        <v>L.Yen</v>
      </c>
      <c r="AE36" s="2862"/>
      <c r="AF36" s="2938" t="s">
        <v>11</v>
      </c>
      <c r="AG36" s="2855"/>
    </row>
    <row r="37" spans="1:33" s="65" customFormat="1" ht="36.75" customHeight="1">
      <c r="A37" s="2972" t="s">
        <v>7</v>
      </c>
      <c r="B37" s="2885" t="s">
        <v>77</v>
      </c>
      <c r="C37" s="2886"/>
      <c r="D37" s="2886"/>
      <c r="E37" s="2887"/>
      <c r="F37" s="2883" t="s">
        <v>125</v>
      </c>
      <c r="G37" s="2922" t="s">
        <v>1325</v>
      </c>
      <c r="H37" s="2920" t="s">
        <v>1317</v>
      </c>
      <c r="I37" s="2950">
        <v>0.80208333333333337</v>
      </c>
      <c r="J37" s="2907"/>
      <c r="K37" s="2907"/>
      <c r="L37" s="2908"/>
      <c r="M37" s="2856" t="s">
        <v>940</v>
      </c>
      <c r="N37" s="2857"/>
      <c r="O37" s="2857"/>
      <c r="P37" s="2858"/>
      <c r="Q37" s="2906">
        <v>0.96875</v>
      </c>
      <c r="R37" s="2907"/>
      <c r="S37" s="2907"/>
      <c r="T37" s="2908"/>
      <c r="U37" s="2856" t="s">
        <v>940</v>
      </c>
      <c r="V37" s="2857"/>
      <c r="W37" s="2857"/>
      <c r="X37" s="2858"/>
      <c r="Y37" s="2951">
        <v>0.13541666666666666</v>
      </c>
      <c r="Z37" s="2883"/>
      <c r="AA37" s="2883"/>
      <c r="AB37" s="2883"/>
      <c r="AC37" s="2856" t="s">
        <v>940</v>
      </c>
      <c r="AD37" s="2857"/>
      <c r="AE37" s="2857"/>
      <c r="AF37" s="2858"/>
      <c r="AG37" s="2961" t="s">
        <v>39</v>
      </c>
    </row>
    <row r="38" spans="1:33" s="65" customFormat="1" ht="48.75" customHeight="1">
      <c r="A38" s="2972"/>
      <c r="B38" s="2888"/>
      <c r="C38" s="2889"/>
      <c r="D38" s="2889"/>
      <c r="E38" s="2890"/>
      <c r="F38" s="2884"/>
      <c r="G38" s="2923"/>
      <c r="H38" s="2921"/>
      <c r="I38" s="2414" t="s">
        <v>130</v>
      </c>
      <c r="J38" s="2912" t="s">
        <v>1</v>
      </c>
      <c r="K38" s="2913"/>
      <c r="L38" s="2914"/>
      <c r="M38" s="938" t="s">
        <v>130</v>
      </c>
      <c r="N38" s="2859" t="s">
        <v>1</v>
      </c>
      <c r="O38" s="2859"/>
      <c r="P38" s="2860"/>
      <c r="Q38" s="981" t="s">
        <v>130</v>
      </c>
      <c r="R38" s="2912" t="s">
        <v>1</v>
      </c>
      <c r="S38" s="2913"/>
      <c r="T38" s="2914"/>
      <c r="U38" s="938" t="s">
        <v>130</v>
      </c>
      <c r="V38" s="2859" t="s">
        <v>1</v>
      </c>
      <c r="W38" s="2859"/>
      <c r="X38" s="2860"/>
      <c r="Y38" s="981" t="s">
        <v>130</v>
      </c>
      <c r="Z38" s="2912" t="s">
        <v>1</v>
      </c>
      <c r="AA38" s="2913"/>
      <c r="AB38" s="2914"/>
      <c r="AC38" s="938" t="s">
        <v>130</v>
      </c>
      <c r="AD38" s="2859" t="s">
        <v>1</v>
      </c>
      <c r="AE38" s="2859"/>
      <c r="AF38" s="2860"/>
      <c r="AG38" s="2962"/>
    </row>
    <row r="39" spans="1:33" ht="57" hidden="1" customHeight="1">
      <c r="A39" s="2973">
        <v>1</v>
      </c>
      <c r="B39" s="2975" t="s">
        <v>951</v>
      </c>
      <c r="C39" s="2976"/>
      <c r="D39" s="2898" t="s">
        <v>231</v>
      </c>
      <c r="E39" s="2899"/>
      <c r="F39" s="2200" t="s">
        <v>4</v>
      </c>
      <c r="G39" s="929" t="str">
        <f>'XM.FILE GOC'!$E$78</f>
        <v>40~60</v>
      </c>
      <c r="H39" s="2427" t="str">
        <f>'XM.FILE GOC'!$F$78</f>
        <v>(50±5)</v>
      </c>
      <c r="I39" s="2438">
        <f>'XM.FILE GOC'!AD78</f>
        <v>51</v>
      </c>
      <c r="J39" s="1004" t="s">
        <v>8</v>
      </c>
      <c r="K39" s="1005">
        <f>'XM.FILE GOC'!AG78</f>
        <v>0</v>
      </c>
      <c r="L39" s="1006" t="s">
        <v>9</v>
      </c>
      <c r="M39" s="1670">
        <f>'3.XT-C kh.mau HALO'!M47</f>
        <v>0</v>
      </c>
      <c r="N39" s="940" t="s">
        <v>8</v>
      </c>
      <c r="O39" s="1686" t="str">
        <f>IF(M39=0,"",('XM.FILE GOC'!$G$78-M39)*15517/1000)</f>
        <v/>
      </c>
      <c r="P39" s="941" t="s">
        <v>9</v>
      </c>
      <c r="Q39" s="56">
        <f>'XM.FILE GOC'!AK78</f>
        <v>50.5</v>
      </c>
      <c r="R39" s="1004" t="s">
        <v>8</v>
      </c>
      <c r="S39" s="1005">
        <f>'XM.FILE GOC'!AN78</f>
        <v>0</v>
      </c>
      <c r="T39" s="1006" t="s">
        <v>9</v>
      </c>
      <c r="U39" s="1670">
        <f>'3.XT-C kh.mau HALO'!U47</f>
        <v>0</v>
      </c>
      <c r="V39" s="940" t="s">
        <v>8</v>
      </c>
      <c r="W39" s="1686" t="str">
        <f>IF(U39=0,"",('XM.FILE GOC'!$G$78-U39)*15517/1000)</f>
        <v/>
      </c>
      <c r="X39" s="941" t="s">
        <v>9</v>
      </c>
      <c r="Y39" s="56">
        <f>'XM.FILE GOC'!AR78</f>
        <v>50</v>
      </c>
      <c r="Z39" s="1004" t="s">
        <v>8</v>
      </c>
      <c r="AA39" s="1005">
        <f>'XM.FILE GOC'!AU78</f>
        <v>0</v>
      </c>
      <c r="AB39" s="1006" t="s">
        <v>9</v>
      </c>
      <c r="AC39" s="1670">
        <f>'3.XT-C kh.mau HALO'!AC47</f>
        <v>0</v>
      </c>
      <c r="AD39" s="940" t="s">
        <v>8</v>
      </c>
      <c r="AE39" s="1686" t="str">
        <f>IF(AC39=0,"",('XM.FILE GOC'!$G$78-AC39)*15517/1000)</f>
        <v/>
      </c>
      <c r="AF39" s="941" t="s">
        <v>9</v>
      </c>
      <c r="AG39" s="2197" t="s">
        <v>40</v>
      </c>
    </row>
    <row r="40" spans="1:33" ht="57" hidden="1" customHeight="1">
      <c r="A40" s="2974"/>
      <c r="B40" s="2977"/>
      <c r="C40" s="2978"/>
      <c r="D40" s="2898" t="s">
        <v>232</v>
      </c>
      <c r="E40" s="2899"/>
      <c r="F40" s="928"/>
      <c r="G40" s="929" t="s">
        <v>1286</v>
      </c>
      <c r="H40" s="2427"/>
      <c r="I40" s="2439"/>
      <c r="J40" s="61"/>
      <c r="K40" s="985">
        <f>K39/25*8.5</f>
        <v>0</v>
      </c>
      <c r="L40" s="614" t="s">
        <v>10</v>
      </c>
      <c r="M40" s="1670">
        <f>'3.XT-C kh.mau HALO'!M48</f>
        <v>0</v>
      </c>
      <c r="N40" s="942" t="s">
        <v>8</v>
      </c>
      <c r="O40" s="1684" t="str">
        <f>IF(M39=0,"",O39/25*8.5)</f>
        <v/>
      </c>
      <c r="P40" s="943" t="s">
        <v>10</v>
      </c>
      <c r="Q40" s="307"/>
      <c r="R40" s="61"/>
      <c r="S40" s="985">
        <f>S39/25*8.5</f>
        <v>0</v>
      </c>
      <c r="T40" s="614" t="s">
        <v>10</v>
      </c>
      <c r="U40" s="1670">
        <f>'3.XT-C kh.mau HALO'!U48</f>
        <v>0</v>
      </c>
      <c r="V40" s="942" t="s">
        <v>8</v>
      </c>
      <c r="W40" s="1684" t="str">
        <f>IF(U39=0,"",W39/25*8.5)</f>
        <v/>
      </c>
      <c r="X40" s="943" t="s">
        <v>10</v>
      </c>
      <c r="Y40" s="307"/>
      <c r="Z40" s="61"/>
      <c r="AA40" s="985">
        <f>AA39/25*8.5</f>
        <v>0</v>
      </c>
      <c r="AB40" s="614" t="s">
        <v>10</v>
      </c>
      <c r="AC40" s="1670">
        <f>'3.XT-C kh.mau HALO'!AC48</f>
        <v>0</v>
      </c>
      <c r="AD40" s="942" t="s">
        <v>8</v>
      </c>
      <c r="AE40" s="1684" t="str">
        <f>IF(AC39=0,"",AE39/25*8.5)</f>
        <v/>
      </c>
      <c r="AF40" s="943" t="s">
        <v>10</v>
      </c>
      <c r="AG40" s="2197"/>
    </row>
    <row r="41" spans="1:33" ht="57" hidden="1" customHeight="1">
      <c r="A41" s="2973">
        <v>2</v>
      </c>
      <c r="B41" s="2975" t="s">
        <v>952</v>
      </c>
      <c r="C41" s="2976"/>
      <c r="D41" s="2898" t="s">
        <v>231</v>
      </c>
      <c r="E41" s="2899"/>
      <c r="F41" s="2200" t="s">
        <v>4</v>
      </c>
      <c r="G41" s="929" t="str">
        <f>'XM.FILE GOC'!$E$80</f>
        <v>40~60</v>
      </c>
      <c r="H41" s="2427" t="str">
        <f>'XM.FILE GOC'!$F$80</f>
        <v>(50±5)</v>
      </c>
      <c r="I41" s="2438">
        <f>'XM.FILE GOC'!AD80</f>
        <v>50</v>
      </c>
      <c r="J41" s="1004" t="s">
        <v>8</v>
      </c>
      <c r="K41" s="1005">
        <f>'XM.FILE GOC'!AG80</f>
        <v>0</v>
      </c>
      <c r="L41" s="1006" t="s">
        <v>9</v>
      </c>
      <c r="M41" s="1670">
        <f>'3.XT-C kh.mau HALO'!M49</f>
        <v>0</v>
      </c>
      <c r="N41" s="940" t="s">
        <v>8</v>
      </c>
      <c r="O41" s="1686" t="str">
        <f>IF(M41=0,"",('XM.FILE GOC'!$G$80-M41)*11475/1000)</f>
        <v/>
      </c>
      <c r="P41" s="941" t="s">
        <v>9</v>
      </c>
      <c r="Q41" s="56">
        <f>'XM.FILE GOC'!AK80</f>
        <v>49.6</v>
      </c>
      <c r="R41" s="1004" t="s">
        <v>8</v>
      </c>
      <c r="S41" s="1005">
        <f>'XM.FILE GOC'!AN80</f>
        <v>4.5899999999999839</v>
      </c>
      <c r="T41" s="1006" t="s">
        <v>9</v>
      </c>
      <c r="U41" s="1670">
        <f>'3.XT-C kh.mau HALO'!U49</f>
        <v>51.2</v>
      </c>
      <c r="V41" s="940" t="s">
        <v>8</v>
      </c>
      <c r="W41" s="1686">
        <f>IF(U41=0,"",('XM.FILE GOC'!$G$80-U41)*11475/1000)</f>
        <v>-13.770000000000033</v>
      </c>
      <c r="X41" s="941" t="s">
        <v>9</v>
      </c>
      <c r="Y41" s="56">
        <f>'XM.FILE GOC'!AR80</f>
        <v>51.271000000000001</v>
      </c>
      <c r="Z41" s="1004" t="s">
        <v>8</v>
      </c>
      <c r="AA41" s="1005">
        <f>'XM.FILE GOC'!AU80</f>
        <v>0</v>
      </c>
      <c r="AB41" s="1006" t="s">
        <v>9</v>
      </c>
      <c r="AC41" s="1670">
        <f>'3.XT-C kh.mau HALO'!AC49</f>
        <v>0</v>
      </c>
      <c r="AD41" s="940" t="s">
        <v>8</v>
      </c>
      <c r="AE41" s="1686" t="str">
        <f>IF(AC41=0,"",('XM.FILE GOC'!$G$80-AC41)*11475/1000)</f>
        <v/>
      </c>
      <c r="AF41" s="941" t="s">
        <v>9</v>
      </c>
      <c r="AG41" s="2197" t="s">
        <v>40</v>
      </c>
    </row>
    <row r="42" spans="1:33" ht="57" hidden="1" customHeight="1">
      <c r="A42" s="2974"/>
      <c r="B42" s="2977"/>
      <c r="C42" s="2978"/>
      <c r="D42" s="2898" t="s">
        <v>232</v>
      </c>
      <c r="E42" s="2899"/>
      <c r="F42" s="928"/>
      <c r="G42" s="929" t="s">
        <v>1286</v>
      </c>
      <c r="H42" s="2427"/>
      <c r="I42" s="2439"/>
      <c r="J42" s="61"/>
      <c r="K42" s="985">
        <f>K41/25*8.5</f>
        <v>0</v>
      </c>
      <c r="L42" s="614" t="s">
        <v>10</v>
      </c>
      <c r="M42" s="1670">
        <f>'3.XT-C kh.mau HALO'!M50</f>
        <v>0</v>
      </c>
      <c r="N42" s="942" t="s">
        <v>8</v>
      </c>
      <c r="O42" s="1684" t="str">
        <f>IF(M41=0,"",O41/25*8.5)</f>
        <v/>
      </c>
      <c r="P42" s="943" t="s">
        <v>10</v>
      </c>
      <c r="Q42" s="307"/>
      <c r="R42" s="61"/>
      <c r="S42" s="985">
        <f>S41/25*8.5</f>
        <v>1.5605999999999944</v>
      </c>
      <c r="T42" s="614" t="s">
        <v>10</v>
      </c>
      <c r="U42" s="1670">
        <f>'3.XT-C kh.mau HALO'!U50</f>
        <v>0</v>
      </c>
      <c r="V42" s="942" t="s">
        <v>8</v>
      </c>
      <c r="W42" s="1684">
        <f>IF(U41=0,"",W41/25*8.5)</f>
        <v>-4.6818000000000106</v>
      </c>
      <c r="X42" s="943" t="s">
        <v>10</v>
      </c>
      <c r="Y42" s="307"/>
      <c r="Z42" s="61"/>
      <c r="AA42" s="985">
        <f>AA41/25*8.5</f>
        <v>0</v>
      </c>
      <c r="AB42" s="614" t="s">
        <v>10</v>
      </c>
      <c r="AC42" s="1670">
        <f>'3.XT-C kh.mau HALO'!AC50</f>
        <v>0</v>
      </c>
      <c r="AD42" s="942" t="s">
        <v>8</v>
      </c>
      <c r="AE42" s="1684" t="str">
        <f>IF(AC41=0,"",AE41/25*8.5)</f>
        <v/>
      </c>
      <c r="AF42" s="943" t="s">
        <v>10</v>
      </c>
      <c r="AG42" s="2197"/>
    </row>
    <row r="43" spans="1:33" ht="57" hidden="1" customHeight="1">
      <c r="A43" s="2973">
        <v>3</v>
      </c>
      <c r="B43" s="2896" t="s">
        <v>953</v>
      </c>
      <c r="C43" s="2897"/>
      <c r="D43" s="2871" t="s">
        <v>233</v>
      </c>
      <c r="E43" s="2873" t="s">
        <v>233</v>
      </c>
      <c r="F43" s="2200" t="s">
        <v>4</v>
      </c>
      <c r="G43" s="929" t="str">
        <f>'XM.FILE GOC'!$E$82</f>
        <v>50~70</v>
      </c>
      <c r="H43" s="2427" t="str">
        <f>'XM.FILE GOC'!$F$82</f>
        <v>(60±5)</v>
      </c>
      <c r="I43" s="2439">
        <f>'XM.FILE GOC'!AD82</f>
        <v>61.2</v>
      </c>
      <c r="J43" s="61" t="s">
        <v>8</v>
      </c>
      <c r="K43" s="613">
        <f>'XM.FILE GOC'!AG82</f>
        <v>0</v>
      </c>
      <c r="L43" s="614" t="s">
        <v>9</v>
      </c>
      <c r="M43" s="1670">
        <f>'3.XT-C kh.mau HALO'!M51</f>
        <v>0</v>
      </c>
      <c r="N43" s="940" t="s">
        <v>8</v>
      </c>
      <c r="O43" s="1686" t="str">
        <f>IF(M43=0,"",('XM.FILE GOC'!$G$82-M43)*8200/1000)</f>
        <v/>
      </c>
      <c r="P43" s="941" t="s">
        <v>9</v>
      </c>
      <c r="Q43" s="307">
        <f>'XM.FILE GOC'!AK82</f>
        <v>60.5</v>
      </c>
      <c r="R43" s="61" t="s">
        <v>8</v>
      </c>
      <c r="S43" s="613">
        <f>'XM.FILE GOC'!AN82</f>
        <v>0</v>
      </c>
      <c r="T43" s="614" t="s">
        <v>9</v>
      </c>
      <c r="U43" s="1670">
        <f>'3.XT-C kh.mau HALO'!U51</f>
        <v>0</v>
      </c>
      <c r="V43" s="940" t="s">
        <v>8</v>
      </c>
      <c r="W43" s="1686" t="str">
        <f>IF(U43=0,"",('XM.FILE GOC'!$G$82-U43)*8200/1000)</f>
        <v/>
      </c>
      <c r="X43" s="941" t="s">
        <v>9</v>
      </c>
      <c r="Y43" s="307">
        <f>'XM.FILE GOC'!AR82</f>
        <v>60</v>
      </c>
      <c r="Z43" s="61" t="s">
        <v>8</v>
      </c>
      <c r="AA43" s="613">
        <f>'XM.FILE GOC'!AU82</f>
        <v>0</v>
      </c>
      <c r="AB43" s="1006" t="s">
        <v>9</v>
      </c>
      <c r="AC43" s="1670">
        <f>'3.XT-C kh.mau HALO'!AC51</f>
        <v>0</v>
      </c>
      <c r="AD43" s="940" t="s">
        <v>8</v>
      </c>
      <c r="AE43" s="1686" t="str">
        <f>IF(AC43=0,"",('XM.FILE GOC'!$G$82-AC43)*8200/1000)</f>
        <v/>
      </c>
      <c r="AF43" s="941" t="s">
        <v>9</v>
      </c>
      <c r="AG43" s="2197" t="s">
        <v>40</v>
      </c>
    </row>
    <row r="44" spans="1:33" ht="57" hidden="1" customHeight="1">
      <c r="A44" s="2979"/>
      <c r="B44" s="2897"/>
      <c r="C44" s="2897"/>
      <c r="D44" s="2871" t="s">
        <v>234</v>
      </c>
      <c r="E44" s="2873" t="s">
        <v>234</v>
      </c>
      <c r="F44" s="928"/>
      <c r="G44" s="929" t="s">
        <v>1287</v>
      </c>
      <c r="H44" s="2427"/>
      <c r="I44" s="2439"/>
      <c r="J44" s="61"/>
      <c r="K44" s="985">
        <f>K43/25*8</f>
        <v>0</v>
      </c>
      <c r="L44" s="614" t="s">
        <v>10</v>
      </c>
      <c r="M44" s="1670">
        <f>'3.XT-C kh.mau HALO'!M52</f>
        <v>0</v>
      </c>
      <c r="N44" s="942" t="s">
        <v>8</v>
      </c>
      <c r="O44" s="1684" t="str">
        <f>IF(M43=0,"",O43/25*8)</f>
        <v/>
      </c>
      <c r="P44" s="943" t="s">
        <v>10</v>
      </c>
      <c r="Q44" s="307"/>
      <c r="R44" s="61"/>
      <c r="S44" s="985">
        <f>S43/25*8</f>
        <v>0</v>
      </c>
      <c r="T44" s="614" t="s">
        <v>10</v>
      </c>
      <c r="U44" s="1670">
        <f>'3.XT-C kh.mau HALO'!U52</f>
        <v>0</v>
      </c>
      <c r="V44" s="942" t="s">
        <v>8</v>
      </c>
      <c r="W44" s="1684" t="str">
        <f>IF(U43=0,"",W43/25*8)</f>
        <v/>
      </c>
      <c r="X44" s="943" t="s">
        <v>10</v>
      </c>
      <c r="Y44" s="307"/>
      <c r="Z44" s="61"/>
      <c r="AA44" s="985">
        <f>AA43/25*8</f>
        <v>0</v>
      </c>
      <c r="AB44" s="614" t="s">
        <v>10</v>
      </c>
      <c r="AC44" s="1670">
        <f>'3.XT-C kh.mau HALO'!AC52</f>
        <v>0</v>
      </c>
      <c r="AD44" s="942" t="s">
        <v>8</v>
      </c>
      <c r="AE44" s="1684" t="str">
        <f>IF(AC43=0,"",AE43/25*8)</f>
        <v/>
      </c>
      <c r="AF44" s="943" t="s">
        <v>10</v>
      </c>
      <c r="AG44" s="2197"/>
    </row>
    <row r="45" spans="1:33" ht="57" hidden="1" customHeight="1">
      <c r="A45" s="2973">
        <v>4</v>
      </c>
      <c r="B45" s="2896" t="s">
        <v>954</v>
      </c>
      <c r="C45" s="2897"/>
      <c r="D45" s="2871" t="s">
        <v>233</v>
      </c>
      <c r="E45" s="2873" t="s">
        <v>233</v>
      </c>
      <c r="F45" s="2200" t="s">
        <v>4</v>
      </c>
      <c r="G45" s="929" t="str">
        <f>'XM.FILE GOC'!$E$84</f>
        <v>50~70</v>
      </c>
      <c r="H45" s="2427" t="str">
        <f>'XM.FILE GOC'!$F$84</f>
        <v>(60±5)</v>
      </c>
      <c r="I45" s="2439">
        <f>'XM.FILE GOC'!AD84</f>
        <v>60.06</v>
      </c>
      <c r="J45" s="1004" t="s">
        <v>8</v>
      </c>
      <c r="K45" s="1005">
        <f>'XM.FILE GOC'!AG84</f>
        <v>0</v>
      </c>
      <c r="L45" s="1006" t="s">
        <v>9</v>
      </c>
      <c r="M45" s="1670">
        <f>'3.XT-C kh.mau HALO'!M53</f>
        <v>0</v>
      </c>
      <c r="N45" s="940" t="s">
        <v>8</v>
      </c>
      <c r="O45" s="1687" t="str">
        <f>IF(M45=0,"",('XM.FILE GOC'!$G$84-M45)*8668/1000)</f>
        <v/>
      </c>
      <c r="P45" s="941" t="s">
        <v>9</v>
      </c>
      <c r="Q45" s="307">
        <f>'XM.FILE GOC'!AK84</f>
        <v>60</v>
      </c>
      <c r="R45" s="1004" t="s">
        <v>8</v>
      </c>
      <c r="S45" s="1005">
        <f>'XM.FILE GOC'!AN84</f>
        <v>0</v>
      </c>
      <c r="T45" s="1006" t="s">
        <v>9</v>
      </c>
      <c r="U45" s="1670">
        <f>'3.XT-C kh.mau HALO'!U53</f>
        <v>0</v>
      </c>
      <c r="V45" s="940" t="s">
        <v>8</v>
      </c>
      <c r="W45" s="1687" t="str">
        <f>IF(U45=0,"",('XM.FILE GOC'!$G$84-U45)*8668/1000)</f>
        <v/>
      </c>
      <c r="X45" s="941" t="s">
        <v>9</v>
      </c>
      <c r="Y45" s="307">
        <f>'XM.FILE GOC'!AR84</f>
        <v>60</v>
      </c>
      <c r="Z45" s="1004" t="s">
        <v>8</v>
      </c>
      <c r="AA45" s="1005">
        <f>'XM.FILE GOC'!AU84</f>
        <v>0</v>
      </c>
      <c r="AB45" s="1006" t="s">
        <v>9</v>
      </c>
      <c r="AC45" s="1670">
        <f>'3.XT-C kh.mau HALO'!AC53</f>
        <v>0</v>
      </c>
      <c r="AD45" s="940" t="s">
        <v>8</v>
      </c>
      <c r="AE45" s="1687" t="str">
        <f>IF(AC45=0,"",('XM.FILE GOC'!$G$84-AC45)*8668/1000)</f>
        <v/>
      </c>
      <c r="AF45" s="941" t="s">
        <v>9</v>
      </c>
      <c r="AG45" s="2197" t="s">
        <v>40</v>
      </c>
    </row>
    <row r="46" spans="1:33" ht="57" hidden="1" customHeight="1">
      <c r="A46" s="2979"/>
      <c r="B46" s="3061"/>
      <c r="C46" s="3061"/>
      <c r="D46" s="2885" t="s">
        <v>234</v>
      </c>
      <c r="E46" s="2887" t="s">
        <v>234</v>
      </c>
      <c r="F46" s="2274"/>
      <c r="G46" s="1675" t="s">
        <v>1287</v>
      </c>
      <c r="H46" s="2444"/>
      <c r="I46" s="2440"/>
      <c r="J46" s="1373"/>
      <c r="K46" s="2276">
        <f>K45/25*8</f>
        <v>0</v>
      </c>
      <c r="L46" s="1375" t="s">
        <v>10</v>
      </c>
      <c r="M46" s="2277">
        <f>'3.XT-C kh.mau HALO'!M54</f>
        <v>0</v>
      </c>
      <c r="N46" s="2278" t="s">
        <v>8</v>
      </c>
      <c r="O46" s="2279" t="str">
        <f>IF(M45=0,"",O45/25*8)</f>
        <v/>
      </c>
      <c r="P46" s="2280" t="s">
        <v>10</v>
      </c>
      <c r="Q46" s="2275"/>
      <c r="R46" s="1373"/>
      <c r="S46" s="2276">
        <f>S45/25*8</f>
        <v>0</v>
      </c>
      <c r="T46" s="1375" t="s">
        <v>10</v>
      </c>
      <c r="U46" s="2277">
        <f>'3.XT-C kh.mau HALO'!U54</f>
        <v>0</v>
      </c>
      <c r="V46" s="2278" t="s">
        <v>8</v>
      </c>
      <c r="W46" s="2279" t="str">
        <f>IF(U45=0,"",W45/25*8)</f>
        <v/>
      </c>
      <c r="X46" s="2280" t="s">
        <v>10</v>
      </c>
      <c r="Y46" s="2275"/>
      <c r="Z46" s="1373"/>
      <c r="AA46" s="2276">
        <f>AA45/25*8</f>
        <v>0</v>
      </c>
      <c r="AB46" s="1375" t="s">
        <v>10</v>
      </c>
      <c r="AC46" s="2277">
        <f>'3.XT-C kh.mau HALO'!AC54</f>
        <v>0</v>
      </c>
      <c r="AD46" s="2278" t="s">
        <v>8</v>
      </c>
      <c r="AE46" s="2279" t="str">
        <f>IF(AC45=0,"",AE45/25*8)</f>
        <v/>
      </c>
      <c r="AF46" s="2280" t="s">
        <v>10</v>
      </c>
      <c r="AG46" s="2271"/>
    </row>
    <row r="47" spans="1:33" ht="57" customHeight="1">
      <c r="A47" s="3025">
        <v>5</v>
      </c>
      <c r="B47" s="3053" t="s">
        <v>123</v>
      </c>
      <c r="C47" s="3054"/>
      <c r="D47" s="3057" t="s">
        <v>117</v>
      </c>
      <c r="E47" s="3058"/>
      <c r="F47" s="2553" t="s">
        <v>4</v>
      </c>
      <c r="G47" s="2554" t="str">
        <f>'XM.GUI MAIL'!$E$99</f>
        <v>5~6</v>
      </c>
      <c r="H47" s="2555" t="str">
        <f>'XM.GUI MAIL'!$F$99</f>
        <v>(5.5± 0.5)</v>
      </c>
      <c r="I47" s="2521">
        <f>'XM.FILE GOC'!AD99</f>
        <v>5.8500000000000005</v>
      </c>
      <c r="J47" s="2522" t="s">
        <v>8</v>
      </c>
      <c r="K47" s="2523">
        <f>'XM.FILE GOC'!AG99</f>
        <v>0</v>
      </c>
      <c r="L47" s="2524" t="s">
        <v>9</v>
      </c>
      <c r="M47" s="2525"/>
      <c r="N47" s="2556" t="s">
        <v>8</v>
      </c>
      <c r="O47" s="2557" t="str">
        <f>IF(M47=0,"",('XM.FILE GOC'!$G$99-M47)*8000/1000)</f>
        <v/>
      </c>
      <c r="P47" s="2558" t="s">
        <v>9</v>
      </c>
      <c r="Q47" s="2529">
        <f>'XM.FILE GOC'!AK99</f>
        <v>5.7</v>
      </c>
      <c r="R47" s="2522" t="s">
        <v>8</v>
      </c>
      <c r="S47" s="2523">
        <f>'XM.FILE GOC'!AN99</f>
        <v>0</v>
      </c>
      <c r="T47" s="2524" t="s">
        <v>9</v>
      </c>
      <c r="U47" s="2525"/>
      <c r="V47" s="2556" t="s">
        <v>8</v>
      </c>
      <c r="W47" s="2557" t="str">
        <f>IF(U47=0,"",('XM.FILE GOC'!$G$99-U47)*8000/1000)</f>
        <v/>
      </c>
      <c r="X47" s="2558" t="s">
        <v>9</v>
      </c>
      <c r="Y47" s="2529">
        <f>'XM.FILE GOC'!AR99</f>
        <v>5.6</v>
      </c>
      <c r="Z47" s="2522" t="s">
        <v>8</v>
      </c>
      <c r="AA47" s="2523">
        <f>'XM.FILE GOC'!AU99</f>
        <v>0</v>
      </c>
      <c r="AB47" s="2524" t="s">
        <v>9</v>
      </c>
      <c r="AC47" s="2525"/>
      <c r="AD47" s="2556" t="s">
        <v>8</v>
      </c>
      <c r="AE47" s="2557" t="str">
        <f>IF(AC47=0,"",('XM.FILE GOC'!$G$99-AC47)*8000/1000)</f>
        <v/>
      </c>
      <c r="AF47" s="2558" t="s">
        <v>9</v>
      </c>
      <c r="AG47" s="2530" t="s">
        <v>41</v>
      </c>
    </row>
    <row r="48" spans="1:33" ht="57" customHeight="1">
      <c r="A48" s="3026"/>
      <c r="B48" s="3055"/>
      <c r="C48" s="3056"/>
      <c r="D48" s="3059" t="s">
        <v>101</v>
      </c>
      <c r="E48" s="3060"/>
      <c r="F48" s="2206" t="s">
        <v>4</v>
      </c>
      <c r="G48" s="2205" t="str">
        <f>'XM.GUI MAIL'!$E$100</f>
        <v>130~140</v>
      </c>
      <c r="H48" s="2445" t="str">
        <f>'XM.GUI MAIL'!$F$100</f>
        <v>(135 ± 5)</v>
      </c>
      <c r="I48" s="2441">
        <f>'XM.FILE GOC'!AD100</f>
        <v>133.6</v>
      </c>
      <c r="J48" s="1004" t="s">
        <v>8</v>
      </c>
      <c r="K48" s="1005">
        <f>'XM.FILE GOC'!AG100</f>
        <v>11.200000000000045</v>
      </c>
      <c r="L48" s="1006" t="s">
        <v>9</v>
      </c>
      <c r="M48" s="1670">
        <v>134.19999999999999</v>
      </c>
      <c r="N48" s="940" t="s">
        <v>8</v>
      </c>
      <c r="O48" s="1687">
        <f>IF(M48=0,"",('XM.FILE GOC'!$G$100-M48)*8000/1000)</f>
        <v>6.4000000000000909</v>
      </c>
      <c r="P48" s="941" t="s">
        <v>9</v>
      </c>
      <c r="Q48" s="1886">
        <f>'XM.FILE GOC'!AK100</f>
        <v>134</v>
      </c>
      <c r="R48" s="1004" t="s">
        <v>8</v>
      </c>
      <c r="S48" s="1005">
        <f>'XM.FILE GOC'!AN100</f>
        <v>8</v>
      </c>
      <c r="T48" s="1006" t="s">
        <v>9</v>
      </c>
      <c r="U48" s="1670">
        <v>134.80000000000001</v>
      </c>
      <c r="V48" s="940" t="s">
        <v>8</v>
      </c>
      <c r="W48" s="1687">
        <f>IF(U48=0,"",('XM.FILE GOC'!$G$100-U48)*8000/1000)</f>
        <v>1.5999999999999091</v>
      </c>
      <c r="X48" s="941" t="s">
        <v>9</v>
      </c>
      <c r="Y48" s="1886">
        <f>'XM.FILE GOC'!AR100</f>
        <v>135</v>
      </c>
      <c r="Z48" s="1004" t="s">
        <v>8</v>
      </c>
      <c r="AA48" s="1005">
        <f>'XM.FILE GOC'!AU100</f>
        <v>0</v>
      </c>
      <c r="AB48" s="941" t="s">
        <v>9</v>
      </c>
      <c r="AC48" s="1670"/>
      <c r="AD48" s="940" t="s">
        <v>8</v>
      </c>
      <c r="AE48" s="1687" t="str">
        <f>IF(AC48=0,"",('XM.FILE GOC'!$G$100-AC48)*8000/1000)</f>
        <v/>
      </c>
      <c r="AF48" s="941" t="s">
        <v>9</v>
      </c>
      <c r="AG48" s="2559" t="s">
        <v>42</v>
      </c>
    </row>
    <row r="49" spans="1:38" s="7" customFormat="1" ht="57" customHeight="1">
      <c r="A49" s="2273">
        <v>6</v>
      </c>
      <c r="B49" s="3070" t="s">
        <v>124</v>
      </c>
      <c r="C49" s="3071"/>
      <c r="D49" s="3071"/>
      <c r="E49" s="3072"/>
      <c r="F49" s="2560" t="s">
        <v>5</v>
      </c>
      <c r="G49" s="2561" t="str">
        <f>'XM.GUI MAIL'!$E$101</f>
        <v>3.0-4.5</v>
      </c>
      <c r="H49" s="2562" t="str">
        <f>'XM.GUI MAIL'!$F$101</f>
        <v>(4.3±0.2)</v>
      </c>
      <c r="I49" s="2534">
        <f>'XM.FILE GOC'!AD101</f>
        <v>4.1500000000000004</v>
      </c>
      <c r="J49" s="2543"/>
      <c r="K49" s="2544"/>
      <c r="L49" s="2545"/>
      <c r="M49" s="2538"/>
      <c r="N49" s="2563"/>
      <c r="O49" s="2564"/>
      <c r="P49" s="2565"/>
      <c r="Q49" s="2542">
        <f>'XM.FILE GOC'!AK101</f>
        <v>4.2</v>
      </c>
      <c r="R49" s="2543"/>
      <c r="S49" s="2544"/>
      <c r="T49" s="2545"/>
      <c r="U49" s="2538"/>
      <c r="V49" s="2563"/>
      <c r="W49" s="2564"/>
      <c r="X49" s="2565"/>
      <c r="Y49" s="2542">
        <f>'XM.FILE GOC'!AR101</f>
        <v>4.1100000000000003</v>
      </c>
      <c r="Z49" s="2543"/>
      <c r="AA49" s="2544"/>
      <c r="AB49" s="2545"/>
      <c r="AC49" s="2538"/>
      <c r="AD49" s="2563"/>
      <c r="AE49" s="2564"/>
      <c r="AF49" s="2565"/>
      <c r="AG49" s="2566" t="s">
        <v>43</v>
      </c>
      <c r="AH49" s="8"/>
      <c r="AI49" s="8"/>
      <c r="AJ49" s="8"/>
      <c r="AK49" s="8"/>
      <c r="AL49" s="8"/>
    </row>
    <row r="50" spans="1:38" ht="57" hidden="1" customHeight="1">
      <c r="A50" s="2198">
        <v>7</v>
      </c>
      <c r="B50" s="3033" t="s">
        <v>958</v>
      </c>
      <c r="C50" s="3034"/>
      <c r="D50" s="3034"/>
      <c r="E50" s="3035"/>
      <c r="F50" s="2281" t="s">
        <v>6</v>
      </c>
      <c r="G50" s="1677" t="str">
        <f>'XM.FILE GOC'!$E$90</f>
        <v>40~50</v>
      </c>
      <c r="H50" s="2446" t="str">
        <f>'XM.FILE GOC'!$F$90</f>
        <v>(45±5)</v>
      </c>
      <c r="I50" s="2442">
        <f>'XM.FILE GOC'!AD90</f>
        <v>0.45600000000000002</v>
      </c>
      <c r="J50" s="2283" t="s">
        <v>8</v>
      </c>
      <c r="K50" s="2284">
        <f>'XM.FILE GOC'!AG90</f>
        <v>0</v>
      </c>
      <c r="L50" s="2285" t="s">
        <v>10</v>
      </c>
      <c r="M50" s="2514" t="str">
        <f>IF(I50&gt;44.99%,"",'3.XT-C kh.mau HALO'!M59)</f>
        <v/>
      </c>
      <c r="N50" s="2515" t="s">
        <v>8</v>
      </c>
      <c r="O50" s="2516" t="str">
        <f>IF(M50="","",('XM.FILE GOC'!$G$90-M50)*6723/2.6)</f>
        <v/>
      </c>
      <c r="P50" s="2517" t="s">
        <v>10</v>
      </c>
      <c r="Q50" s="2282">
        <f>'XM.FILE GOC'!AK90</f>
        <v>0.45200000000000001</v>
      </c>
      <c r="R50" s="2283" t="s">
        <v>8</v>
      </c>
      <c r="S50" s="2284">
        <f>'XM.FILE GOC'!AN90</f>
        <v>0</v>
      </c>
      <c r="T50" s="2285" t="s">
        <v>10</v>
      </c>
      <c r="U50" s="2514" t="str">
        <f>IF(Q50&gt;44.99%,"",'3.XT-C kh.mau HALO'!U59)</f>
        <v/>
      </c>
      <c r="V50" s="2515" t="s">
        <v>8</v>
      </c>
      <c r="W50" s="2516" t="str">
        <f>IF(U50="","",('XM.FILE GOC'!$G$90-U50)*6723/2.6)</f>
        <v/>
      </c>
      <c r="X50" s="2517" t="s">
        <v>10</v>
      </c>
      <c r="Y50" s="2282">
        <f>'XM.FILE GOC'!AR90</f>
        <v>0.45</v>
      </c>
      <c r="Z50" s="2283" t="s">
        <v>8</v>
      </c>
      <c r="AA50" s="2284">
        <f>'XM.FILE GOC'!AU90</f>
        <v>0</v>
      </c>
      <c r="AB50" s="2285" t="s">
        <v>10</v>
      </c>
      <c r="AC50" s="2514" t="str">
        <f>IF(Y50&gt;44.99%,"",'3.XT-C kh.mau HALO'!AC59)</f>
        <v/>
      </c>
      <c r="AD50" s="2515" t="s">
        <v>8</v>
      </c>
      <c r="AE50" s="2516" t="str">
        <f>IF(AC50="","",('XM.FILE GOC'!$G$90-AC50)*6723/2.6)</f>
        <v/>
      </c>
      <c r="AF50" s="2517" t="s">
        <v>10</v>
      </c>
      <c r="AG50" s="2272" t="s">
        <v>44</v>
      </c>
    </row>
    <row r="51" spans="1:38" ht="57" hidden="1" customHeight="1">
      <c r="A51" s="2198">
        <v>8</v>
      </c>
      <c r="B51" s="2988" t="s">
        <v>959</v>
      </c>
      <c r="C51" s="2989"/>
      <c r="D51" s="2989"/>
      <c r="E51" s="2990"/>
      <c r="F51" s="660" t="s">
        <v>6</v>
      </c>
      <c r="G51" s="929" t="str">
        <f>'XM.FILE GOC'!$E$92</f>
        <v>40~50</v>
      </c>
      <c r="H51" s="2427" t="str">
        <f>'XM.FILE GOC'!$F$92</f>
        <v>(45±5)</v>
      </c>
      <c r="I51" s="2436">
        <f>'XM.FILE GOC'!AD92</f>
        <v>0.45168749999999996</v>
      </c>
      <c r="J51" s="1004" t="s">
        <v>8</v>
      </c>
      <c r="K51" s="1005">
        <f>'XM.FILE GOC'!AG92</f>
        <v>0</v>
      </c>
      <c r="L51" s="1006" t="s">
        <v>10</v>
      </c>
      <c r="M51" s="946" t="str">
        <f>IF(I51&gt;44.99%,"",'3.XT-C kh.mau HALO'!M60)</f>
        <v/>
      </c>
      <c r="N51" s="942" t="s">
        <v>8</v>
      </c>
      <c r="O51" s="1686" t="str">
        <f>IF(M51="","",('XM.FILE GOC'!$G$92-M51)*10509/2.6)</f>
        <v/>
      </c>
      <c r="P51" s="943" t="s">
        <v>10</v>
      </c>
      <c r="Q51" s="310">
        <f>'XM.FILE GOC'!AK92</f>
        <v>0.45</v>
      </c>
      <c r="R51" s="1004" t="s">
        <v>8</v>
      </c>
      <c r="S51" s="1005">
        <f>'XM.FILE GOC'!AN92</f>
        <v>0</v>
      </c>
      <c r="T51" s="1006" t="s">
        <v>10</v>
      </c>
      <c r="U51" s="946" t="str">
        <f>IF(Q51&gt;44.99%,"",'3.XT-C kh.mau HALO'!U60)</f>
        <v/>
      </c>
      <c r="V51" s="942" t="s">
        <v>8</v>
      </c>
      <c r="W51" s="1686" t="str">
        <f>IF(U51="","",('XM.FILE GOC'!$G$92-U51)*10509/2.6)</f>
        <v/>
      </c>
      <c r="X51" s="943" t="s">
        <v>10</v>
      </c>
      <c r="Y51" s="310">
        <f>'XM.FILE GOC'!AR92</f>
        <v>0.44256250000000003</v>
      </c>
      <c r="Z51" s="1004" t="s">
        <v>8</v>
      </c>
      <c r="AA51" s="1005">
        <f>'XM.FILE GOC'!AU92</f>
        <v>30.061802884615325</v>
      </c>
      <c r="AB51" s="1006" t="s">
        <v>10</v>
      </c>
      <c r="AC51" s="946">
        <f>IF(Y51&gt;44.99%,"",'3.XT-C kh.mau HALO'!AC60)</f>
        <v>0.45600000000000002</v>
      </c>
      <c r="AD51" s="942" t="s">
        <v>8</v>
      </c>
      <c r="AE51" s="1686">
        <f>IF(AC51="","",('XM.FILE GOC'!$G$92-AC51)*10509/2.6)</f>
        <v>-24.251538461538484</v>
      </c>
      <c r="AF51" s="943" t="s">
        <v>10</v>
      </c>
      <c r="AG51" s="72" t="s">
        <v>44</v>
      </c>
    </row>
    <row r="52" spans="1:38" ht="57" hidden="1" customHeight="1">
      <c r="A52" s="2198">
        <v>9</v>
      </c>
      <c r="B52" s="2991" t="s">
        <v>83</v>
      </c>
      <c r="C52" s="2992"/>
      <c r="D52" s="2992"/>
      <c r="E52" s="2993"/>
      <c r="F52" s="660" t="s">
        <v>6</v>
      </c>
      <c r="G52" s="929" t="str">
        <f>'XM.FILE GOC'!$E$93</f>
        <v>10~20</v>
      </c>
      <c r="H52" s="2427" t="str">
        <f>'XM.FILE GOC'!$F$93</f>
        <v>(15±5)</v>
      </c>
      <c r="I52" s="2469">
        <f>'XM.FILE GOC'!AD93</f>
        <v>0.152</v>
      </c>
      <c r="J52" s="1004" t="s">
        <v>8</v>
      </c>
      <c r="K52" s="1005">
        <f>'XM.FILE GOC'!AG93</f>
        <v>0</v>
      </c>
      <c r="L52" s="1006" t="s">
        <v>10</v>
      </c>
      <c r="M52" s="946" t="str">
        <f>IF(I52&gt;14.99%,"",'3.XT-C kh.mau HALO'!M61)</f>
        <v/>
      </c>
      <c r="N52" s="940" t="s">
        <v>8</v>
      </c>
      <c r="O52" s="968" t="str">
        <f>IF(M52="","",('XM.FILE GOC'!$G$93-M52)*3234/2.9)</f>
        <v/>
      </c>
      <c r="P52" s="941" t="s">
        <v>10</v>
      </c>
      <c r="Q52" s="2469">
        <f>'XM.FILE GOC'!AK93</f>
        <v>0.15</v>
      </c>
      <c r="R52" s="1004" t="s">
        <v>8</v>
      </c>
      <c r="S52" s="1005">
        <f>'XM.FILE GOC'!AN93</f>
        <v>0</v>
      </c>
      <c r="T52" s="1006" t="s">
        <v>10</v>
      </c>
      <c r="U52" s="946" t="str">
        <f>IF(Q52&gt;14.99%,"",'3.XT-C kh.mau HALO'!U61)</f>
        <v/>
      </c>
      <c r="V52" s="940" t="s">
        <v>8</v>
      </c>
      <c r="W52" s="968" t="str">
        <f>IF(U52="","",('XM.FILE GOC'!$G$93-U52)*3234/2.9)</f>
        <v/>
      </c>
      <c r="X52" s="941" t="s">
        <v>10</v>
      </c>
      <c r="Y52" s="2469">
        <f>'XM.FILE GOC'!AR93</f>
        <v>0.14599999999999999</v>
      </c>
      <c r="Z52" s="1004" t="s">
        <v>8</v>
      </c>
      <c r="AA52" s="1005">
        <f>'XM.FILE GOC'!AU93</f>
        <v>4.460689655172418</v>
      </c>
      <c r="AB52" s="1006" t="s">
        <v>10</v>
      </c>
      <c r="AC52" s="946">
        <f>IF(Y52&gt;14.99%,"",'3.XT-C kh.mau HALO'!AC61)</f>
        <v>0.153</v>
      </c>
      <c r="AD52" s="940" t="s">
        <v>8</v>
      </c>
      <c r="AE52" s="968">
        <f>IF(AC52="","",('XM.FILE GOC'!$G$93-AC52)*3234/2.9)</f>
        <v>-3.3455172413793135</v>
      </c>
      <c r="AF52" s="941" t="s">
        <v>10</v>
      </c>
      <c r="AG52" s="2197" t="s">
        <v>45</v>
      </c>
    </row>
    <row r="53" spans="1:38" ht="57" hidden="1" customHeight="1">
      <c r="A53" s="2198">
        <v>10</v>
      </c>
      <c r="B53" s="2991" t="s">
        <v>960</v>
      </c>
      <c r="C53" s="2992" t="s">
        <v>960</v>
      </c>
      <c r="D53" s="2992" t="s">
        <v>960</v>
      </c>
      <c r="E53" s="2993" t="s">
        <v>960</v>
      </c>
      <c r="F53" s="660" t="s">
        <v>6</v>
      </c>
      <c r="G53" s="929" t="str">
        <f>'XM.FILE GOC'!$E$94</f>
        <v>(1±0.4)=0.6~1.4</v>
      </c>
      <c r="H53" s="2427" t="str">
        <f>'XM.FILE GOC'!$F$94</f>
        <v>(1±0.4)</v>
      </c>
      <c r="I53" s="2443">
        <f>'XM.FILE GOC'!AD94</f>
        <v>7.1820000000000009E-3</v>
      </c>
      <c r="J53" s="1004" t="s">
        <v>8</v>
      </c>
      <c r="K53" s="1008">
        <f>'XM.FILE GOC'!AG94</f>
        <v>8.0620927152317847</v>
      </c>
      <c r="L53" s="1009" t="s">
        <v>10</v>
      </c>
      <c r="M53" s="1669">
        <f>IF(I53&gt;0.99%,"",'3.XT-C kh.mau HALO'!M62)</f>
        <v>0.01</v>
      </c>
      <c r="N53" s="979" t="s">
        <v>8</v>
      </c>
      <c r="O53" s="1688">
        <f>IF(M53="","",('XM.FILE GOC'!$G$94-M53)*2808)</f>
        <v>0</v>
      </c>
      <c r="P53" s="949" t="s">
        <v>10</v>
      </c>
      <c r="Q53" s="312">
        <f>'XM.FILE GOC'!AK94</f>
        <v>0.01</v>
      </c>
      <c r="R53" s="1004" t="s">
        <v>8</v>
      </c>
      <c r="S53" s="1008">
        <f>'XM.FILE GOC'!AN94</f>
        <v>0</v>
      </c>
      <c r="T53" s="1009" t="s">
        <v>10</v>
      </c>
      <c r="U53" s="1669" t="str">
        <f>IF(Q53&gt;0.99%,"",'3.XT-C kh.mau HALO'!U62)</f>
        <v/>
      </c>
      <c r="V53" s="979" t="s">
        <v>8</v>
      </c>
      <c r="W53" s="1688" t="str">
        <f>IF(U53="","",('XM.FILE GOC'!$G$94-U53)*2808)</f>
        <v/>
      </c>
      <c r="X53" s="949" t="s">
        <v>10</v>
      </c>
      <c r="Y53" s="312">
        <f>'XM.FILE GOC'!AR94</f>
        <v>8.9999999999999993E-3</v>
      </c>
      <c r="Z53" s="1004" t="s">
        <v>8</v>
      </c>
      <c r="AA53" s="1008">
        <f>'XM.FILE GOC'!AU94</f>
        <v>2.8609271523178834</v>
      </c>
      <c r="AB53" s="1009" t="s">
        <v>10</v>
      </c>
      <c r="AC53" s="1669">
        <f>IF(Y53&gt;0.99%,"",'3.XT-C kh.mau HALO'!AC62)</f>
        <v>0.01</v>
      </c>
      <c r="AD53" s="979" t="s">
        <v>8</v>
      </c>
      <c r="AE53" s="1688">
        <f>IF(AC53="","",('XM.FILE GOC'!$G$94-AC53)*2808)</f>
        <v>0</v>
      </c>
      <c r="AF53" s="949" t="s">
        <v>10</v>
      </c>
      <c r="AG53" s="2197" t="s">
        <v>45</v>
      </c>
    </row>
    <row r="54" spans="1:38" ht="57" customHeight="1">
      <c r="A54" s="2198"/>
      <c r="B54" s="3009" t="s">
        <v>1327</v>
      </c>
      <c r="C54" s="3010"/>
      <c r="D54" s="3010"/>
      <c r="E54" s="3010"/>
      <c r="F54" s="3010"/>
      <c r="G54" s="3010"/>
      <c r="H54" s="3010"/>
      <c r="I54" s="3010"/>
      <c r="J54" s="3010"/>
      <c r="K54" s="3010"/>
      <c r="L54" s="3010"/>
      <c r="M54" s="3010"/>
      <c r="N54" s="3010"/>
      <c r="O54" s="3010"/>
      <c r="P54" s="3010"/>
      <c r="Q54" s="3010"/>
      <c r="R54" s="3010"/>
      <c r="S54" s="3010"/>
      <c r="T54" s="3010"/>
      <c r="U54" s="3010"/>
      <c r="V54" s="3010"/>
      <c r="W54" s="3010"/>
      <c r="X54" s="3010"/>
      <c r="Y54" s="3010"/>
      <c r="Z54" s="3010"/>
      <c r="AA54" s="3010"/>
      <c r="AB54" s="3010"/>
      <c r="AC54" s="3010"/>
      <c r="AD54" s="3010"/>
      <c r="AE54" s="3010"/>
      <c r="AF54" s="3010"/>
      <c r="AG54" s="3012"/>
    </row>
    <row r="55" spans="1:38" ht="57" customHeight="1">
      <c r="A55" s="2198" t="s">
        <v>7</v>
      </c>
      <c r="B55" s="2965" t="s">
        <v>961</v>
      </c>
      <c r="C55" s="2966"/>
      <c r="D55" s="2966"/>
      <c r="E55" s="2967"/>
      <c r="F55" s="1010" t="s">
        <v>962</v>
      </c>
      <c r="G55" s="1010" t="s">
        <v>1325</v>
      </c>
      <c r="H55" s="2429" t="s">
        <v>1317</v>
      </c>
      <c r="I55" s="3000" t="s">
        <v>963</v>
      </c>
      <c r="J55" s="3001"/>
      <c r="K55" s="3002" t="s">
        <v>964</v>
      </c>
      <c r="L55" s="3001"/>
      <c r="M55" s="950"/>
      <c r="N55" s="951"/>
      <c r="O55" s="951"/>
      <c r="P55" s="952"/>
      <c r="Q55" s="3002" t="s">
        <v>963</v>
      </c>
      <c r="R55" s="3001"/>
      <c r="S55" s="3002" t="s">
        <v>964</v>
      </c>
      <c r="T55" s="3001"/>
      <c r="U55" s="950"/>
      <c r="V55" s="951"/>
      <c r="W55" s="951"/>
      <c r="X55" s="952"/>
      <c r="Y55" s="3002" t="s">
        <v>963</v>
      </c>
      <c r="Z55" s="3001"/>
      <c r="AA55" s="3002" t="s">
        <v>964</v>
      </c>
      <c r="AB55" s="3001"/>
      <c r="AC55" s="950"/>
      <c r="AD55" s="951"/>
      <c r="AE55" s="951"/>
      <c r="AF55" s="952"/>
      <c r="AG55" s="10"/>
    </row>
    <row r="56" spans="1:38" ht="57" hidden="1" customHeight="1">
      <c r="A56" s="2198">
        <v>1</v>
      </c>
      <c r="B56" s="2965" t="s">
        <v>965</v>
      </c>
      <c r="C56" s="2966"/>
      <c r="D56" s="2966"/>
      <c r="E56" s="2967"/>
      <c r="F56" s="1011" t="s">
        <v>966</v>
      </c>
      <c r="G56" s="929" t="str">
        <f>'XM.FILE GOC'!$E$104</f>
        <v>50~70</v>
      </c>
      <c r="H56" s="2427" t="str">
        <f>'XM.FILE GOC'!$F$104</f>
        <v>(60±5)</v>
      </c>
      <c r="I56" s="2934">
        <f>'3.XT-C kh.mau HALO'!I67</f>
        <v>61</v>
      </c>
      <c r="J56" s="2867"/>
      <c r="K56" s="2867">
        <f>'3.XT-C kh.mau HALO'!K67</f>
        <v>60</v>
      </c>
      <c r="L56" s="2867"/>
      <c r="M56" s="953"/>
      <c r="N56" s="954"/>
      <c r="O56" s="954"/>
      <c r="P56" s="955"/>
      <c r="Q56" s="2867">
        <f>'3.XT-C kh.mau HALO'!Q67</f>
        <v>61</v>
      </c>
      <c r="R56" s="2867"/>
      <c r="S56" s="2867">
        <f>'3.XT-C kh.mau HALO'!S67:T67</f>
        <v>60</v>
      </c>
      <c r="T56" s="2867"/>
      <c r="U56" s="953"/>
      <c r="V56" s="954"/>
      <c r="W56" s="954"/>
      <c r="X56" s="955"/>
      <c r="Y56" s="2867">
        <f>'3.XT-C kh.mau HALO'!Y67</f>
        <v>61</v>
      </c>
      <c r="Z56" s="2867"/>
      <c r="AA56" s="2867">
        <f>'3.XT-C kh.mau HALO'!AA67</f>
        <v>60</v>
      </c>
      <c r="AB56" s="2867"/>
      <c r="AC56" s="953"/>
      <c r="AD56" s="954"/>
      <c r="AE56" s="954"/>
      <c r="AF56" s="955"/>
      <c r="AG56" s="2199"/>
    </row>
    <row r="57" spans="1:38" ht="57" hidden="1" customHeight="1">
      <c r="A57" s="2198">
        <v>2</v>
      </c>
      <c r="B57" s="2965" t="s">
        <v>967</v>
      </c>
      <c r="C57" s="2966"/>
      <c r="D57" s="2966"/>
      <c r="E57" s="2967"/>
      <c r="F57" s="1011" t="s">
        <v>966</v>
      </c>
      <c r="G57" s="929" t="str">
        <f>'XM.FILE GOC'!$E$105</f>
        <v>50~70</v>
      </c>
      <c r="H57" s="2427" t="str">
        <f>'XM.FILE GOC'!$F$105</f>
        <v>(60±5)</v>
      </c>
      <c r="I57" s="2934">
        <f>'3.XT-C kh.mau HALO'!I68</f>
        <v>61</v>
      </c>
      <c r="J57" s="2867"/>
      <c r="K57" s="2867">
        <f>'3.XT-C kh.mau HALO'!K68</f>
        <v>60</v>
      </c>
      <c r="L57" s="2867"/>
      <c r="M57" s="953"/>
      <c r="N57" s="954"/>
      <c r="O57" s="954"/>
      <c r="P57" s="955"/>
      <c r="Q57" s="2867">
        <f>'3.XT-C kh.mau HALO'!Q68</f>
        <v>61</v>
      </c>
      <c r="R57" s="2867"/>
      <c r="S57" s="2867">
        <f>'3.XT-C kh.mau HALO'!S68:T68</f>
        <v>60</v>
      </c>
      <c r="T57" s="2867"/>
      <c r="U57" s="953"/>
      <c r="V57" s="954"/>
      <c r="W57" s="954"/>
      <c r="X57" s="955"/>
      <c r="Y57" s="2867">
        <f>'3.XT-C kh.mau HALO'!Y68</f>
        <v>61</v>
      </c>
      <c r="Z57" s="2867"/>
      <c r="AA57" s="2867">
        <f>'3.XT-C kh.mau HALO'!AA68</f>
        <v>60</v>
      </c>
      <c r="AB57" s="2867"/>
      <c r="AC57" s="953"/>
      <c r="AD57" s="954"/>
      <c r="AE57" s="954"/>
      <c r="AF57" s="955"/>
      <c r="AG57" s="2199"/>
    </row>
    <row r="58" spans="1:38" ht="57" hidden="1" customHeight="1">
      <c r="A58" s="2198">
        <v>3</v>
      </c>
      <c r="B58" s="2965" t="s">
        <v>968</v>
      </c>
      <c r="C58" s="2966"/>
      <c r="D58" s="2966"/>
      <c r="E58" s="2967"/>
      <c r="F58" s="1011" t="s">
        <v>966</v>
      </c>
      <c r="G58" s="929" t="str">
        <f>'XM.FILE GOC'!$E$106</f>
        <v>50~70</v>
      </c>
      <c r="H58" s="2427" t="str">
        <f>'XM.FILE GOC'!$F$106</f>
        <v>(60±5)</v>
      </c>
      <c r="I58" s="2934">
        <f>'3.XT-C kh.mau HALO'!I69</f>
        <v>60</v>
      </c>
      <c r="J58" s="2867"/>
      <c r="K58" s="2867">
        <f>'3.XT-C kh.mau HALO'!K69</f>
        <v>59</v>
      </c>
      <c r="L58" s="2867"/>
      <c r="M58" s="953"/>
      <c r="N58" s="954"/>
      <c r="O58" s="954"/>
      <c r="P58" s="955"/>
      <c r="Q58" s="2867">
        <f>'3.XT-C kh.mau HALO'!Q69</f>
        <v>61</v>
      </c>
      <c r="R58" s="2867"/>
      <c r="S58" s="2867">
        <f>'3.XT-C kh.mau HALO'!S69:T69</f>
        <v>60</v>
      </c>
      <c r="T58" s="2867"/>
      <c r="U58" s="953"/>
      <c r="V58" s="954"/>
      <c r="W58" s="954"/>
      <c r="X58" s="955"/>
      <c r="Y58" s="2867">
        <f>'3.XT-C kh.mau HALO'!Y69</f>
        <v>61</v>
      </c>
      <c r="Z58" s="2867"/>
      <c r="AA58" s="2867">
        <f>'3.XT-C kh.mau HALO'!AA69</f>
        <v>60</v>
      </c>
      <c r="AB58" s="2867"/>
      <c r="AC58" s="953"/>
      <c r="AD58" s="954"/>
      <c r="AE58" s="954"/>
      <c r="AF58" s="955"/>
      <c r="AG58" s="2199"/>
    </row>
    <row r="59" spans="1:38" ht="57" hidden="1" customHeight="1">
      <c r="A59" s="2198">
        <v>4</v>
      </c>
      <c r="B59" s="2965" t="s">
        <v>969</v>
      </c>
      <c r="C59" s="2966"/>
      <c r="D59" s="2966"/>
      <c r="E59" s="2967"/>
      <c r="F59" s="1011" t="s">
        <v>966</v>
      </c>
      <c r="G59" s="929" t="str">
        <f>'XM.FILE GOC'!$E$107</f>
        <v>50~70</v>
      </c>
      <c r="H59" s="2427" t="str">
        <f>'XM.FILE GOC'!$F$107</f>
        <v>(60±5)</v>
      </c>
      <c r="I59" s="2934">
        <f>'3.XT-C kh.mau HALO'!I70</f>
        <v>62</v>
      </c>
      <c r="J59" s="2867"/>
      <c r="K59" s="2867">
        <f>'3.XT-C kh.mau HALO'!K70</f>
        <v>61</v>
      </c>
      <c r="L59" s="2867"/>
      <c r="M59" s="953"/>
      <c r="N59" s="954"/>
      <c r="O59" s="954"/>
      <c r="P59" s="955"/>
      <c r="Q59" s="2867">
        <f>'3.XT-C kh.mau HALO'!Q70</f>
        <v>61</v>
      </c>
      <c r="R59" s="2867"/>
      <c r="S59" s="2867">
        <f>'3.XT-C kh.mau HALO'!S70:T70</f>
        <v>60</v>
      </c>
      <c r="T59" s="2867"/>
      <c r="U59" s="953"/>
      <c r="V59" s="954"/>
      <c r="W59" s="954"/>
      <c r="X59" s="955"/>
      <c r="Y59" s="2867">
        <f>'3.XT-C kh.mau HALO'!Y70</f>
        <v>61</v>
      </c>
      <c r="Z59" s="2867"/>
      <c r="AA59" s="2867">
        <f>'3.XT-C kh.mau HALO'!AA70</f>
        <v>60</v>
      </c>
      <c r="AB59" s="2867"/>
      <c r="AC59" s="953"/>
      <c r="AD59" s="954"/>
      <c r="AE59" s="954"/>
      <c r="AF59" s="955"/>
      <c r="AG59" s="2199"/>
    </row>
    <row r="60" spans="1:38" ht="57" customHeight="1">
      <c r="A60" s="2198">
        <v>5</v>
      </c>
      <c r="B60" s="3062" t="s">
        <v>118</v>
      </c>
      <c r="C60" s="3063"/>
      <c r="D60" s="3063"/>
      <c r="E60" s="3064"/>
      <c r="F60" s="2207" t="s">
        <v>26</v>
      </c>
      <c r="G60" s="2208" t="str">
        <f>'XM.GUI MAIL'!$E$116</f>
        <v>24~28</v>
      </c>
      <c r="H60" s="2447" t="str">
        <f>'XM.GUI MAIL'!$F$116</f>
        <v>(26±2)</v>
      </c>
      <c r="I60" s="3065">
        <f>'XM.FILE GOC'!AD116</f>
        <v>26</v>
      </c>
      <c r="J60" s="2841"/>
      <c r="K60" s="2840">
        <f>'XM.FILE GOC'!AG116</f>
        <v>25</v>
      </c>
      <c r="L60" s="2841"/>
      <c r="M60" s="953"/>
      <c r="N60" s="954"/>
      <c r="O60" s="954"/>
      <c r="P60" s="955"/>
      <c r="Q60" s="2840">
        <v>26</v>
      </c>
      <c r="R60" s="2841"/>
      <c r="S60" s="2840">
        <v>25</v>
      </c>
      <c r="T60" s="2841"/>
      <c r="U60" s="953"/>
      <c r="V60" s="954"/>
      <c r="W60" s="954"/>
      <c r="X60" s="955"/>
      <c r="Y60" s="2840">
        <f>'XM.FILE GOC'!AR116</f>
        <v>26</v>
      </c>
      <c r="Z60" s="2841"/>
      <c r="AA60" s="2840">
        <f>'XM.FILE GOC'!AU116</f>
        <v>25</v>
      </c>
      <c r="AB60" s="2841"/>
      <c r="AC60" s="953"/>
      <c r="AD60" s="954"/>
      <c r="AE60" s="954"/>
      <c r="AF60" s="955"/>
      <c r="AG60" s="2199"/>
    </row>
    <row r="61" spans="1:38" ht="57" customHeight="1">
      <c r="A61" s="2198">
        <v>6</v>
      </c>
      <c r="B61" s="3062" t="s">
        <v>122</v>
      </c>
      <c r="C61" s="3063"/>
      <c r="D61" s="3063"/>
      <c r="E61" s="3064"/>
      <c r="F61" s="2207" t="s">
        <v>26</v>
      </c>
      <c r="G61" s="2208" t="str">
        <f>'XM.GUI MAIL'!$E$117</f>
        <v>20~30</v>
      </c>
      <c r="H61" s="2447" t="str">
        <f>'XM.GUI MAIL'!$F$117</f>
        <v>(25±5)</v>
      </c>
      <c r="I61" s="3065">
        <f>'XM.FILE GOC'!AD117</f>
        <v>29</v>
      </c>
      <c r="J61" s="2841"/>
      <c r="K61" s="2840">
        <f>'XM.FILE GOC'!AG117</f>
        <v>28</v>
      </c>
      <c r="L61" s="3066"/>
      <c r="M61" s="953"/>
      <c r="N61" s="954"/>
      <c r="O61" s="954"/>
      <c r="P61" s="955"/>
      <c r="Q61" s="2840">
        <v>28</v>
      </c>
      <c r="R61" s="2841"/>
      <c r="S61" s="2840">
        <v>27</v>
      </c>
      <c r="T61" s="3066"/>
      <c r="U61" s="953"/>
      <c r="V61" s="954"/>
      <c r="W61" s="954"/>
      <c r="X61" s="955"/>
      <c r="Y61" s="2840">
        <f>'XM.FILE GOC'!AR117</f>
        <v>28</v>
      </c>
      <c r="Z61" s="2841"/>
      <c r="AA61" s="2969">
        <f>'XM.FILE GOC'!AU117</f>
        <v>27</v>
      </c>
      <c r="AB61" s="2969"/>
      <c r="AC61" s="953"/>
      <c r="AD61" s="954"/>
      <c r="AE61" s="954"/>
      <c r="AF61" s="955"/>
      <c r="AG61" s="2199"/>
    </row>
    <row r="62" spans="1:38" ht="57" hidden="1" customHeight="1">
      <c r="A62" s="2198">
        <v>7</v>
      </c>
      <c r="B62" s="2965" t="s">
        <v>972</v>
      </c>
      <c r="C62" s="2966"/>
      <c r="D62" s="2966"/>
      <c r="E62" s="2967"/>
      <c r="F62" s="1011" t="s">
        <v>966</v>
      </c>
      <c r="G62" s="929" t="str">
        <f>'XM.FILE GOC'!$E$110</f>
        <v>55~65</v>
      </c>
      <c r="H62" s="2427" t="str">
        <f>'XM.FILE GOC'!$F$110</f>
        <v>(60±5)</v>
      </c>
      <c r="I62" s="2934">
        <f>'3.XT-C kh.mau HALO'!I73</f>
        <v>61</v>
      </c>
      <c r="J62" s="2867"/>
      <c r="K62" s="2867">
        <f>'3.XT-C kh.mau HALO'!K73</f>
        <v>60</v>
      </c>
      <c r="L62" s="2867"/>
      <c r="M62" s="953"/>
      <c r="N62" s="954"/>
      <c r="O62" s="954"/>
      <c r="P62" s="955"/>
      <c r="Q62" s="2867">
        <f>'3.XT-C kh.mau HALO'!Q73</f>
        <v>61</v>
      </c>
      <c r="R62" s="2867"/>
      <c r="S62" s="2867">
        <f>'3.XT-C kh.mau HALO'!S73</f>
        <v>60</v>
      </c>
      <c r="T62" s="2867"/>
      <c r="U62" s="953"/>
      <c r="V62" s="954"/>
      <c r="W62" s="954"/>
      <c r="X62" s="955"/>
      <c r="Y62" s="2867">
        <f>'3.XT-C kh.mau HALO'!Y73</f>
        <v>59</v>
      </c>
      <c r="Z62" s="2867"/>
      <c r="AA62" s="2867">
        <f>'3.XT-C kh.mau HALO'!AA73</f>
        <v>58</v>
      </c>
      <c r="AB62" s="2867"/>
      <c r="AC62" s="953"/>
      <c r="AD62" s="954"/>
      <c r="AE62" s="954"/>
      <c r="AF62" s="955"/>
      <c r="AG62" s="2199"/>
    </row>
    <row r="63" spans="1:38" ht="57" hidden="1" customHeight="1">
      <c r="A63" s="2198">
        <v>8</v>
      </c>
      <c r="B63" s="2965" t="s">
        <v>973</v>
      </c>
      <c r="C63" s="2966"/>
      <c r="D63" s="2966"/>
      <c r="E63" s="2967"/>
      <c r="F63" s="1011" t="s">
        <v>966</v>
      </c>
      <c r="G63" s="929" t="str">
        <f>'XM.FILE GOC'!$E$111</f>
        <v>80~100</v>
      </c>
      <c r="H63" s="2427" t="str">
        <f>'XM.FILE GOC'!$F$111</f>
        <v>(90±5)</v>
      </c>
      <c r="I63" s="3001" t="str">
        <f>'3.XT-C kh.mau HALO'!I74</f>
        <v>\</v>
      </c>
      <c r="J63" s="3008"/>
      <c r="K63" s="2867">
        <f>'3.XT-C kh.mau HALO'!K74</f>
        <v>92</v>
      </c>
      <c r="L63" s="2867"/>
      <c r="M63" s="953"/>
      <c r="N63" s="954"/>
      <c r="O63" s="954"/>
      <c r="P63" s="955"/>
      <c r="Q63" s="3008" t="str">
        <f>'3.XT-C kh.mau HALO'!Q74</f>
        <v>\</v>
      </c>
      <c r="R63" s="3008"/>
      <c r="S63" s="2867">
        <f>'3.XT-C kh.mau HALO'!S74</f>
        <v>91</v>
      </c>
      <c r="T63" s="2867"/>
      <c r="U63" s="953"/>
      <c r="V63" s="954"/>
      <c r="W63" s="954"/>
      <c r="X63" s="955"/>
      <c r="Y63" s="3008" t="str">
        <f>'3.XT-C kh.mau HALO'!Y74</f>
        <v>\</v>
      </c>
      <c r="Z63" s="3008"/>
      <c r="AA63" s="2867">
        <f>'3.XT-C kh.mau HALO'!AA74</f>
        <v>92</v>
      </c>
      <c r="AB63" s="2867"/>
      <c r="AC63" s="953"/>
      <c r="AD63" s="954"/>
      <c r="AE63" s="954"/>
      <c r="AF63" s="955"/>
      <c r="AG63" s="2199"/>
    </row>
    <row r="64" spans="1:38" ht="57" hidden="1" customHeight="1">
      <c r="A64" s="2198">
        <v>9</v>
      </c>
      <c r="B64" s="3005" t="s">
        <v>1303</v>
      </c>
      <c r="C64" s="3006"/>
      <c r="D64" s="3006"/>
      <c r="E64" s="3007"/>
      <c r="F64" s="1011" t="s">
        <v>966</v>
      </c>
      <c r="G64" s="929" t="str">
        <f>'XM.FILE GOC'!$E$112</f>
        <v>40~60</v>
      </c>
      <c r="H64" s="2427" t="str">
        <f>'XM.FILE GOC'!$F$112</f>
        <v>(50±10)</v>
      </c>
      <c r="I64" s="3003">
        <f>'3.XT-C kh.mau HALO'!I75</f>
        <v>54</v>
      </c>
      <c r="J64" s="3004"/>
      <c r="K64" s="3004">
        <f>'3.XT-C kh.mau HALO'!K75</f>
        <v>53</v>
      </c>
      <c r="L64" s="3004"/>
      <c r="M64" s="953"/>
      <c r="N64" s="954"/>
      <c r="O64" s="954"/>
      <c r="P64" s="955"/>
      <c r="Q64" s="3004">
        <f>'3.XT-C kh.mau HALO'!Q75</f>
        <v>55</v>
      </c>
      <c r="R64" s="3004"/>
      <c r="S64" s="3004">
        <f>'3.XT-C kh.mau HALO'!S75</f>
        <v>54</v>
      </c>
      <c r="T64" s="3004"/>
      <c r="U64" s="953"/>
      <c r="V64" s="954"/>
      <c r="W64" s="954"/>
      <c r="X64" s="955"/>
      <c r="Y64" s="3004">
        <f>'3.XT-C kh.mau HALO'!Y75</f>
        <v>51</v>
      </c>
      <c r="Z64" s="3004"/>
      <c r="AA64" s="3004">
        <f>'3.XT-C kh.mau HALO'!AA75</f>
        <v>50</v>
      </c>
      <c r="AB64" s="3004"/>
      <c r="AC64" s="953"/>
      <c r="AD64" s="954"/>
      <c r="AE64" s="954"/>
      <c r="AF64" s="955"/>
      <c r="AG64" s="927"/>
    </row>
    <row r="65" spans="1:33" ht="57" hidden="1" customHeight="1">
      <c r="A65" s="2198">
        <v>10</v>
      </c>
      <c r="B65" s="3067" t="s">
        <v>1305</v>
      </c>
      <c r="C65" s="3068"/>
      <c r="D65" s="3068"/>
      <c r="E65" s="3069"/>
      <c r="F65" s="2209" t="s">
        <v>966</v>
      </c>
      <c r="G65" s="929" t="str">
        <f>'XM.FILE GOC'!$E$113</f>
        <v>50~70</v>
      </c>
      <c r="H65" s="2427" t="str">
        <f>'XM.FILE GOC'!$F$113</f>
        <v>(60±10)</v>
      </c>
      <c r="I65" s="3003">
        <f>'3.XT-C kh.mau HALO'!I76</f>
        <v>61</v>
      </c>
      <c r="J65" s="3004"/>
      <c r="K65" s="3004">
        <f>'3.XT-C kh.mau HALO'!K76</f>
        <v>60</v>
      </c>
      <c r="L65" s="3004"/>
      <c r="M65" s="953"/>
      <c r="N65" s="954"/>
      <c r="O65" s="954"/>
      <c r="P65" s="955"/>
      <c r="Q65" s="3004">
        <f>'3.XT-C kh.mau HALO'!Q76</f>
        <v>61</v>
      </c>
      <c r="R65" s="3004"/>
      <c r="S65" s="3004">
        <f>'3.XT-C kh.mau HALO'!S76</f>
        <v>61</v>
      </c>
      <c r="T65" s="3004"/>
      <c r="U65" s="953"/>
      <c r="V65" s="954"/>
      <c r="W65" s="954"/>
      <c r="X65" s="955"/>
      <c r="Y65" s="3004">
        <f>'3.XT-C kh.mau HALO'!Y76</f>
        <v>59</v>
      </c>
      <c r="Z65" s="3004"/>
      <c r="AA65" s="3004">
        <f>'3.XT-C kh.mau HALO'!AA76</f>
        <v>58</v>
      </c>
      <c r="AB65" s="3004"/>
      <c r="AC65" s="953"/>
      <c r="AD65" s="954"/>
      <c r="AE65" s="954"/>
      <c r="AF65" s="955"/>
      <c r="AG65" s="927"/>
    </row>
  </sheetData>
  <sheetProtection selectLockedCells="1"/>
  <mergeCells count="258">
    <mergeCell ref="B16:E16"/>
    <mergeCell ref="B47:C48"/>
    <mergeCell ref="D47:E47"/>
    <mergeCell ref="D48:E48"/>
    <mergeCell ref="B49:E49"/>
    <mergeCell ref="AA65:AB65"/>
    <mergeCell ref="B65:E65"/>
    <mergeCell ref="I65:J65"/>
    <mergeCell ref="K65:L65"/>
    <mergeCell ref="Q65:R65"/>
    <mergeCell ref="S65:T65"/>
    <mergeCell ref="Y65:Z65"/>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AA61:AB61"/>
    <mergeCell ref="B62:E62"/>
    <mergeCell ref="I62:J62"/>
    <mergeCell ref="K62:L62"/>
    <mergeCell ref="Q62:R62"/>
    <mergeCell ref="S62:T62"/>
    <mergeCell ref="Y62:Z62"/>
    <mergeCell ref="AA62:AB62"/>
    <mergeCell ref="B61:E61"/>
    <mergeCell ref="I61:J61"/>
    <mergeCell ref="K61:L61"/>
    <mergeCell ref="Q61:R61"/>
    <mergeCell ref="S61:T61"/>
    <mergeCell ref="Y61:Z61"/>
    <mergeCell ref="AA59:AB59"/>
    <mergeCell ref="B60:E60"/>
    <mergeCell ref="I60:J60"/>
    <mergeCell ref="K60:L60"/>
    <mergeCell ref="Q60:R60"/>
    <mergeCell ref="S60:T60"/>
    <mergeCell ref="Y60:Z60"/>
    <mergeCell ref="AA60:AB60"/>
    <mergeCell ref="B59:E59"/>
    <mergeCell ref="I59:J59"/>
    <mergeCell ref="K59:L59"/>
    <mergeCell ref="Q59:R59"/>
    <mergeCell ref="S59:T59"/>
    <mergeCell ref="Y59:Z59"/>
    <mergeCell ref="B56:E56"/>
    <mergeCell ref="I56:J56"/>
    <mergeCell ref="K56:L56"/>
    <mergeCell ref="Q56:R56"/>
    <mergeCell ref="S56:T56"/>
    <mergeCell ref="Y56:Z56"/>
    <mergeCell ref="AA56:AB56"/>
    <mergeCell ref="AA57:AB57"/>
    <mergeCell ref="B58:E58"/>
    <mergeCell ref="I58:J58"/>
    <mergeCell ref="K58:L58"/>
    <mergeCell ref="Q58:R58"/>
    <mergeCell ref="S58:T58"/>
    <mergeCell ref="Y58:Z58"/>
    <mergeCell ref="AA58:AB58"/>
    <mergeCell ref="B57:E57"/>
    <mergeCell ref="I57:J57"/>
    <mergeCell ref="K57:L57"/>
    <mergeCell ref="Q57:R57"/>
    <mergeCell ref="S57:T57"/>
    <mergeCell ref="Y57:Z57"/>
    <mergeCell ref="B50:E50"/>
    <mergeCell ref="B51:E51"/>
    <mergeCell ref="B52:E52"/>
    <mergeCell ref="B53:E53"/>
    <mergeCell ref="B54:AG54"/>
    <mergeCell ref="B55:E55"/>
    <mergeCell ref="I55:J55"/>
    <mergeCell ref="K55:L55"/>
    <mergeCell ref="Q55:R55"/>
    <mergeCell ref="S55:T55"/>
    <mergeCell ref="Y55:Z55"/>
    <mergeCell ref="AA55:AB55"/>
    <mergeCell ref="F37:F38"/>
    <mergeCell ref="G37:G38"/>
    <mergeCell ref="H37:H38"/>
    <mergeCell ref="I37:L37"/>
    <mergeCell ref="J38:L38"/>
    <mergeCell ref="A47:A48"/>
    <mergeCell ref="A43:A44"/>
    <mergeCell ref="B43:C44"/>
    <mergeCell ref="D43:E43"/>
    <mergeCell ref="D44:E44"/>
    <mergeCell ref="A45:A46"/>
    <mergeCell ref="B45:C46"/>
    <mergeCell ref="D45:E45"/>
    <mergeCell ref="D46:E46"/>
    <mergeCell ref="A39:A40"/>
    <mergeCell ref="B39:C40"/>
    <mergeCell ref="D39:E39"/>
    <mergeCell ref="D40:E40"/>
    <mergeCell ref="A41:A42"/>
    <mergeCell ref="B41:C42"/>
    <mergeCell ref="D41:E41"/>
    <mergeCell ref="D42:E42"/>
    <mergeCell ref="A37:A38"/>
    <mergeCell ref="B37:E38"/>
    <mergeCell ref="M37:P37"/>
    <mergeCell ref="Q37:T37"/>
    <mergeCell ref="U37:X37"/>
    <mergeCell ref="Y37:AB37"/>
    <mergeCell ref="AC37:AF37"/>
    <mergeCell ref="AG37:AG38"/>
    <mergeCell ref="N38:P38"/>
    <mergeCell ref="R38:T38"/>
    <mergeCell ref="V38:X38"/>
    <mergeCell ref="Z38:AB38"/>
    <mergeCell ref="AD38:AF38"/>
    <mergeCell ref="A34:Z34"/>
    <mergeCell ref="A35:Z35"/>
    <mergeCell ref="AA35:AB35"/>
    <mergeCell ref="AD35:AE35"/>
    <mergeCell ref="AF35:AG35"/>
    <mergeCell ref="I36:L36"/>
    <mergeCell ref="AA36:AB36"/>
    <mergeCell ref="AD36:AE36"/>
    <mergeCell ref="AF36:AG36"/>
    <mergeCell ref="AA32:AB32"/>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3:E23"/>
    <mergeCell ref="I23:J23"/>
    <mergeCell ref="K23:L23"/>
    <mergeCell ref="Q23:R23"/>
    <mergeCell ref="S23:T23"/>
    <mergeCell ref="Y23:Z23"/>
    <mergeCell ref="AA23:AB23"/>
    <mergeCell ref="AA24:AB24"/>
    <mergeCell ref="B25:E25"/>
    <mergeCell ref="I25:J25"/>
    <mergeCell ref="K25:L25"/>
    <mergeCell ref="Q25:R25"/>
    <mergeCell ref="S25:T25"/>
    <mergeCell ref="Y25:Z25"/>
    <mergeCell ref="AA25:AB25"/>
    <mergeCell ref="B24:E24"/>
    <mergeCell ref="I24:J24"/>
    <mergeCell ref="K24:L24"/>
    <mergeCell ref="Q24:R24"/>
    <mergeCell ref="S24:T24"/>
    <mergeCell ref="Y24:Z24"/>
    <mergeCell ref="B17:E17"/>
    <mergeCell ref="B18:E18"/>
    <mergeCell ref="B19:E19"/>
    <mergeCell ref="B20:E20"/>
    <mergeCell ref="B21:AG21"/>
    <mergeCell ref="B22:E22"/>
    <mergeCell ref="I22:J22"/>
    <mergeCell ref="K22:L22"/>
    <mergeCell ref="Q22:R22"/>
    <mergeCell ref="S22:T22"/>
    <mergeCell ref="Y22:Z22"/>
    <mergeCell ref="AA22:AB22"/>
    <mergeCell ref="A14:A15"/>
    <mergeCell ref="B14:C15"/>
    <mergeCell ref="D14:E14"/>
    <mergeCell ref="D15:E15"/>
    <mergeCell ref="A10:A11"/>
    <mergeCell ref="B10:C11"/>
    <mergeCell ref="D10:E10"/>
    <mergeCell ref="D11:E11"/>
    <mergeCell ref="A12:A13"/>
    <mergeCell ref="B12:C13"/>
    <mergeCell ref="D12:E12"/>
    <mergeCell ref="D13:E13"/>
    <mergeCell ref="A6:A7"/>
    <mergeCell ref="B6:C7"/>
    <mergeCell ref="D6:E6"/>
    <mergeCell ref="D7:E7"/>
    <mergeCell ref="A8:A9"/>
    <mergeCell ref="B8:C9"/>
    <mergeCell ref="D8:E8"/>
    <mergeCell ref="D9:E9"/>
    <mergeCell ref="A4:A5"/>
    <mergeCell ref="B4:E5"/>
    <mergeCell ref="A1:Z1"/>
    <mergeCell ref="A2:Z2"/>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s>
  <conditionalFormatting sqref="I53 Q53 Y53 I20 Q20 Y20">
    <cfRule type="expression" dxfId="4186" priority="1140">
      <formula>I20&lt;0.5%</formula>
    </cfRule>
    <cfRule type="expression" dxfId="4185" priority="1141">
      <formula>I20&gt;1.5%</formula>
    </cfRule>
  </conditionalFormatting>
  <conditionalFormatting sqref="Y43 Q43 I43 I45 Q45 Y45 Y10 Q10 I10 I12 Q12 Y12">
    <cfRule type="expression" dxfId="4184" priority="1139" stopIfTrue="1">
      <formula>I10&lt;50</formula>
    </cfRule>
  </conditionalFormatting>
  <conditionalFormatting sqref="Y43 Q43 I43 I45 Q45 Y45 Y10 Q10 I10 I12 Q12 Y12">
    <cfRule type="expression" dxfId="4183" priority="1138" stopIfTrue="1">
      <formula>I10&gt;70</formula>
    </cfRule>
  </conditionalFormatting>
  <conditionalFormatting sqref="I50:I51 Y50:Y51 Q50:Q51 I17:I18 Y17:Y18 Q17:Q18">
    <cfRule type="expression" dxfId="4182" priority="1136">
      <formula>I17&lt;40%</formula>
    </cfRule>
    <cfRule type="expression" dxfId="4181" priority="1137">
      <formula>I17&gt;50%</formula>
    </cfRule>
  </conditionalFormatting>
  <conditionalFormatting sqref="I39 I41 Q39 Q41 Y39 Y41 I6 I8 Q6 Q8 Y6 Y8">
    <cfRule type="expression" dxfId="4180" priority="1135" stopIfTrue="1">
      <formula>I6&lt;40</formula>
    </cfRule>
  </conditionalFormatting>
  <conditionalFormatting sqref="I39 I41 Q39 Q41 Y39 Y41 I6 I8 Q6 Q8 Y6 Y8">
    <cfRule type="expression" dxfId="4179" priority="1134" stopIfTrue="1">
      <formula>I6&gt;60</formula>
    </cfRule>
  </conditionalFormatting>
  <conditionalFormatting sqref="I28 Y28 K28 Q28 S28 AA28">
    <cfRule type="expression" dxfId="4178" priority="487">
      <formula>I28&lt;20</formula>
    </cfRule>
    <cfRule type="expression" dxfId="4177" priority="488">
      <formula>I28&gt;30</formula>
    </cfRule>
  </conditionalFormatting>
  <conditionalFormatting sqref="I27 Y27 K27 Q27 S27 AA27">
    <cfRule type="expression" dxfId="4176" priority="485">
      <formula>I27&lt;24</formula>
    </cfRule>
    <cfRule type="expression" dxfId="4175" priority="486">
      <formula>I27&gt;28</formula>
    </cfRule>
  </conditionalFormatting>
  <conditionalFormatting sqref="I15">
    <cfRule type="expression" dxfId="4174" priority="391" stopIfTrue="1">
      <formula>I15&gt;140</formula>
    </cfRule>
    <cfRule type="expression" dxfId="4173" priority="392" stopIfTrue="1">
      <formula>I15&lt;130</formula>
    </cfRule>
  </conditionalFormatting>
  <conditionalFormatting sqref="I16">
    <cfRule type="cellIs" dxfId="4172" priority="388" operator="between">
      <formula>3</formula>
      <formula>4.099</formula>
    </cfRule>
    <cfRule type="expression" dxfId="4171" priority="389">
      <formula>I16&lt;3</formula>
    </cfRule>
    <cfRule type="expression" dxfId="4170" priority="390">
      <formula>I16&gt;4.5</formula>
    </cfRule>
  </conditionalFormatting>
  <conditionalFormatting sqref="I14">
    <cfRule type="expression" dxfId="4169" priority="386">
      <formula>I14&lt;5</formula>
    </cfRule>
    <cfRule type="expression" dxfId="4168" priority="387">
      <formula>I14&gt;6</formula>
    </cfRule>
  </conditionalFormatting>
  <conditionalFormatting sqref="Q16">
    <cfRule type="cellIs" dxfId="4167" priority="381" operator="between">
      <formula>3</formula>
      <formula>4.099</formula>
    </cfRule>
    <cfRule type="expression" dxfId="4166" priority="382">
      <formula>Q16&lt;3</formula>
    </cfRule>
    <cfRule type="expression" dxfId="4165" priority="383">
      <formula>Q16&gt;4.5</formula>
    </cfRule>
  </conditionalFormatting>
  <conditionalFormatting sqref="Q14">
    <cfRule type="expression" dxfId="4164" priority="379">
      <formula>Q14&lt;5</formula>
    </cfRule>
    <cfRule type="expression" dxfId="4163" priority="380">
      <formula>Q14&gt;6</formula>
    </cfRule>
  </conditionalFormatting>
  <conditionalFormatting sqref="Y16">
    <cfRule type="cellIs" dxfId="4162" priority="374" operator="between">
      <formula>3</formula>
      <formula>4.099</formula>
    </cfRule>
    <cfRule type="expression" dxfId="4161" priority="375">
      <formula>Y16&lt;3</formula>
    </cfRule>
    <cfRule type="expression" dxfId="4160" priority="376">
      <formula>Y16&gt;4.5</formula>
    </cfRule>
  </conditionalFormatting>
  <conditionalFormatting sqref="Y14">
    <cfRule type="expression" dxfId="4159" priority="372">
      <formula>Y14&lt;5</formula>
    </cfRule>
    <cfRule type="expression" dxfId="4158" priority="373">
      <formula>Y14&gt;6</formula>
    </cfRule>
  </conditionalFormatting>
  <conditionalFormatting sqref="I49">
    <cfRule type="cellIs" dxfId="4157" priority="367" operator="between">
      <formula>3</formula>
      <formula>4.099</formula>
    </cfRule>
    <cfRule type="expression" dxfId="4156" priority="368">
      <formula>I49&lt;3</formula>
    </cfRule>
    <cfRule type="expression" dxfId="4155" priority="369">
      <formula>I49&gt;4.5</formula>
    </cfRule>
  </conditionalFormatting>
  <conditionalFormatting sqref="I47">
    <cfRule type="expression" dxfId="4154" priority="365">
      <formula>I47&lt;5</formula>
    </cfRule>
    <cfRule type="expression" dxfId="4153" priority="366">
      <formula>I47&gt;6</formula>
    </cfRule>
  </conditionalFormatting>
  <conditionalFormatting sqref="Q49">
    <cfRule type="cellIs" dxfId="4152" priority="360" operator="between">
      <formula>3</formula>
      <formula>4.099</formula>
    </cfRule>
    <cfRule type="expression" dxfId="4151" priority="361">
      <formula>Q49&lt;3</formula>
    </cfRule>
    <cfRule type="expression" dxfId="4150" priority="362">
      <formula>Q49&gt;4.5</formula>
    </cfRule>
  </conditionalFormatting>
  <conditionalFormatting sqref="Q47">
    <cfRule type="expression" dxfId="4149" priority="358">
      <formula>Q47&lt;5</formula>
    </cfRule>
    <cfRule type="expression" dxfId="4148" priority="359">
      <formula>Q47&gt;6</formula>
    </cfRule>
  </conditionalFormatting>
  <conditionalFormatting sqref="Y49">
    <cfRule type="cellIs" dxfId="4147" priority="353" operator="between">
      <formula>3</formula>
      <formula>4.099</formula>
    </cfRule>
    <cfRule type="expression" dxfId="4146" priority="354">
      <formula>Y49&lt;3</formula>
    </cfRule>
    <cfRule type="expression" dxfId="4145" priority="355">
      <formula>Y49&gt;4.5</formula>
    </cfRule>
  </conditionalFormatting>
  <conditionalFormatting sqref="Y47">
    <cfRule type="expression" dxfId="4144" priority="351">
      <formula>Y47&lt;5</formula>
    </cfRule>
    <cfRule type="expression" dxfId="4143" priority="352">
      <formula>Y47&gt;6</formula>
    </cfRule>
  </conditionalFormatting>
  <conditionalFormatting sqref="Q15">
    <cfRule type="expression" dxfId="4142" priority="205" stopIfTrue="1">
      <formula>Q15&gt;140</formula>
    </cfRule>
    <cfRule type="expression" dxfId="4141" priority="206" stopIfTrue="1">
      <formula>Q15&lt;130</formula>
    </cfRule>
  </conditionalFormatting>
  <conditionalFormatting sqref="Y15">
    <cfRule type="expression" dxfId="4140" priority="203" stopIfTrue="1">
      <formula>Y15&gt;140</formula>
    </cfRule>
    <cfRule type="expression" dxfId="4139" priority="204" stopIfTrue="1">
      <formula>Y15&lt;130</formula>
    </cfRule>
  </conditionalFormatting>
  <conditionalFormatting sqref="I48">
    <cfRule type="expression" dxfId="4138" priority="201" stopIfTrue="1">
      <formula>I48&gt;140</formula>
    </cfRule>
    <cfRule type="expression" dxfId="4137" priority="202" stopIfTrue="1">
      <formula>I48&lt;130</formula>
    </cfRule>
  </conditionalFormatting>
  <conditionalFormatting sqref="Q48">
    <cfRule type="expression" dxfId="4136" priority="199" stopIfTrue="1">
      <formula>Q48&gt;140</formula>
    </cfRule>
    <cfRule type="expression" dxfId="4135" priority="200" stopIfTrue="1">
      <formula>Q48&lt;130</formula>
    </cfRule>
  </conditionalFormatting>
  <conditionalFormatting sqref="Y48">
    <cfRule type="expression" dxfId="4134" priority="197" stopIfTrue="1">
      <formula>Y48&gt;140</formula>
    </cfRule>
    <cfRule type="expression" dxfId="4133" priority="198" stopIfTrue="1">
      <formula>Y48&lt;130</formula>
    </cfRule>
  </conditionalFormatting>
  <conditionalFormatting sqref="K23:L25">
    <cfRule type="cellIs" dxfId="4132" priority="193" operator="between">
      <formula>50</formula>
      <formula>54.9</formula>
    </cfRule>
    <cfRule type="cellIs" dxfId="4131" priority="194" operator="between">
      <formula>65.1</formula>
      <formula>70</formula>
    </cfRule>
    <cfRule type="expression" dxfId="4130" priority="195">
      <formula>K23&lt;50</formula>
    </cfRule>
    <cfRule type="expression" dxfId="4129" priority="196">
      <formula>K23&gt;70</formula>
    </cfRule>
  </conditionalFormatting>
  <conditionalFormatting sqref="K26:L26">
    <cfRule type="cellIs" dxfId="4128" priority="189" operator="between">
      <formula>50</formula>
      <formula>54.9</formula>
    </cfRule>
    <cfRule type="cellIs" dxfId="4127" priority="190" operator="between">
      <formula>65.1</formula>
      <formula>70</formula>
    </cfRule>
    <cfRule type="expression" dxfId="4126" priority="191">
      <formula>K26&lt;50</formula>
    </cfRule>
    <cfRule type="expression" dxfId="4125" priority="192">
      <formula>K26&gt;70</formula>
    </cfRule>
  </conditionalFormatting>
  <conditionalFormatting sqref="I23:J25">
    <cfRule type="cellIs" dxfId="4124" priority="185" operator="between">
      <formula>50</formula>
      <formula>54.9</formula>
    </cfRule>
    <cfRule type="cellIs" dxfId="4123" priority="186" operator="between">
      <formula>65.1</formula>
      <formula>70</formula>
    </cfRule>
    <cfRule type="expression" dxfId="4122" priority="187">
      <formula>I23&lt;50</formula>
    </cfRule>
    <cfRule type="expression" dxfId="4121" priority="188">
      <formula>I23&gt;70</formula>
    </cfRule>
  </conditionalFormatting>
  <conditionalFormatting sqref="I26:J26">
    <cfRule type="cellIs" dxfId="4120" priority="181" operator="between">
      <formula>50</formula>
      <formula>54.9</formula>
    </cfRule>
    <cfRule type="cellIs" dxfId="4119" priority="182" operator="between">
      <formula>65.1</formula>
      <formula>70</formula>
    </cfRule>
    <cfRule type="expression" dxfId="4118" priority="183">
      <formula>I26&lt;50</formula>
    </cfRule>
    <cfRule type="expression" dxfId="4117" priority="184">
      <formula>I26&gt;70</formula>
    </cfRule>
  </conditionalFormatting>
  <conditionalFormatting sqref="S23:T25">
    <cfRule type="cellIs" dxfId="4116" priority="177" operator="between">
      <formula>50</formula>
      <formula>54.9</formula>
    </cfRule>
    <cfRule type="cellIs" dxfId="4115" priority="178" operator="between">
      <formula>65.1</formula>
      <formula>70</formula>
    </cfRule>
    <cfRule type="expression" dxfId="4114" priority="179">
      <formula>S23&lt;50</formula>
    </cfRule>
    <cfRule type="expression" dxfId="4113" priority="180">
      <formula>S23&gt;70</formula>
    </cfRule>
  </conditionalFormatting>
  <conditionalFormatting sqref="S26:T26">
    <cfRule type="cellIs" dxfId="4112" priority="173" operator="between">
      <formula>50</formula>
      <formula>54.9</formula>
    </cfRule>
    <cfRule type="cellIs" dxfId="4111" priority="174" operator="between">
      <formula>65.1</formula>
      <formula>70</formula>
    </cfRule>
    <cfRule type="expression" dxfId="4110" priority="175">
      <formula>S26&lt;50</formula>
    </cfRule>
    <cfRule type="expression" dxfId="4109" priority="176">
      <formula>S26&gt;70</formula>
    </cfRule>
  </conditionalFormatting>
  <conditionalFormatting sqref="Q23:R25">
    <cfRule type="cellIs" dxfId="4108" priority="169" operator="between">
      <formula>50</formula>
      <formula>54.9</formula>
    </cfRule>
    <cfRule type="cellIs" dxfId="4107" priority="170" operator="between">
      <formula>65.1</formula>
      <formula>70</formula>
    </cfRule>
    <cfRule type="expression" dxfId="4106" priority="171">
      <formula>Q23&lt;50</formula>
    </cfRule>
    <cfRule type="expression" dxfId="4105" priority="172">
      <formula>Q23&gt;70</formula>
    </cfRule>
  </conditionalFormatting>
  <conditionalFormatting sqref="Q26:R26">
    <cfRule type="cellIs" dxfId="4104" priority="165" operator="between">
      <formula>50</formula>
      <formula>54.9</formula>
    </cfRule>
    <cfRule type="cellIs" dxfId="4103" priority="166" operator="between">
      <formula>65.1</formula>
      <formula>70</formula>
    </cfRule>
    <cfRule type="expression" dxfId="4102" priority="167">
      <formula>Q26&lt;50</formula>
    </cfRule>
    <cfRule type="expression" dxfId="4101" priority="168">
      <formula>Q26&gt;70</formula>
    </cfRule>
  </conditionalFormatting>
  <conditionalFormatting sqref="AA23:AB25">
    <cfRule type="cellIs" dxfId="4100" priority="161" operator="between">
      <formula>50</formula>
      <formula>54.9</formula>
    </cfRule>
    <cfRule type="cellIs" dxfId="4099" priority="162" operator="between">
      <formula>65.1</formula>
      <formula>70</formula>
    </cfRule>
    <cfRule type="expression" dxfId="4098" priority="163">
      <formula>AA23&lt;50</formula>
    </cfRule>
    <cfRule type="expression" dxfId="4097" priority="164">
      <formula>AA23&gt;70</formula>
    </cfRule>
  </conditionalFormatting>
  <conditionalFormatting sqref="AA26:AB26">
    <cfRule type="cellIs" dxfId="4096" priority="157" operator="between">
      <formula>50</formula>
      <formula>54.9</formula>
    </cfRule>
    <cfRule type="cellIs" dxfId="4095" priority="158" operator="between">
      <formula>65.1</formula>
      <formula>70</formula>
    </cfRule>
    <cfRule type="expression" dxfId="4094" priority="159">
      <formula>AA26&lt;50</formula>
    </cfRule>
    <cfRule type="expression" dxfId="4093" priority="160">
      <formula>AA26&gt;70</formula>
    </cfRule>
  </conditionalFormatting>
  <conditionalFormatting sqref="Y23:Z25">
    <cfRule type="cellIs" dxfId="4092" priority="153" operator="between">
      <formula>50</formula>
      <formula>54.9</formula>
    </cfRule>
    <cfRule type="cellIs" dxfId="4091" priority="154" operator="between">
      <formula>65.1</formula>
      <formula>70</formula>
    </cfRule>
    <cfRule type="expression" dxfId="4090" priority="155">
      <formula>Y23&lt;50</formula>
    </cfRule>
    <cfRule type="expression" dxfId="4089" priority="156">
      <formula>Y23&gt;70</formula>
    </cfRule>
  </conditionalFormatting>
  <conditionalFormatting sqref="Y26:Z26">
    <cfRule type="cellIs" dxfId="4088" priority="149" operator="between">
      <formula>50</formula>
      <formula>54.9</formula>
    </cfRule>
    <cfRule type="cellIs" dxfId="4087" priority="150" operator="between">
      <formula>65.1</formula>
      <formula>70</formula>
    </cfRule>
    <cfRule type="expression" dxfId="4086" priority="151">
      <formula>Y26&lt;50</formula>
    </cfRule>
    <cfRule type="expression" dxfId="4085" priority="152">
      <formula>Y26&gt;70</formula>
    </cfRule>
  </conditionalFormatting>
  <conditionalFormatting sqref="K29">
    <cfRule type="expression" dxfId="4084" priority="147">
      <formula>K29&lt;55</formula>
    </cfRule>
    <cfRule type="expression" dxfId="4083" priority="148">
      <formula>K29&gt;65</formula>
    </cfRule>
  </conditionalFormatting>
  <conditionalFormatting sqref="K30">
    <cfRule type="cellIs" dxfId="4082" priority="143" operator="between">
      <formula>80</formula>
      <formula>84.9</formula>
    </cfRule>
    <cfRule type="cellIs" dxfId="4081" priority="144" operator="between">
      <formula>95.1</formula>
      <formula>100</formula>
    </cfRule>
    <cfRule type="expression" dxfId="4080" priority="145">
      <formula>K30&lt;80</formula>
    </cfRule>
    <cfRule type="expression" dxfId="4079" priority="146">
      <formula>K30&gt;100</formula>
    </cfRule>
  </conditionalFormatting>
  <conditionalFormatting sqref="K31">
    <cfRule type="expression" dxfId="4078" priority="141">
      <formula>K31&lt;40</formula>
    </cfRule>
    <cfRule type="expression" dxfId="4077" priority="142">
      <formula>K31&gt;60</formula>
    </cfRule>
  </conditionalFormatting>
  <conditionalFormatting sqref="K32">
    <cfRule type="expression" dxfId="4076" priority="139">
      <formula>K32&lt;50</formula>
    </cfRule>
    <cfRule type="expression" dxfId="4075" priority="140">
      <formula>K32&gt;70</formula>
    </cfRule>
  </conditionalFormatting>
  <conditionalFormatting sqref="I29">
    <cfRule type="expression" dxfId="4074" priority="137">
      <formula>I29&lt;55</formula>
    </cfRule>
    <cfRule type="expression" dxfId="4073" priority="138">
      <formula>I29&gt;65</formula>
    </cfRule>
  </conditionalFormatting>
  <conditionalFormatting sqref="I31">
    <cfRule type="expression" dxfId="4072" priority="135">
      <formula>I31&lt;40</formula>
    </cfRule>
    <cfRule type="expression" dxfId="4071" priority="136">
      <formula>I31&gt;60</formula>
    </cfRule>
  </conditionalFormatting>
  <conditionalFormatting sqref="I32">
    <cfRule type="expression" dxfId="4070" priority="133">
      <formula>I32&lt;50</formula>
    </cfRule>
    <cfRule type="expression" dxfId="4069" priority="134">
      <formula>I32&gt;70</formula>
    </cfRule>
  </conditionalFormatting>
  <conditionalFormatting sqref="S29">
    <cfRule type="expression" dxfId="4068" priority="131">
      <formula>S29&lt;55</formula>
    </cfRule>
    <cfRule type="expression" dxfId="4067" priority="132">
      <formula>S29&gt;65</formula>
    </cfRule>
  </conditionalFormatting>
  <conditionalFormatting sqref="S30">
    <cfRule type="cellIs" dxfId="4066" priority="127" operator="between">
      <formula>80</formula>
      <formula>84.9</formula>
    </cfRule>
    <cfRule type="cellIs" dxfId="4065" priority="128" operator="between">
      <formula>95.1</formula>
      <formula>100</formula>
    </cfRule>
    <cfRule type="expression" dxfId="4064" priority="129">
      <formula>S30&lt;80</formula>
    </cfRule>
    <cfRule type="expression" dxfId="4063" priority="130">
      <formula>S30&gt;100</formula>
    </cfRule>
  </conditionalFormatting>
  <conditionalFormatting sqref="S31">
    <cfRule type="expression" dxfId="4062" priority="125">
      <formula>S31&lt;40</formula>
    </cfRule>
    <cfRule type="expression" dxfId="4061" priority="126">
      <formula>S31&gt;60</formula>
    </cfRule>
  </conditionalFormatting>
  <conditionalFormatting sqref="S32">
    <cfRule type="expression" dxfId="4060" priority="123">
      <formula>S32&lt;50</formula>
    </cfRule>
    <cfRule type="expression" dxfId="4059" priority="124">
      <formula>S32&gt;70</formula>
    </cfRule>
  </conditionalFormatting>
  <conditionalFormatting sqref="Q29">
    <cfRule type="expression" dxfId="4058" priority="121">
      <formula>Q29&lt;55</formula>
    </cfRule>
    <cfRule type="expression" dxfId="4057" priority="122">
      <formula>Q29&gt;65</formula>
    </cfRule>
  </conditionalFormatting>
  <conditionalFormatting sqref="Q31">
    <cfRule type="expression" dxfId="4056" priority="119">
      <formula>Q31&lt;40</formula>
    </cfRule>
    <cfRule type="expression" dxfId="4055" priority="120">
      <formula>Q31&gt;60</formula>
    </cfRule>
  </conditionalFormatting>
  <conditionalFormatting sqref="Q32">
    <cfRule type="expression" dxfId="4054" priority="117">
      <formula>Q32&lt;50</formula>
    </cfRule>
    <cfRule type="expression" dxfId="4053" priority="118">
      <formula>Q32&gt;70</formula>
    </cfRule>
  </conditionalFormatting>
  <conditionalFormatting sqref="AA29">
    <cfRule type="expression" dxfId="4052" priority="115">
      <formula>AA29&lt;55</formula>
    </cfRule>
    <cfRule type="expression" dxfId="4051" priority="116">
      <formula>AA29&gt;65</formula>
    </cfRule>
  </conditionalFormatting>
  <conditionalFormatting sqref="AA30">
    <cfRule type="cellIs" dxfId="4050" priority="111" operator="between">
      <formula>80</formula>
      <formula>84.9</formula>
    </cfRule>
    <cfRule type="cellIs" dxfId="4049" priority="112" operator="between">
      <formula>95.1</formula>
      <formula>100</formula>
    </cfRule>
    <cfRule type="expression" dxfId="4048" priority="113">
      <formula>AA30&lt;80</formula>
    </cfRule>
    <cfRule type="expression" dxfId="4047" priority="114">
      <formula>AA30&gt;100</formula>
    </cfRule>
  </conditionalFormatting>
  <conditionalFormatting sqref="AA31">
    <cfRule type="expression" dxfId="4046" priority="109">
      <formula>AA31&lt;40</formula>
    </cfRule>
    <cfRule type="expression" dxfId="4045" priority="110">
      <formula>AA31&gt;60</formula>
    </cfRule>
  </conditionalFormatting>
  <conditionalFormatting sqref="AA32">
    <cfRule type="expression" dxfId="4044" priority="107">
      <formula>AA32&lt;50</formula>
    </cfRule>
    <cfRule type="expression" dxfId="4043" priority="108">
      <formula>AA32&gt;70</formula>
    </cfRule>
  </conditionalFormatting>
  <conditionalFormatting sqref="Y29">
    <cfRule type="expression" dxfId="4042" priority="105">
      <formula>Y29&lt;55</formula>
    </cfRule>
    <cfRule type="expression" dxfId="4041" priority="106">
      <formula>Y29&gt;65</formula>
    </cfRule>
  </conditionalFormatting>
  <conditionalFormatting sqref="Y31">
    <cfRule type="expression" dxfId="4040" priority="103">
      <formula>Y31&lt;40</formula>
    </cfRule>
    <cfRule type="expression" dxfId="4039" priority="104">
      <formula>Y31&gt;60</formula>
    </cfRule>
  </conditionalFormatting>
  <conditionalFormatting sqref="Y32">
    <cfRule type="expression" dxfId="4038" priority="101">
      <formula>Y32&lt;50</formula>
    </cfRule>
    <cfRule type="expression" dxfId="4037" priority="102">
      <formula>Y32&gt;70</formula>
    </cfRule>
  </conditionalFormatting>
  <conditionalFormatting sqref="I61 Y61 K61 Q61 S61 AA61">
    <cfRule type="expression" dxfId="4036" priority="99">
      <formula>I61&lt;20</formula>
    </cfRule>
    <cfRule type="expression" dxfId="4035" priority="100">
      <formula>I61&gt;30</formula>
    </cfRule>
  </conditionalFormatting>
  <conditionalFormatting sqref="I60 Y60 K60 Q60 S60 AA60">
    <cfRule type="expression" dxfId="4034" priority="97">
      <formula>I60&lt;24</formula>
    </cfRule>
    <cfRule type="expression" dxfId="4033" priority="98">
      <formula>I60&gt;28</formula>
    </cfRule>
  </conditionalFormatting>
  <conditionalFormatting sqref="K56:L58">
    <cfRule type="cellIs" dxfId="4032" priority="93" operator="between">
      <formula>50</formula>
      <formula>54.9</formula>
    </cfRule>
    <cfRule type="cellIs" dxfId="4031" priority="94" operator="between">
      <formula>65.1</formula>
      <formula>70</formula>
    </cfRule>
    <cfRule type="expression" dxfId="4030" priority="95">
      <formula>K56&lt;50</formula>
    </cfRule>
    <cfRule type="expression" dxfId="4029" priority="96">
      <formula>K56&gt;70</formula>
    </cfRule>
  </conditionalFormatting>
  <conditionalFormatting sqref="K59:L59">
    <cfRule type="cellIs" dxfId="4028" priority="89" operator="between">
      <formula>50</formula>
      <formula>54.9</formula>
    </cfRule>
    <cfRule type="cellIs" dxfId="4027" priority="90" operator="between">
      <formula>65.1</formula>
      <formula>70</formula>
    </cfRule>
    <cfRule type="expression" dxfId="4026" priority="91">
      <formula>K59&lt;50</formula>
    </cfRule>
    <cfRule type="expression" dxfId="4025" priority="92">
      <formula>K59&gt;70</formula>
    </cfRule>
  </conditionalFormatting>
  <conditionalFormatting sqref="I56:J58">
    <cfRule type="cellIs" dxfId="4024" priority="85" operator="between">
      <formula>50</formula>
      <formula>54.9</formula>
    </cfRule>
    <cfRule type="cellIs" dxfId="4023" priority="86" operator="between">
      <formula>65.1</formula>
      <formula>70</formula>
    </cfRule>
    <cfRule type="expression" dxfId="4022" priority="87">
      <formula>I56&lt;50</formula>
    </cfRule>
    <cfRule type="expression" dxfId="4021" priority="88">
      <formula>I56&gt;70</formula>
    </cfRule>
  </conditionalFormatting>
  <conditionalFormatting sqref="I59:J59">
    <cfRule type="cellIs" dxfId="4020" priority="81" operator="between">
      <formula>50</formula>
      <formula>54.9</formula>
    </cfRule>
    <cfRule type="cellIs" dxfId="4019" priority="82" operator="between">
      <formula>65.1</formula>
      <formula>70</formula>
    </cfRule>
    <cfRule type="expression" dxfId="4018" priority="83">
      <formula>I59&lt;50</formula>
    </cfRule>
    <cfRule type="expression" dxfId="4017" priority="84">
      <formula>I59&gt;70</formula>
    </cfRule>
  </conditionalFormatting>
  <conditionalFormatting sqref="S56:T58">
    <cfRule type="cellIs" dxfId="4016" priority="77" operator="between">
      <formula>50</formula>
      <formula>54.9</formula>
    </cfRule>
    <cfRule type="cellIs" dxfId="4015" priority="78" operator="between">
      <formula>65.1</formula>
      <formula>70</formula>
    </cfRule>
    <cfRule type="expression" dxfId="4014" priority="79">
      <formula>S56&lt;50</formula>
    </cfRule>
    <cfRule type="expression" dxfId="4013" priority="80">
      <formula>S56&gt;70</formula>
    </cfRule>
  </conditionalFormatting>
  <conditionalFormatting sqref="S59:T59">
    <cfRule type="cellIs" dxfId="4012" priority="73" operator="between">
      <formula>50</formula>
      <formula>54.9</formula>
    </cfRule>
    <cfRule type="cellIs" dxfId="4011" priority="74" operator="between">
      <formula>65.1</formula>
      <formula>70</formula>
    </cfRule>
    <cfRule type="expression" dxfId="4010" priority="75">
      <formula>S59&lt;50</formula>
    </cfRule>
    <cfRule type="expression" dxfId="4009" priority="76">
      <formula>S59&gt;70</formula>
    </cfRule>
  </conditionalFormatting>
  <conditionalFormatting sqref="Q56:R58">
    <cfRule type="cellIs" dxfId="4008" priority="69" operator="between">
      <formula>50</formula>
      <formula>54.9</formula>
    </cfRule>
    <cfRule type="cellIs" dxfId="4007" priority="70" operator="between">
      <formula>65.1</formula>
      <formula>70</formula>
    </cfRule>
    <cfRule type="expression" dxfId="4006" priority="71">
      <formula>Q56&lt;50</formula>
    </cfRule>
    <cfRule type="expression" dxfId="4005" priority="72">
      <formula>Q56&gt;70</formula>
    </cfRule>
  </conditionalFormatting>
  <conditionalFormatting sqref="Q59:R59">
    <cfRule type="cellIs" dxfId="4004" priority="65" operator="between">
      <formula>50</formula>
      <formula>54.9</formula>
    </cfRule>
    <cfRule type="cellIs" dxfId="4003" priority="66" operator="between">
      <formula>65.1</formula>
      <formula>70</formula>
    </cfRule>
    <cfRule type="expression" dxfId="4002" priority="67">
      <formula>Q59&lt;50</formula>
    </cfRule>
    <cfRule type="expression" dxfId="4001" priority="68">
      <formula>Q59&gt;70</formula>
    </cfRule>
  </conditionalFormatting>
  <conditionalFormatting sqref="AA56:AB58">
    <cfRule type="cellIs" dxfId="4000" priority="61" operator="between">
      <formula>50</formula>
      <formula>54.9</formula>
    </cfRule>
    <cfRule type="cellIs" dxfId="3999" priority="62" operator="between">
      <formula>65.1</formula>
      <formula>70</formula>
    </cfRule>
    <cfRule type="expression" dxfId="3998" priority="63">
      <formula>AA56&lt;50</formula>
    </cfRule>
    <cfRule type="expression" dxfId="3997" priority="64">
      <formula>AA56&gt;70</formula>
    </cfRule>
  </conditionalFormatting>
  <conditionalFormatting sqref="AA59:AB59">
    <cfRule type="cellIs" dxfId="3996" priority="57" operator="between">
      <formula>50</formula>
      <formula>54.9</formula>
    </cfRule>
    <cfRule type="cellIs" dxfId="3995" priority="58" operator="between">
      <formula>65.1</formula>
      <formula>70</formula>
    </cfRule>
    <cfRule type="expression" dxfId="3994" priority="59">
      <formula>AA59&lt;50</formula>
    </cfRule>
    <cfRule type="expression" dxfId="3993" priority="60">
      <formula>AA59&gt;70</formula>
    </cfRule>
  </conditionalFormatting>
  <conditionalFormatting sqref="Y56:Z58">
    <cfRule type="cellIs" dxfId="3992" priority="53" operator="between">
      <formula>50</formula>
      <formula>54.9</formula>
    </cfRule>
    <cfRule type="cellIs" dxfId="3991" priority="54" operator="between">
      <formula>65.1</formula>
      <formula>70</formula>
    </cfRule>
    <cfRule type="expression" dxfId="3990" priority="55">
      <formula>Y56&lt;50</formula>
    </cfRule>
    <cfRule type="expression" dxfId="3989" priority="56">
      <formula>Y56&gt;70</formula>
    </cfRule>
  </conditionalFormatting>
  <conditionalFormatting sqref="Y59:Z59">
    <cfRule type="cellIs" dxfId="3988" priority="49" operator="between">
      <formula>50</formula>
      <formula>54.9</formula>
    </cfRule>
    <cfRule type="cellIs" dxfId="3987" priority="50" operator="between">
      <formula>65.1</formula>
      <formula>70</formula>
    </cfRule>
    <cfRule type="expression" dxfId="3986" priority="51">
      <formula>Y59&lt;50</formula>
    </cfRule>
    <cfRule type="expression" dxfId="3985" priority="52">
      <formula>Y59&gt;70</formula>
    </cfRule>
  </conditionalFormatting>
  <conditionalFormatting sqref="K62">
    <cfRule type="expression" dxfId="3984" priority="47">
      <formula>K62&lt;55</formula>
    </cfRule>
    <cfRule type="expression" dxfId="3983" priority="48">
      <formula>K62&gt;65</formula>
    </cfRule>
  </conditionalFormatting>
  <conditionalFormatting sqref="K63">
    <cfRule type="cellIs" dxfId="3982" priority="43" operator="between">
      <formula>80</formula>
      <formula>84.9</formula>
    </cfRule>
    <cfRule type="cellIs" dxfId="3981" priority="44" operator="between">
      <formula>95.1</formula>
      <formula>100</formula>
    </cfRule>
    <cfRule type="expression" dxfId="3980" priority="45">
      <formula>K63&lt;80</formula>
    </cfRule>
    <cfRule type="expression" dxfId="3979" priority="46">
      <formula>K63&gt;100</formula>
    </cfRule>
  </conditionalFormatting>
  <conditionalFormatting sqref="K64">
    <cfRule type="expression" dxfId="3978" priority="41">
      <formula>K64&lt;40</formula>
    </cfRule>
    <cfRule type="expression" dxfId="3977" priority="42">
      <formula>K64&gt;60</formula>
    </cfRule>
  </conditionalFormatting>
  <conditionalFormatting sqref="K65">
    <cfRule type="expression" dxfId="3976" priority="39">
      <formula>K65&lt;50</formula>
    </cfRule>
    <cfRule type="expression" dxfId="3975" priority="40">
      <formula>K65&gt;70</formula>
    </cfRule>
  </conditionalFormatting>
  <conditionalFormatting sqref="I62">
    <cfRule type="expression" dxfId="3974" priority="37">
      <formula>I62&lt;55</formula>
    </cfRule>
    <cfRule type="expression" dxfId="3973" priority="38">
      <formula>I62&gt;65</formula>
    </cfRule>
  </conditionalFormatting>
  <conditionalFormatting sqref="I64">
    <cfRule type="expression" dxfId="3972" priority="35">
      <formula>I64&lt;40</formula>
    </cfRule>
    <cfRule type="expression" dxfId="3971" priority="36">
      <formula>I64&gt;60</formula>
    </cfRule>
  </conditionalFormatting>
  <conditionalFormatting sqref="I65">
    <cfRule type="expression" dxfId="3970" priority="33">
      <formula>I65&lt;50</formula>
    </cfRule>
    <cfRule type="expression" dxfId="3969" priority="34">
      <formula>I65&gt;70</formula>
    </cfRule>
  </conditionalFormatting>
  <conditionalFormatting sqref="S62">
    <cfRule type="expression" dxfId="3968" priority="31">
      <formula>S62&lt;55</formula>
    </cfRule>
    <cfRule type="expression" dxfId="3967" priority="32">
      <formula>S62&gt;65</formula>
    </cfRule>
  </conditionalFormatting>
  <conditionalFormatting sqref="S63">
    <cfRule type="cellIs" dxfId="3966" priority="27" operator="between">
      <formula>80</formula>
      <formula>84.9</formula>
    </cfRule>
    <cfRule type="cellIs" dxfId="3965" priority="28" operator="between">
      <formula>95.1</formula>
      <formula>100</formula>
    </cfRule>
    <cfRule type="expression" dxfId="3964" priority="29">
      <formula>S63&lt;80</formula>
    </cfRule>
    <cfRule type="expression" dxfId="3963" priority="30">
      <formula>S63&gt;100</formula>
    </cfRule>
  </conditionalFormatting>
  <conditionalFormatting sqref="S64">
    <cfRule type="expression" dxfId="3962" priority="25">
      <formula>S64&lt;40</formula>
    </cfRule>
    <cfRule type="expression" dxfId="3961" priority="26">
      <formula>S64&gt;60</formula>
    </cfRule>
  </conditionalFormatting>
  <conditionalFormatting sqref="S65">
    <cfRule type="expression" dxfId="3960" priority="23">
      <formula>S65&lt;50</formula>
    </cfRule>
    <cfRule type="expression" dxfId="3959" priority="24">
      <formula>S65&gt;70</formula>
    </cfRule>
  </conditionalFormatting>
  <conditionalFormatting sqref="Q62">
    <cfRule type="expression" dxfId="3958" priority="21">
      <formula>Q62&lt;55</formula>
    </cfRule>
    <cfRule type="expression" dxfId="3957" priority="22">
      <formula>Q62&gt;65</formula>
    </cfRule>
  </conditionalFormatting>
  <conditionalFormatting sqref="Q64">
    <cfRule type="expression" dxfId="3956" priority="19">
      <formula>Q64&lt;40</formula>
    </cfRule>
    <cfRule type="expression" dxfId="3955" priority="20">
      <formula>Q64&gt;60</formula>
    </cfRule>
  </conditionalFormatting>
  <conditionalFormatting sqref="Q65">
    <cfRule type="expression" dxfId="3954" priority="17">
      <formula>Q65&lt;50</formula>
    </cfRule>
    <cfRule type="expression" dxfId="3953" priority="18">
      <formula>Q65&gt;70</formula>
    </cfRule>
  </conditionalFormatting>
  <conditionalFormatting sqref="AA62">
    <cfRule type="expression" dxfId="3952" priority="15">
      <formula>AA62&lt;55</formula>
    </cfRule>
    <cfRule type="expression" dxfId="3951" priority="16">
      <formula>AA62&gt;65</formula>
    </cfRule>
  </conditionalFormatting>
  <conditionalFormatting sqref="AA63">
    <cfRule type="cellIs" dxfId="3950" priority="11" operator="between">
      <formula>80</formula>
      <formula>84.9</formula>
    </cfRule>
    <cfRule type="cellIs" dxfId="3949" priority="12" operator="between">
      <formula>95.1</formula>
      <formula>100</formula>
    </cfRule>
    <cfRule type="expression" dxfId="3948" priority="13">
      <formula>AA63&lt;80</formula>
    </cfRule>
    <cfRule type="expression" dxfId="3947" priority="14">
      <formula>AA63&gt;100</formula>
    </cfRule>
  </conditionalFormatting>
  <conditionalFormatting sqref="AA64">
    <cfRule type="expression" dxfId="3946" priority="9">
      <formula>AA64&lt;40</formula>
    </cfRule>
    <cfRule type="expression" dxfId="3945" priority="10">
      <formula>AA64&gt;60</formula>
    </cfRule>
  </conditionalFormatting>
  <conditionalFormatting sqref="AA65">
    <cfRule type="expression" dxfId="3944" priority="7">
      <formula>AA65&lt;50</formula>
    </cfRule>
    <cfRule type="expression" dxfId="3943" priority="8">
      <formula>AA65&gt;70</formula>
    </cfRule>
  </conditionalFormatting>
  <conditionalFormatting sqref="Y62">
    <cfRule type="expression" dxfId="3942" priority="5">
      <formula>Y62&lt;55</formula>
    </cfRule>
    <cfRule type="expression" dxfId="3941" priority="6">
      <formula>Y62&gt;65</formula>
    </cfRule>
  </conditionalFormatting>
  <conditionalFormatting sqref="Y64">
    <cfRule type="expression" dxfId="3940" priority="3">
      <formula>Y64&lt;40</formula>
    </cfRule>
    <cfRule type="expression" dxfId="3939" priority="4">
      <formula>Y64&gt;60</formula>
    </cfRule>
  </conditionalFormatting>
  <conditionalFormatting sqref="Y65">
    <cfRule type="expression" dxfId="3938" priority="1">
      <formula>Y65&lt;50</formula>
    </cfRule>
    <cfRule type="expression" dxfId="3937" priority="2">
      <formula>Y65&gt;70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8.xml><?xml version="1.0" encoding="utf-8"?>
<worksheet xmlns="http://schemas.openxmlformats.org/spreadsheetml/2006/main" xmlns:r="http://schemas.openxmlformats.org/officeDocument/2006/relationships">
  <sheetPr codeName="Sheet12">
    <tabColor rgb="FFC00000"/>
  </sheetPr>
  <dimension ref="A1:BM148"/>
  <sheetViews>
    <sheetView showGridLines="0" zoomScale="55" zoomScaleNormal="55" workbookViewId="0">
      <pane xSplit="8" ySplit="2" topLeftCell="I119" activePane="bottomRight" state="frozen"/>
      <selection pane="topRight" activeCell="I1" sqref="I1"/>
      <selection pane="bottomLeft" activeCell="A3" sqref="A3"/>
      <selection pane="bottomRight" activeCell="C75" sqref="C75:AW131"/>
    </sheetView>
  </sheetViews>
  <sheetFormatPr defaultRowHeight="15.75"/>
  <cols>
    <col min="1" max="1" width="9.75" style="1273" customWidth="1"/>
    <col min="2" max="2" width="16.25" style="274" hidden="1" customWidth="1"/>
    <col min="3" max="3" width="29" style="274" customWidth="1"/>
    <col min="4" max="4" width="11" style="274" customWidth="1"/>
    <col min="5" max="5" width="20.25" style="274" customWidth="1"/>
    <col min="6" max="6" width="12.375" style="274" customWidth="1"/>
    <col min="7" max="7" width="12" style="1392" hidden="1" customWidth="1"/>
    <col min="8" max="8" width="12.875" style="274" hidden="1" customWidth="1"/>
    <col min="9" max="9" width="11.375" style="274" customWidth="1"/>
    <col min="10" max="10" width="11.375" style="274" hidden="1" customWidth="1"/>
    <col min="11" max="11" width="2.5" style="274" customWidth="1"/>
    <col min="12" max="12" width="8" style="274" customWidth="1"/>
    <col min="13" max="13" width="7.375" style="1727" customWidth="1"/>
    <col min="14" max="14" width="5" style="274" customWidth="1"/>
    <col min="15" max="15" width="6.625" style="274" hidden="1" customWidth="1"/>
    <col min="16" max="16" width="10" style="274" customWidth="1"/>
    <col min="17" max="17" width="5.75" style="274" hidden="1" customWidth="1"/>
    <col min="18" max="18" width="3" style="274" customWidth="1"/>
    <col min="19" max="19" width="7.875" style="274" customWidth="1"/>
    <col min="20" max="20" width="6.5" style="1727" customWidth="1"/>
    <col min="21" max="21" width="5.25" style="274" customWidth="1"/>
    <col min="22" max="22" width="9" style="274" hidden="1" customWidth="1"/>
    <col min="23" max="23" width="10.25" style="274" customWidth="1"/>
    <col min="24" max="24" width="9" style="274" hidden="1" customWidth="1"/>
    <col min="25" max="25" width="3.75" style="274" customWidth="1"/>
    <col min="26" max="26" width="7.5" style="274" customWidth="1"/>
    <col min="27" max="27" width="6.5" style="1727" customWidth="1"/>
    <col min="28" max="28" width="5.375" style="274" customWidth="1"/>
    <col min="29" max="29" width="9" style="274" hidden="1" customWidth="1"/>
    <col min="30" max="30" width="9.125" style="274" customWidth="1"/>
    <col min="31" max="31" width="9" style="274" hidden="1" customWidth="1"/>
    <col min="32" max="32" width="4" style="274" customWidth="1"/>
    <col min="33" max="33" width="7.75" style="274" customWidth="1"/>
    <col min="34" max="34" width="6.125" style="1727" customWidth="1"/>
    <col min="35" max="35" width="5.75" style="43" customWidth="1"/>
    <col min="36" max="36" width="7.5" style="274" hidden="1" customWidth="1"/>
    <col min="37" max="37" width="7.625" style="274" hidden="1" customWidth="1"/>
    <col min="38" max="38" width="9" style="274" hidden="1" customWidth="1"/>
    <col min="39" max="39" width="4" style="274" hidden="1" customWidth="1"/>
    <col min="40" max="40" width="7.375" style="274" hidden="1" customWidth="1"/>
    <col min="41" max="41" width="6.5" style="1727" hidden="1" customWidth="1"/>
    <col min="42" max="42" width="4.875" style="43" hidden="1" customWidth="1"/>
    <col min="43" max="43" width="7" style="274" hidden="1" customWidth="1"/>
    <col min="44" max="44" width="9.25" style="274" customWidth="1"/>
    <col min="45" max="45" width="9" style="274" hidden="1" customWidth="1"/>
    <col min="46" max="46" width="4" style="274" customWidth="1"/>
    <col min="47" max="47" width="7.875" style="274" customWidth="1"/>
    <col min="48" max="48" width="6.5" style="1727" customWidth="1"/>
    <col min="49" max="49" width="4.875" style="43" customWidth="1"/>
    <col min="50" max="50" width="4.875" style="274" customWidth="1"/>
    <col min="51" max="51" width="26.75" style="274" customWidth="1"/>
    <col min="52" max="52" width="13.125" style="274" customWidth="1"/>
    <col min="53" max="53" width="23.875" style="274" customWidth="1"/>
    <col min="54" max="54" width="18.125" style="274" customWidth="1"/>
    <col min="55" max="55" width="24.125" style="274" customWidth="1"/>
    <col min="56" max="56" width="23.5" style="274" customWidth="1"/>
    <col min="57" max="57" width="18.125" style="274" customWidth="1"/>
    <col min="58" max="58" width="7.625" style="274" customWidth="1"/>
    <col min="59" max="59" width="18.125" style="274" customWidth="1"/>
    <col min="60" max="60" width="7.125" style="274" customWidth="1"/>
    <col min="61" max="62" width="18.125" style="274" customWidth="1"/>
    <col min="63" max="63" width="12" style="274" customWidth="1"/>
    <col min="64" max="64" width="24.75" style="274" customWidth="1"/>
    <col min="65" max="16384" width="9" style="274"/>
  </cols>
  <sheetData>
    <row r="1" spans="1:53" ht="39" customHeight="1">
      <c r="A1" s="1814"/>
      <c r="B1" s="298"/>
      <c r="C1" s="299" t="s">
        <v>1538</v>
      </c>
      <c r="D1" s="300"/>
      <c r="E1" s="1713"/>
      <c r="F1" s="1713"/>
      <c r="G1" s="1393"/>
      <c r="H1" s="300"/>
      <c r="I1" s="300"/>
      <c r="J1" s="300"/>
      <c r="K1" s="300"/>
      <c r="L1" s="300"/>
      <c r="M1" s="1720"/>
      <c r="N1" s="300"/>
      <c r="O1" s="300"/>
      <c r="P1" s="300"/>
      <c r="Q1" s="300"/>
      <c r="R1" s="300"/>
      <c r="S1" s="300"/>
      <c r="T1" s="1720"/>
      <c r="U1" s="300"/>
      <c r="V1" s="300"/>
      <c r="W1" s="300"/>
      <c r="X1" s="300"/>
      <c r="Y1" s="300"/>
      <c r="Z1" s="300"/>
      <c r="AA1" s="1720"/>
      <c r="AB1" s="300"/>
      <c r="AC1" s="300"/>
      <c r="AD1" s="300"/>
      <c r="AE1" s="300"/>
      <c r="AF1" s="300"/>
      <c r="AG1" s="300"/>
      <c r="AH1" s="1720"/>
      <c r="AI1" s="274"/>
      <c r="AP1" s="274"/>
      <c r="AV1" s="2251"/>
      <c r="AW1" s="1704"/>
    </row>
    <row r="2" spans="1:53" ht="30.75" customHeight="1">
      <c r="A2" s="2096" t="str">
        <f>MENU!$AC$9</f>
        <v>Thứ 3,</v>
      </c>
      <c r="B2" s="2097"/>
      <c r="C2" s="2098" t="str">
        <f>MENU!$AD$9</f>
        <v>2024/01/09</v>
      </c>
      <c r="D2" s="1601"/>
      <c r="E2" s="1714"/>
      <c r="F2" s="1715"/>
      <c r="G2" s="1394"/>
      <c r="H2" s="301"/>
      <c r="I2" s="301"/>
      <c r="J2" s="301"/>
      <c r="K2" s="301"/>
      <c r="L2" s="301"/>
      <c r="M2" s="1721"/>
      <c r="N2" s="301"/>
      <c r="O2" s="301"/>
      <c r="P2" s="301"/>
      <c r="Q2" s="301"/>
      <c r="R2" s="301"/>
      <c r="S2" s="301"/>
      <c r="T2" s="1721"/>
      <c r="U2" s="301"/>
      <c r="V2" s="301"/>
      <c r="W2" s="301"/>
      <c r="X2" s="301"/>
      <c r="Y2" s="301"/>
      <c r="Z2" s="301"/>
      <c r="AA2" s="1721"/>
      <c r="AB2" s="301"/>
      <c r="AC2" s="301"/>
      <c r="AD2" s="301"/>
      <c r="AE2" s="301"/>
      <c r="AF2" s="301"/>
      <c r="AG2" s="301"/>
      <c r="AH2" s="1730"/>
      <c r="AI2" s="274"/>
      <c r="AP2" s="274"/>
      <c r="AW2" s="274"/>
    </row>
    <row r="3" spans="1:53" ht="41.25" customHeight="1">
      <c r="A3" s="1815"/>
      <c r="B3" s="1088"/>
      <c r="C3" s="1815" t="s">
        <v>1502</v>
      </c>
      <c r="D3" s="1089"/>
      <c r="E3" s="2248"/>
      <c r="F3" s="1089"/>
      <c r="G3" s="2036"/>
      <c r="H3" s="1090"/>
      <c r="I3" s="1943" t="str">
        <f>MENU!$AC$9</f>
        <v>Thứ 3,</v>
      </c>
      <c r="J3" s="2040"/>
      <c r="K3" s="2040"/>
      <c r="L3" s="1944" t="str">
        <f>MENU!$AD$9</f>
        <v>2024/01/09</v>
      </c>
      <c r="M3" s="2041"/>
      <c r="N3" s="1091"/>
      <c r="O3" s="1091"/>
      <c r="P3" s="1091"/>
      <c r="Q3" s="1091"/>
      <c r="R3" s="1091"/>
      <c r="S3" s="1091"/>
      <c r="T3" s="1722"/>
      <c r="U3" s="1090"/>
      <c r="V3" s="1090"/>
      <c r="W3" s="1090"/>
      <c r="X3" s="1090"/>
      <c r="Y3" s="1090"/>
      <c r="Z3" s="1090"/>
      <c r="AA3" s="1729"/>
      <c r="AB3" s="1090"/>
      <c r="AC3" s="1090"/>
      <c r="AD3" s="2034" t="s">
        <v>216</v>
      </c>
      <c r="AE3" s="1090"/>
      <c r="AF3" s="1090"/>
      <c r="AG3" s="1090"/>
      <c r="AH3" s="1729"/>
      <c r="AI3" s="1090"/>
      <c r="AJ3" s="1085"/>
      <c r="AK3" s="1088"/>
      <c r="AL3" s="1092"/>
      <c r="AM3" s="1092"/>
      <c r="AN3" s="1092"/>
      <c r="AO3" s="1731"/>
      <c r="AP3" s="1092"/>
      <c r="AQ3" s="1092"/>
      <c r="AR3" s="1092"/>
      <c r="AS3" s="1092"/>
      <c r="AT3" s="1092"/>
      <c r="AU3" s="1092"/>
      <c r="AV3" s="1731"/>
      <c r="AW3" s="1093"/>
      <c r="AY3" s="3073" t="s">
        <v>1543</v>
      </c>
      <c r="AZ3" s="3073" t="s">
        <v>1009</v>
      </c>
      <c r="BA3" s="3074" t="s">
        <v>1008</v>
      </c>
    </row>
    <row r="4" spans="1:53" ht="24.75" customHeight="1">
      <c r="A4" s="1816"/>
      <c r="B4" s="1453"/>
      <c r="C4" s="1458"/>
      <c r="D4" s="1458"/>
      <c r="E4" s="1458"/>
      <c r="F4" s="2013"/>
      <c r="G4" s="3100" t="s">
        <v>126</v>
      </c>
      <c r="H4" s="87"/>
      <c r="I4" s="279" t="s">
        <v>1489</v>
      </c>
      <c r="J4" s="279"/>
      <c r="K4" s="279"/>
      <c r="L4" s="279"/>
      <c r="M4" s="1723"/>
      <c r="N4" s="279"/>
      <c r="O4" s="88"/>
      <c r="P4" s="292" t="s">
        <v>1479</v>
      </c>
      <c r="Q4" s="279"/>
      <c r="R4" s="279"/>
      <c r="S4" s="279"/>
      <c r="T4" s="1723"/>
      <c r="U4" s="280"/>
      <c r="V4" s="279"/>
      <c r="W4" s="279" t="s">
        <v>1480</v>
      </c>
      <c r="X4" s="279"/>
      <c r="Y4" s="279"/>
      <c r="Z4" s="279"/>
      <c r="AA4" s="1723"/>
      <c r="AB4" s="279"/>
      <c r="AC4" s="88"/>
      <c r="AD4" s="292" t="s">
        <v>1481</v>
      </c>
      <c r="AE4" s="279"/>
      <c r="AF4" s="279"/>
      <c r="AG4" s="279"/>
      <c r="AH4" s="1723"/>
      <c r="AI4" s="280"/>
      <c r="AJ4" s="279"/>
      <c r="AK4" s="279" t="s">
        <v>1482</v>
      </c>
      <c r="AL4" s="279"/>
      <c r="AM4" s="279"/>
      <c r="AN4" s="279"/>
      <c r="AO4" s="1723"/>
      <c r="AP4" s="279"/>
      <c r="AQ4" s="279"/>
      <c r="AR4" s="292" t="s">
        <v>1483</v>
      </c>
      <c r="AS4" s="279"/>
      <c r="AT4" s="279"/>
      <c r="AU4" s="280"/>
      <c r="AV4" s="1734"/>
      <c r="AW4" s="1035"/>
      <c r="AY4" s="3073"/>
      <c r="AZ4" s="3073"/>
      <c r="BA4" s="3074"/>
    </row>
    <row r="5" spans="1:53" ht="63.75" customHeight="1">
      <c r="A5" s="1817" t="s">
        <v>239</v>
      </c>
      <c r="B5" s="1453" t="s">
        <v>318</v>
      </c>
      <c r="C5" s="1456" t="s">
        <v>317</v>
      </c>
      <c r="D5" s="1456" t="s">
        <v>1284</v>
      </c>
      <c r="E5" s="1939" t="s">
        <v>1516</v>
      </c>
      <c r="F5" s="2014" t="s">
        <v>1317</v>
      </c>
      <c r="G5" s="3101"/>
      <c r="H5" s="20"/>
      <c r="I5" s="1861" t="s">
        <v>1466</v>
      </c>
      <c r="J5" s="1830" t="s">
        <v>1</v>
      </c>
      <c r="K5" s="3089" t="s">
        <v>1467</v>
      </c>
      <c r="L5" s="3089"/>
      <c r="M5" s="3090" t="s">
        <v>1527</v>
      </c>
      <c r="N5" s="3091"/>
      <c r="O5" s="89"/>
      <c r="P5" s="1861" t="s">
        <v>1466</v>
      </c>
      <c r="Q5" s="1830" t="s">
        <v>1</v>
      </c>
      <c r="R5" s="3089" t="s">
        <v>1467</v>
      </c>
      <c r="S5" s="3089"/>
      <c r="T5" s="3090" t="s">
        <v>1527</v>
      </c>
      <c r="U5" s="3091"/>
      <c r="V5" s="20"/>
      <c r="W5" s="1861" t="s">
        <v>1466</v>
      </c>
      <c r="X5" s="1830" t="s">
        <v>1</v>
      </c>
      <c r="Y5" s="3089" t="s">
        <v>1467</v>
      </c>
      <c r="Z5" s="3089"/>
      <c r="AA5" s="3090" t="s">
        <v>1527</v>
      </c>
      <c r="AB5" s="3091"/>
      <c r="AC5" s="89"/>
      <c r="AD5" s="1861" t="s">
        <v>1466</v>
      </c>
      <c r="AE5" s="1830" t="s">
        <v>1</v>
      </c>
      <c r="AF5" s="3089" t="s">
        <v>1467</v>
      </c>
      <c r="AG5" s="3089"/>
      <c r="AH5" s="3090" t="s">
        <v>1527</v>
      </c>
      <c r="AI5" s="3091"/>
      <c r="AJ5" s="89"/>
      <c r="AK5" s="2153" t="s">
        <v>1466</v>
      </c>
      <c r="AL5" s="1830" t="s">
        <v>1</v>
      </c>
      <c r="AM5" s="3089" t="s">
        <v>1467</v>
      </c>
      <c r="AN5" s="3089"/>
      <c r="AO5" s="3090" t="s">
        <v>1527</v>
      </c>
      <c r="AP5" s="3091"/>
      <c r="AQ5" s="89"/>
      <c r="AR5" s="1861" t="s">
        <v>1466</v>
      </c>
      <c r="AS5" s="1830" t="s">
        <v>1</v>
      </c>
      <c r="AT5" s="3089" t="s">
        <v>1467</v>
      </c>
      <c r="AU5" s="3089"/>
      <c r="AV5" s="3090" t="s">
        <v>1527</v>
      </c>
      <c r="AW5" s="3091"/>
      <c r="AY5" s="3073"/>
      <c r="AZ5" s="3073"/>
      <c r="BA5" s="3075"/>
    </row>
    <row r="6" spans="1:53" ht="37.5" customHeight="1">
      <c r="A6" s="1946" t="s">
        <v>240</v>
      </c>
      <c r="B6" s="1947" t="s">
        <v>216</v>
      </c>
      <c r="C6" s="1947" t="s">
        <v>78</v>
      </c>
      <c r="D6" s="1948" t="s">
        <v>4</v>
      </c>
      <c r="E6" s="2000" t="s">
        <v>1365</v>
      </c>
      <c r="F6" s="2015" t="s">
        <v>1343</v>
      </c>
      <c r="G6" s="2004">
        <v>30</v>
      </c>
      <c r="H6" s="1951">
        <f>XM.HN!B3</f>
        <v>0</v>
      </c>
      <c r="I6" s="1952">
        <f>H6*4</f>
        <v>0</v>
      </c>
      <c r="J6" s="1953">
        <f>($G$6-I6)*2693/1000</f>
        <v>80.790000000000006</v>
      </c>
      <c r="K6" s="1954" t="s">
        <v>8</v>
      </c>
      <c r="L6" s="1955">
        <f>IF(I6=0,0,IF(J6&lt;0,0,J6))</f>
        <v>0</v>
      </c>
      <c r="M6" s="2189" t="str">
        <f>IF('1. XL-1E TT'!AB6="","",'1. XL-1E TT'!AB6)</f>
        <v/>
      </c>
      <c r="N6" s="1957" t="s">
        <v>9</v>
      </c>
      <c r="O6" s="1958">
        <f>XM.HN!C3</f>
        <v>0</v>
      </c>
      <c r="P6" s="1952">
        <f>O6*4</f>
        <v>0</v>
      </c>
      <c r="Q6" s="1953">
        <f>($G$6-P6)*2693/1000</f>
        <v>80.790000000000006</v>
      </c>
      <c r="R6" s="1954" t="s">
        <v>8</v>
      </c>
      <c r="S6" s="1955">
        <f>IF(P6=0,0,IF(Q6&lt;0,0,Q6))</f>
        <v>0</v>
      </c>
      <c r="T6" s="2189" t="str">
        <f>IF('1. XL-1E TT'!AF6="","",'1. XL-1E TT'!AF6)</f>
        <v/>
      </c>
      <c r="U6" s="1957" t="s">
        <v>9</v>
      </c>
      <c r="V6" s="1958">
        <f>XM.HN!D3</f>
        <v>0</v>
      </c>
      <c r="W6" s="1952">
        <f>V6*4</f>
        <v>0</v>
      </c>
      <c r="X6" s="1953">
        <f>($G$6-W6)*2693/1000</f>
        <v>80.790000000000006</v>
      </c>
      <c r="Y6" s="1954" t="s">
        <v>8</v>
      </c>
      <c r="Z6" s="1955">
        <f>IF(W6=0,0,IF(X6&lt;0,0,X6))</f>
        <v>0</v>
      </c>
      <c r="AA6" s="2189" t="str">
        <f>IF('1. XL-1E TT'!AJ6="","",'1. XL-1E TT'!AJ6)</f>
        <v/>
      </c>
      <c r="AB6" s="1957" t="s">
        <v>9</v>
      </c>
      <c r="AC6" s="1958">
        <f>XM.HN!E3</f>
        <v>0</v>
      </c>
      <c r="AD6" s="1952">
        <f>AC6*4</f>
        <v>0</v>
      </c>
      <c r="AE6" s="1953">
        <f>($G$6-AD6)*2693/1000</f>
        <v>80.790000000000006</v>
      </c>
      <c r="AF6" s="1954" t="s">
        <v>8</v>
      </c>
      <c r="AG6" s="1955">
        <f>IF(AD6=0,0,IF(AE6&lt;0,0,AE6))</f>
        <v>0</v>
      </c>
      <c r="AH6" s="2189" t="str">
        <f>IF('1. XL-1E TT(CA2)'!AB6="","",'1. XL-1E TT(CA2)'!AB6)</f>
        <v/>
      </c>
      <c r="AI6" s="1957" t="s">
        <v>9</v>
      </c>
      <c r="AJ6" s="1958">
        <f>XM.HN!F3</f>
        <v>0</v>
      </c>
      <c r="AK6" s="1952">
        <f>AJ6*4</f>
        <v>0</v>
      </c>
      <c r="AL6" s="1953">
        <f>($G$6-AK6)*2693/1000</f>
        <v>80.790000000000006</v>
      </c>
      <c r="AM6" s="1954" t="s">
        <v>8</v>
      </c>
      <c r="AN6" s="1955">
        <f>IF(AK6=0,0,IF(AL6&lt;0,0,AL6))</f>
        <v>0</v>
      </c>
      <c r="AO6" s="2189" t="str">
        <f>IF('1. XL-1E TT(CA2)'!AF6="","",'1. XL-1E TT(CA2)'!AF6)</f>
        <v/>
      </c>
      <c r="AP6" s="1957" t="s">
        <v>9</v>
      </c>
      <c r="AQ6" s="1958">
        <f>XM.HN!G3</f>
        <v>0</v>
      </c>
      <c r="AR6" s="1952">
        <f>AQ6*4</f>
        <v>0</v>
      </c>
      <c r="AS6" s="1953">
        <f>($G$6-AR6)*2693/1000</f>
        <v>80.790000000000006</v>
      </c>
      <c r="AT6" s="1954" t="s">
        <v>8</v>
      </c>
      <c r="AU6" s="1955">
        <f>IF(AR6=0,0,IF(AS6&lt;0,0,AS6))</f>
        <v>0</v>
      </c>
      <c r="AV6" s="2189" t="str">
        <f>IF('1. XL-1E TT(CA2)'!AJ6="","",'1. XL-1E TT(CA2)'!AJ6)</f>
        <v/>
      </c>
      <c r="AW6" s="1957" t="s">
        <v>9</v>
      </c>
      <c r="AY6" s="3080" t="s">
        <v>1563</v>
      </c>
      <c r="AZ6" s="3076" t="s">
        <v>1010</v>
      </c>
      <c r="BA6" s="3079" t="s">
        <v>1021</v>
      </c>
    </row>
    <row r="7" spans="1:53" ht="37.5" customHeight="1">
      <c r="A7" s="1959"/>
      <c r="B7" s="1960"/>
      <c r="C7" s="1961" t="s">
        <v>102</v>
      </c>
      <c r="D7" s="1962"/>
      <c r="E7" s="2001" t="s">
        <v>103</v>
      </c>
      <c r="F7" s="2016"/>
      <c r="G7" s="2005"/>
      <c r="H7" s="1965"/>
      <c r="I7" s="1997"/>
      <c r="J7" s="1966"/>
      <c r="K7" s="1967" t="s">
        <v>8</v>
      </c>
      <c r="L7" s="1983">
        <f>L6/25*840/1000</f>
        <v>0</v>
      </c>
      <c r="M7" s="2190" t="str">
        <f>IF('1. XL-1E TT'!AB7="","",'1. XL-1E TT'!AB7)</f>
        <v/>
      </c>
      <c r="N7" s="1969" t="s">
        <v>10</v>
      </c>
      <c r="O7" s="1970"/>
      <c r="P7" s="1997"/>
      <c r="Q7" s="1966"/>
      <c r="R7" s="1967" t="s">
        <v>8</v>
      </c>
      <c r="S7" s="1983">
        <f>S6/25*840/1000</f>
        <v>0</v>
      </c>
      <c r="T7" s="2190" t="str">
        <f>IF('1. XL-1E TT'!AF7="","",'1. XL-1E TT'!AF7)</f>
        <v/>
      </c>
      <c r="U7" s="1969" t="s">
        <v>10</v>
      </c>
      <c r="V7" s="1970"/>
      <c r="W7" s="1997"/>
      <c r="X7" s="1966"/>
      <c r="Y7" s="1967" t="s">
        <v>8</v>
      </c>
      <c r="Z7" s="1983">
        <f>Z6/25*840/1000</f>
        <v>0</v>
      </c>
      <c r="AA7" s="2190" t="str">
        <f>IF('1. XL-1E TT'!AJ7="","",'1. XL-1E TT'!AJ7)</f>
        <v/>
      </c>
      <c r="AB7" s="1969" t="s">
        <v>10</v>
      </c>
      <c r="AC7" s="1970"/>
      <c r="AD7" s="1997"/>
      <c r="AE7" s="1966"/>
      <c r="AF7" s="1967" t="s">
        <v>8</v>
      </c>
      <c r="AG7" s="1983">
        <f>AG6/25*840/1000</f>
        <v>0</v>
      </c>
      <c r="AH7" s="2190" t="str">
        <f>IF('1. XL-1E TT(CA2)'!AB7="","",'1. XL-1E TT(CA2)'!AB7)</f>
        <v/>
      </c>
      <c r="AI7" s="1969" t="s">
        <v>10</v>
      </c>
      <c r="AJ7" s="1970"/>
      <c r="AK7" s="1997"/>
      <c r="AL7" s="1966"/>
      <c r="AM7" s="1967" t="s">
        <v>8</v>
      </c>
      <c r="AN7" s="1983">
        <f>AN6/25*840/1000</f>
        <v>0</v>
      </c>
      <c r="AO7" s="2190" t="str">
        <f>IF('1. XL-1E TT(CA2)'!AF7="","",'1. XL-1E TT(CA2)'!AF7)</f>
        <v/>
      </c>
      <c r="AP7" s="1969" t="s">
        <v>10</v>
      </c>
      <c r="AQ7" s="1970"/>
      <c r="AR7" s="1997"/>
      <c r="AS7" s="1966"/>
      <c r="AT7" s="1967" t="s">
        <v>8</v>
      </c>
      <c r="AU7" s="1983">
        <f>AU6/25*840/1000</f>
        <v>0</v>
      </c>
      <c r="AV7" s="2190" t="str">
        <f>IF('1. XL-1E TT(CA2)'!AJ7="","",'1. XL-1E TT(CA2)'!AJ7)</f>
        <v/>
      </c>
      <c r="AW7" s="1969" t="s">
        <v>10</v>
      </c>
      <c r="AY7" s="3081"/>
      <c r="AZ7" s="3076"/>
      <c r="BA7" s="3079"/>
    </row>
    <row r="8" spans="1:53" ht="37.5" customHeight="1">
      <c r="A8" s="1971"/>
      <c r="B8" s="1972"/>
      <c r="C8" s="1973" t="s">
        <v>104</v>
      </c>
      <c r="D8" s="1974"/>
      <c r="E8" s="2002" t="s">
        <v>103</v>
      </c>
      <c r="F8" s="2017"/>
      <c r="G8" s="2006"/>
      <c r="H8" s="1977"/>
      <c r="I8" s="1998"/>
      <c r="J8" s="1978"/>
      <c r="K8" s="1967" t="s">
        <v>8</v>
      </c>
      <c r="L8" s="1984">
        <f>L7*10</f>
        <v>0</v>
      </c>
      <c r="M8" s="2191" t="str">
        <f>IF('1. XL-1E TT'!AB8="","",'1. XL-1E TT'!AB8)</f>
        <v/>
      </c>
      <c r="N8" s="1981" t="s">
        <v>10</v>
      </c>
      <c r="O8" s="1982"/>
      <c r="P8" s="1998"/>
      <c r="Q8" s="1978"/>
      <c r="R8" s="1967" t="s">
        <v>8</v>
      </c>
      <c r="S8" s="1984">
        <f>S7*10</f>
        <v>0</v>
      </c>
      <c r="T8" s="2191" t="str">
        <f>IF('1. XL-1E TT'!AF8="","",'1. XL-1E TT'!AF8)</f>
        <v/>
      </c>
      <c r="U8" s="1981" t="s">
        <v>10</v>
      </c>
      <c r="V8" s="1982"/>
      <c r="W8" s="1998"/>
      <c r="X8" s="1978"/>
      <c r="Y8" s="1967" t="s">
        <v>8</v>
      </c>
      <c r="Z8" s="1984">
        <f>Z7*10</f>
        <v>0</v>
      </c>
      <c r="AA8" s="2191" t="str">
        <f>IF('1. XL-1E TT'!AJ8="","",'1. XL-1E TT'!AJ8)</f>
        <v/>
      </c>
      <c r="AB8" s="1981" t="s">
        <v>10</v>
      </c>
      <c r="AC8" s="1982"/>
      <c r="AD8" s="1998"/>
      <c r="AE8" s="1978"/>
      <c r="AF8" s="1967" t="s">
        <v>8</v>
      </c>
      <c r="AG8" s="1984">
        <f>AG7*10</f>
        <v>0</v>
      </c>
      <c r="AH8" s="2191" t="str">
        <f>IF('1. XL-1E TT(CA2)'!AB8="","",'1. XL-1E TT(CA2)'!AB8)</f>
        <v/>
      </c>
      <c r="AI8" s="1981" t="s">
        <v>10</v>
      </c>
      <c r="AJ8" s="1982"/>
      <c r="AK8" s="1998"/>
      <c r="AL8" s="1978"/>
      <c r="AM8" s="1967" t="s">
        <v>8</v>
      </c>
      <c r="AN8" s="1984">
        <f>AN7*10</f>
        <v>0</v>
      </c>
      <c r="AO8" s="2191" t="str">
        <f>IF('1. XL-1E TT(CA2)'!AF8="","",'1. XL-1E TT(CA2)'!AF8)</f>
        <v/>
      </c>
      <c r="AP8" s="1981" t="s">
        <v>10</v>
      </c>
      <c r="AQ8" s="1982"/>
      <c r="AR8" s="1998"/>
      <c r="AS8" s="1978"/>
      <c r="AT8" s="1967" t="s">
        <v>8</v>
      </c>
      <c r="AU8" s="1984">
        <f>AU7*10</f>
        <v>0</v>
      </c>
      <c r="AV8" s="2191" t="str">
        <f>IF('1. XL-1E TT(CA2)'!AJ8="","",'1. XL-1E TT(CA2)'!AJ8)</f>
        <v/>
      </c>
      <c r="AW8" s="1981" t="s">
        <v>10</v>
      </c>
      <c r="AY8" s="3082"/>
      <c r="AZ8" s="3076"/>
      <c r="BA8" s="3079"/>
    </row>
    <row r="9" spans="1:53" ht="37.5" customHeight="1">
      <c r="A9" s="1946" t="s">
        <v>241</v>
      </c>
      <c r="B9" s="1947" t="s">
        <v>216</v>
      </c>
      <c r="C9" s="1947" t="s">
        <v>79</v>
      </c>
      <c r="D9" s="1948" t="s">
        <v>4</v>
      </c>
      <c r="E9" s="2000" t="s">
        <v>1365</v>
      </c>
      <c r="F9" s="2015" t="s">
        <v>1343</v>
      </c>
      <c r="G9" s="2004">
        <v>30</v>
      </c>
      <c r="H9" s="1951">
        <f>XM.HN!B6</f>
        <v>0</v>
      </c>
      <c r="I9" s="1952">
        <f>H9*4</f>
        <v>0</v>
      </c>
      <c r="J9" s="1953">
        <f>($G$9-I9)*3305/1000</f>
        <v>99.15</v>
      </c>
      <c r="K9" s="1954" t="s">
        <v>8</v>
      </c>
      <c r="L9" s="1955">
        <f t="shared" ref="L9:L23" si="0">IF(I9=0,0,IF(J9&lt;0,0,J9))</f>
        <v>0</v>
      </c>
      <c r="M9" s="2189" t="str">
        <f>IF('1. XL-1E TT'!AB9="","",'1. XL-1E TT'!AB9)</f>
        <v/>
      </c>
      <c r="N9" s="1957" t="s">
        <v>9</v>
      </c>
      <c r="O9" s="1958">
        <f>XM.HN!C6</f>
        <v>0</v>
      </c>
      <c r="P9" s="1952">
        <f>O9*4</f>
        <v>0</v>
      </c>
      <c r="Q9" s="1953">
        <f>($G$9-P9)*3305/1000</f>
        <v>99.15</v>
      </c>
      <c r="R9" s="1954" t="s">
        <v>8</v>
      </c>
      <c r="S9" s="1955">
        <f t="shared" ref="S9:S23" si="1">IF(P9=0,0,IF(Q9&lt;0,0,Q9))</f>
        <v>0</v>
      </c>
      <c r="T9" s="2189" t="str">
        <f>IF('1. XL-1E TT'!AF9="","",'1. XL-1E TT'!AF9)</f>
        <v/>
      </c>
      <c r="U9" s="1957" t="s">
        <v>9</v>
      </c>
      <c r="V9" s="1958">
        <f>XM.HN!D6</f>
        <v>0</v>
      </c>
      <c r="W9" s="1952">
        <f>V9*4</f>
        <v>0</v>
      </c>
      <c r="X9" s="1953">
        <f>($G$9-W9)*3305/1000</f>
        <v>99.15</v>
      </c>
      <c r="Y9" s="1954" t="s">
        <v>8</v>
      </c>
      <c r="Z9" s="1955">
        <f t="shared" ref="Z9:Z23" si="2">IF(W9=0,0,IF(X9&lt;0,0,X9))</f>
        <v>0</v>
      </c>
      <c r="AA9" s="2189" t="str">
        <f>IF('1. XL-1E TT'!AJ9="","",'1. XL-1E TT'!AJ9)</f>
        <v/>
      </c>
      <c r="AB9" s="1957" t="s">
        <v>9</v>
      </c>
      <c r="AC9" s="1958">
        <f>XM.HN!E6</f>
        <v>0</v>
      </c>
      <c r="AD9" s="1952">
        <f>AC9*4</f>
        <v>0</v>
      </c>
      <c r="AE9" s="1953">
        <f>($G$9-AD9)*3305/1000</f>
        <v>99.15</v>
      </c>
      <c r="AF9" s="1954" t="s">
        <v>8</v>
      </c>
      <c r="AG9" s="1955">
        <f t="shared" ref="AG9:AG23" si="3">IF(AD9=0,0,IF(AE9&lt;0,0,AE9))</f>
        <v>0</v>
      </c>
      <c r="AH9" s="2189" t="str">
        <f>IF('1. XL-1E TT(CA2)'!AB9="","",'1. XL-1E TT(CA2)'!AB9)</f>
        <v/>
      </c>
      <c r="AI9" s="1957" t="s">
        <v>9</v>
      </c>
      <c r="AJ9" s="1958">
        <f>XM.HN!F6</f>
        <v>0</v>
      </c>
      <c r="AK9" s="1952">
        <f>AJ9*4</f>
        <v>0</v>
      </c>
      <c r="AL9" s="1953">
        <f>($G$9-AK9)*3305/1000</f>
        <v>99.15</v>
      </c>
      <c r="AM9" s="1954" t="s">
        <v>8</v>
      </c>
      <c r="AN9" s="1955">
        <f t="shared" ref="AN9:AN23" si="4">IF(AK9=0,0,IF(AL9&lt;0,0,AL9))</f>
        <v>0</v>
      </c>
      <c r="AO9" s="2189" t="str">
        <f>IF('1. XL-1E TT(CA2)'!AF9="","",'1. XL-1E TT(CA2)'!AF9)</f>
        <v/>
      </c>
      <c r="AP9" s="1957" t="s">
        <v>9</v>
      </c>
      <c r="AQ9" s="1958">
        <f>XM.HN!G6</f>
        <v>0</v>
      </c>
      <c r="AR9" s="1952">
        <f>AQ9*4</f>
        <v>0</v>
      </c>
      <c r="AS9" s="1953">
        <f>($G$9-AR9)*3305/1000</f>
        <v>99.15</v>
      </c>
      <c r="AT9" s="1954" t="s">
        <v>8</v>
      </c>
      <c r="AU9" s="1955">
        <f t="shared" ref="AU9:AU23" si="5">IF(AR9=0,0,IF(AS9&lt;0,0,AS9))</f>
        <v>0</v>
      </c>
      <c r="AV9" s="2189" t="str">
        <f>IF('1. XL-1E TT(CA2)'!AJ9="","",'1. XL-1E TT(CA2)'!AJ9)</f>
        <v/>
      </c>
      <c r="AW9" s="1957" t="s">
        <v>9</v>
      </c>
      <c r="AY9" s="3080"/>
      <c r="AZ9" s="3076" t="s">
        <v>1010</v>
      </c>
      <c r="BA9" s="3079"/>
    </row>
    <row r="10" spans="1:53" ht="37.5" customHeight="1">
      <c r="A10" s="1959"/>
      <c r="B10" s="1960"/>
      <c r="C10" s="1961" t="s">
        <v>102</v>
      </c>
      <c r="D10" s="1962"/>
      <c r="E10" s="2001" t="s">
        <v>103</v>
      </c>
      <c r="F10" s="2016"/>
      <c r="G10" s="2005"/>
      <c r="H10" s="1965"/>
      <c r="I10" s="1997"/>
      <c r="J10" s="1966"/>
      <c r="K10" s="1967" t="s">
        <v>8</v>
      </c>
      <c r="L10" s="1983">
        <f>L9/25*840/1000</f>
        <v>0</v>
      </c>
      <c r="M10" s="2190" t="str">
        <f>IF('1. XL-1E TT'!AB10="","",'1. XL-1E TT'!AB10)</f>
        <v/>
      </c>
      <c r="N10" s="1969" t="s">
        <v>10</v>
      </c>
      <c r="O10" s="1970"/>
      <c r="P10" s="1997"/>
      <c r="Q10" s="1966"/>
      <c r="R10" s="1967" t="s">
        <v>8</v>
      </c>
      <c r="S10" s="1983">
        <f>S9/25*840/1000</f>
        <v>0</v>
      </c>
      <c r="T10" s="2190" t="str">
        <f>IF('1. XL-1E TT'!AF10="","",'1. XL-1E TT'!AF10)</f>
        <v/>
      </c>
      <c r="U10" s="1969" t="s">
        <v>10</v>
      </c>
      <c r="V10" s="1970"/>
      <c r="W10" s="1997"/>
      <c r="X10" s="1966"/>
      <c r="Y10" s="1967" t="s">
        <v>8</v>
      </c>
      <c r="Z10" s="1983">
        <f>Z9/25*840/1000</f>
        <v>0</v>
      </c>
      <c r="AA10" s="2190" t="str">
        <f>IF('1. XL-1E TT'!AJ10="","",'1. XL-1E TT'!AJ10)</f>
        <v/>
      </c>
      <c r="AB10" s="1969" t="s">
        <v>10</v>
      </c>
      <c r="AC10" s="1970"/>
      <c r="AD10" s="1997"/>
      <c r="AE10" s="1966"/>
      <c r="AF10" s="1967" t="s">
        <v>8</v>
      </c>
      <c r="AG10" s="1983">
        <f>AG9/25*840/1000</f>
        <v>0</v>
      </c>
      <c r="AH10" s="2190" t="str">
        <f>IF('1. XL-1E TT(CA2)'!AB10="","",'1. XL-1E TT(CA2)'!AB10)</f>
        <v/>
      </c>
      <c r="AI10" s="1969" t="s">
        <v>10</v>
      </c>
      <c r="AJ10" s="1970"/>
      <c r="AK10" s="1997"/>
      <c r="AL10" s="1966"/>
      <c r="AM10" s="1967" t="s">
        <v>8</v>
      </c>
      <c r="AN10" s="1983">
        <f>AN9/25*840/1000</f>
        <v>0</v>
      </c>
      <c r="AO10" s="2190" t="str">
        <f>IF('1. XL-1E TT(CA2)'!AF10="","",'1. XL-1E TT(CA2)'!AF10)</f>
        <v/>
      </c>
      <c r="AP10" s="1969" t="s">
        <v>10</v>
      </c>
      <c r="AQ10" s="1970"/>
      <c r="AR10" s="1997"/>
      <c r="AS10" s="1966"/>
      <c r="AT10" s="1967" t="s">
        <v>8</v>
      </c>
      <c r="AU10" s="1983">
        <f>AU9/25*840/1000</f>
        <v>0</v>
      </c>
      <c r="AV10" s="2190" t="str">
        <f>IF('1. XL-1E TT(CA2)'!AJ10="","",'1. XL-1E TT(CA2)'!AJ10)</f>
        <v/>
      </c>
      <c r="AW10" s="1969" t="s">
        <v>10</v>
      </c>
      <c r="AY10" s="3081"/>
      <c r="AZ10" s="3076"/>
      <c r="BA10" s="3079"/>
    </row>
    <row r="11" spans="1:53" ht="37.5" customHeight="1">
      <c r="A11" s="1971"/>
      <c r="B11" s="1972"/>
      <c r="C11" s="1973" t="s">
        <v>104</v>
      </c>
      <c r="D11" s="1974"/>
      <c r="E11" s="2002" t="s">
        <v>103</v>
      </c>
      <c r="F11" s="2017"/>
      <c r="G11" s="2006"/>
      <c r="H11" s="1977"/>
      <c r="I11" s="1998"/>
      <c r="J11" s="1978"/>
      <c r="K11" s="1967" t="s">
        <v>8</v>
      </c>
      <c r="L11" s="1984">
        <f>L10*10</f>
        <v>0</v>
      </c>
      <c r="M11" s="2191" t="str">
        <f>IF('1. XL-1E TT'!AB11="","",'1. XL-1E TT'!AB11)</f>
        <v/>
      </c>
      <c r="N11" s="1981" t="s">
        <v>10</v>
      </c>
      <c r="O11" s="1982"/>
      <c r="P11" s="1998"/>
      <c r="Q11" s="1978"/>
      <c r="R11" s="1967" t="s">
        <v>8</v>
      </c>
      <c r="S11" s="1984">
        <f>S10*10</f>
        <v>0</v>
      </c>
      <c r="T11" s="2191" t="str">
        <f>IF('1. XL-1E TT'!AF11="","",'1. XL-1E TT'!AF11)</f>
        <v/>
      </c>
      <c r="U11" s="1981" t="s">
        <v>10</v>
      </c>
      <c r="V11" s="1982"/>
      <c r="W11" s="1998"/>
      <c r="X11" s="1978"/>
      <c r="Y11" s="1967" t="s">
        <v>8</v>
      </c>
      <c r="Z11" s="1984">
        <f>Z10*10</f>
        <v>0</v>
      </c>
      <c r="AA11" s="2191" t="str">
        <f>IF('1. XL-1E TT'!AJ11="","",'1. XL-1E TT'!AJ11)</f>
        <v/>
      </c>
      <c r="AB11" s="1981" t="s">
        <v>10</v>
      </c>
      <c r="AC11" s="1982"/>
      <c r="AD11" s="1998"/>
      <c r="AE11" s="1978"/>
      <c r="AF11" s="1967" t="s">
        <v>8</v>
      </c>
      <c r="AG11" s="1984">
        <f>AG10*10</f>
        <v>0</v>
      </c>
      <c r="AH11" s="2191" t="str">
        <f>IF('1. XL-1E TT(CA2)'!AB11="","",'1. XL-1E TT(CA2)'!AB11)</f>
        <v/>
      </c>
      <c r="AI11" s="1981" t="s">
        <v>10</v>
      </c>
      <c r="AJ11" s="1982"/>
      <c r="AK11" s="1998"/>
      <c r="AL11" s="1978"/>
      <c r="AM11" s="1967" t="s">
        <v>8</v>
      </c>
      <c r="AN11" s="1984">
        <f>AN10*10</f>
        <v>0</v>
      </c>
      <c r="AO11" s="2191" t="str">
        <f>IF('1. XL-1E TT(CA2)'!AF11="","",'1. XL-1E TT(CA2)'!AF11)</f>
        <v/>
      </c>
      <c r="AP11" s="1981" t="s">
        <v>10</v>
      </c>
      <c r="AQ11" s="1982"/>
      <c r="AR11" s="1998"/>
      <c r="AS11" s="1978"/>
      <c r="AT11" s="1967" t="s">
        <v>8</v>
      </c>
      <c r="AU11" s="1984">
        <f>AU10*10</f>
        <v>0</v>
      </c>
      <c r="AV11" s="2191" t="str">
        <f>IF('1. XL-1E TT(CA2)'!AJ11="","",'1. XL-1E TT(CA2)'!AJ11)</f>
        <v/>
      </c>
      <c r="AW11" s="1981" t="s">
        <v>10</v>
      </c>
      <c r="AY11" s="3082"/>
      <c r="AZ11" s="3076"/>
      <c r="BA11" s="3079"/>
    </row>
    <row r="12" spans="1:53" ht="37.5" customHeight="1">
      <c r="A12" s="1946" t="s">
        <v>242</v>
      </c>
      <c r="B12" s="1947" t="s">
        <v>216</v>
      </c>
      <c r="C12" s="1947" t="s">
        <v>50</v>
      </c>
      <c r="D12" s="1948" t="s">
        <v>4</v>
      </c>
      <c r="E12" s="2000" t="s">
        <v>1352</v>
      </c>
      <c r="F12" s="2015" t="s">
        <v>1348</v>
      </c>
      <c r="G12" s="2004">
        <v>70</v>
      </c>
      <c r="H12" s="1951">
        <f>XM.HN!B9</f>
        <v>0</v>
      </c>
      <c r="I12" s="1985">
        <f>H12*4</f>
        <v>0</v>
      </c>
      <c r="J12" s="1953">
        <f>($G$12-I12)*1156/1000</f>
        <v>80.92</v>
      </c>
      <c r="K12" s="1954" t="s">
        <v>8</v>
      </c>
      <c r="L12" s="1955">
        <f t="shared" si="0"/>
        <v>0</v>
      </c>
      <c r="M12" s="2189" t="str">
        <f>IF('1. XL-1E TT'!AB12="","",'1. XL-1E TT'!AB12)</f>
        <v/>
      </c>
      <c r="N12" s="1957" t="s">
        <v>9</v>
      </c>
      <c r="O12" s="1958">
        <f>XM.HN!C9</f>
        <v>0</v>
      </c>
      <c r="P12" s="1985">
        <f>O12*4</f>
        <v>0</v>
      </c>
      <c r="Q12" s="1953">
        <f>($G$12-P12)*1156/1000</f>
        <v>80.92</v>
      </c>
      <c r="R12" s="1954" t="s">
        <v>8</v>
      </c>
      <c r="S12" s="1955">
        <f t="shared" si="1"/>
        <v>0</v>
      </c>
      <c r="T12" s="2189" t="str">
        <f>IF('1. XL-1E TT'!AF12="","",'1. XL-1E TT'!AF12)</f>
        <v/>
      </c>
      <c r="U12" s="1957" t="s">
        <v>9</v>
      </c>
      <c r="V12" s="1958">
        <f>XM.HN!D9</f>
        <v>0</v>
      </c>
      <c r="W12" s="1985">
        <f>V12*4</f>
        <v>0</v>
      </c>
      <c r="X12" s="1953">
        <f>($G$12-W12)*1156/1000</f>
        <v>80.92</v>
      </c>
      <c r="Y12" s="1954" t="s">
        <v>8</v>
      </c>
      <c r="Z12" s="1955">
        <f t="shared" si="2"/>
        <v>0</v>
      </c>
      <c r="AA12" s="2189" t="str">
        <f>IF('1. XL-1E TT'!AJ12="","",'1. XL-1E TT'!AJ12)</f>
        <v/>
      </c>
      <c r="AB12" s="1957" t="s">
        <v>9</v>
      </c>
      <c r="AC12" s="1958">
        <f>XM.HN!E9</f>
        <v>0</v>
      </c>
      <c r="AD12" s="1985">
        <f>AC12*4</f>
        <v>0</v>
      </c>
      <c r="AE12" s="1953">
        <f>($G$12-AD12)*1156/1000</f>
        <v>80.92</v>
      </c>
      <c r="AF12" s="1954" t="s">
        <v>8</v>
      </c>
      <c r="AG12" s="1955">
        <f t="shared" si="3"/>
        <v>0</v>
      </c>
      <c r="AH12" s="2189" t="str">
        <f>IF('1. XL-1E TT(CA2)'!AB12="","",'1. XL-1E TT(CA2)'!AB12)</f>
        <v/>
      </c>
      <c r="AI12" s="1957" t="s">
        <v>9</v>
      </c>
      <c r="AJ12" s="1958">
        <f>XM.HN!F9</f>
        <v>0</v>
      </c>
      <c r="AK12" s="1985">
        <f>AJ12*4</f>
        <v>0</v>
      </c>
      <c r="AL12" s="1953">
        <f>($G$12-AK12)*1156/1000</f>
        <v>80.92</v>
      </c>
      <c r="AM12" s="1954" t="s">
        <v>8</v>
      </c>
      <c r="AN12" s="1955">
        <f t="shared" si="4"/>
        <v>0</v>
      </c>
      <c r="AO12" s="2189" t="str">
        <f>IF('1. XL-1E TT(CA2)'!AF12="","",'1. XL-1E TT(CA2)'!AF12)</f>
        <v/>
      </c>
      <c r="AP12" s="1957" t="s">
        <v>9</v>
      </c>
      <c r="AQ12" s="1958">
        <f>XM.HN!G9</f>
        <v>0</v>
      </c>
      <c r="AR12" s="1985">
        <f>AQ12*4</f>
        <v>0</v>
      </c>
      <c r="AS12" s="1953">
        <f>($G$12-AR12)*1156/1000</f>
        <v>80.92</v>
      </c>
      <c r="AT12" s="1954" t="s">
        <v>8</v>
      </c>
      <c r="AU12" s="1955">
        <f t="shared" si="5"/>
        <v>0</v>
      </c>
      <c r="AV12" s="2189" t="str">
        <f>IF('1. XL-1E TT(CA2)'!AJ12="","",'1. XL-1E TT(CA2)'!AJ12)</f>
        <v/>
      </c>
      <c r="AW12" s="1957" t="s">
        <v>9</v>
      </c>
      <c r="AY12" s="3080"/>
      <c r="AZ12" s="3076" t="s">
        <v>1010</v>
      </c>
      <c r="BA12" s="3079"/>
    </row>
    <row r="13" spans="1:53" ht="37.5" customHeight="1">
      <c r="A13" s="1971"/>
      <c r="B13" s="1972"/>
      <c r="C13" s="1986" t="s">
        <v>105</v>
      </c>
      <c r="D13" s="1974"/>
      <c r="E13" s="2002" t="s">
        <v>103</v>
      </c>
      <c r="F13" s="2017"/>
      <c r="G13" s="2006"/>
      <c r="H13" s="1977"/>
      <c r="I13" s="1999"/>
      <c r="J13" s="1978"/>
      <c r="K13" s="1979" t="s">
        <v>8</v>
      </c>
      <c r="L13" s="1984">
        <f>L12/25*7.5</f>
        <v>0</v>
      </c>
      <c r="M13" s="2191" t="str">
        <f>IF('1. XL-1E TT'!AB13="","",'1. XL-1E TT'!AB13)</f>
        <v/>
      </c>
      <c r="N13" s="1981" t="s">
        <v>10</v>
      </c>
      <c r="O13" s="1982"/>
      <c r="P13" s="1999"/>
      <c r="Q13" s="1978"/>
      <c r="R13" s="1979" t="s">
        <v>8</v>
      </c>
      <c r="S13" s="1984">
        <f>S12/25*7.5</f>
        <v>0</v>
      </c>
      <c r="T13" s="2191" t="str">
        <f>IF('1. XL-1E TT'!AF13="","",'1. XL-1E TT'!AF13)</f>
        <v/>
      </c>
      <c r="U13" s="1981" t="s">
        <v>10</v>
      </c>
      <c r="V13" s="1982"/>
      <c r="W13" s="1999"/>
      <c r="X13" s="1978"/>
      <c r="Y13" s="1979" t="s">
        <v>8</v>
      </c>
      <c r="Z13" s="1984">
        <f>Z12/25*7.5</f>
        <v>0</v>
      </c>
      <c r="AA13" s="2191" t="str">
        <f>IF('1. XL-1E TT'!AJ13="","",'1. XL-1E TT'!AJ13)</f>
        <v/>
      </c>
      <c r="AB13" s="1981" t="s">
        <v>10</v>
      </c>
      <c r="AC13" s="1982"/>
      <c r="AD13" s="1999"/>
      <c r="AE13" s="1978"/>
      <c r="AF13" s="1979" t="s">
        <v>8</v>
      </c>
      <c r="AG13" s="1984">
        <f>AG12/25*7.5</f>
        <v>0</v>
      </c>
      <c r="AH13" s="2191" t="str">
        <f>IF('1. XL-1E TT(CA2)'!AB13="","",'1. XL-1E TT(CA2)'!AB13)</f>
        <v/>
      </c>
      <c r="AI13" s="1981" t="s">
        <v>10</v>
      </c>
      <c r="AJ13" s="1982"/>
      <c r="AK13" s="1999"/>
      <c r="AL13" s="1978"/>
      <c r="AM13" s="1979" t="s">
        <v>8</v>
      </c>
      <c r="AN13" s="1984">
        <f>AN12/25*7.5</f>
        <v>0</v>
      </c>
      <c r="AO13" s="2191" t="str">
        <f>IF('1. XL-1E TT(CA2)'!AF13="","",'1. XL-1E TT(CA2)'!AF13)</f>
        <v/>
      </c>
      <c r="AP13" s="1981" t="s">
        <v>10</v>
      </c>
      <c r="AQ13" s="1982"/>
      <c r="AR13" s="1999"/>
      <c r="AS13" s="1978"/>
      <c r="AT13" s="1979" t="s">
        <v>8</v>
      </c>
      <c r="AU13" s="1984">
        <f>AU12/25*7.5</f>
        <v>0</v>
      </c>
      <c r="AV13" s="2191" t="str">
        <f>IF('1. XL-1E TT(CA2)'!AJ13="","",'1. XL-1E TT(CA2)'!AJ13)</f>
        <v/>
      </c>
      <c r="AW13" s="1981" t="s">
        <v>10</v>
      </c>
      <c r="AY13" s="3081"/>
      <c r="AZ13" s="3076"/>
      <c r="BA13" s="3079"/>
    </row>
    <row r="14" spans="1:53" ht="37.5" customHeight="1">
      <c r="A14" s="1946" t="s">
        <v>243</v>
      </c>
      <c r="B14" s="1947" t="s">
        <v>216</v>
      </c>
      <c r="C14" s="1947" t="s">
        <v>51</v>
      </c>
      <c r="D14" s="1948" t="s">
        <v>4</v>
      </c>
      <c r="E14" s="2000" t="s">
        <v>1352</v>
      </c>
      <c r="F14" s="2015" t="s">
        <v>1348</v>
      </c>
      <c r="G14" s="2004">
        <v>70</v>
      </c>
      <c r="H14" s="1951">
        <f>XM.HN!B11</f>
        <v>0</v>
      </c>
      <c r="I14" s="1985">
        <f>H14*4</f>
        <v>0</v>
      </c>
      <c r="J14" s="1953">
        <f>($G$14-I14)*1459/1000</f>
        <v>102.13</v>
      </c>
      <c r="K14" s="1954" t="s">
        <v>8</v>
      </c>
      <c r="L14" s="1955">
        <f t="shared" si="0"/>
        <v>0</v>
      </c>
      <c r="M14" s="2189" t="str">
        <f>IF('1. XL-1E TT'!AB14="","",'1. XL-1E TT'!AB14)</f>
        <v/>
      </c>
      <c r="N14" s="1957" t="s">
        <v>9</v>
      </c>
      <c r="O14" s="1958">
        <f>XM.HN!C11</f>
        <v>0</v>
      </c>
      <c r="P14" s="1985">
        <f>O14*4</f>
        <v>0</v>
      </c>
      <c r="Q14" s="1953">
        <f>($G$14-P14)*1459/1000</f>
        <v>102.13</v>
      </c>
      <c r="R14" s="1954" t="s">
        <v>8</v>
      </c>
      <c r="S14" s="1955">
        <f t="shared" si="1"/>
        <v>0</v>
      </c>
      <c r="T14" s="2189" t="str">
        <f>IF('1. XL-1E TT'!AF14="","",'1. XL-1E TT'!AF14)</f>
        <v/>
      </c>
      <c r="U14" s="1957" t="s">
        <v>9</v>
      </c>
      <c r="V14" s="1958">
        <f>XM.HN!D11</f>
        <v>0</v>
      </c>
      <c r="W14" s="1985">
        <f>V14*4</f>
        <v>0</v>
      </c>
      <c r="X14" s="1953">
        <f>($G$14-W14)*1459/1000</f>
        <v>102.13</v>
      </c>
      <c r="Y14" s="1954" t="s">
        <v>8</v>
      </c>
      <c r="Z14" s="1955">
        <f t="shared" si="2"/>
        <v>0</v>
      </c>
      <c r="AA14" s="2189" t="str">
        <f>IF('1. XL-1E TT'!AJ14="","",'1. XL-1E TT'!AJ14)</f>
        <v/>
      </c>
      <c r="AB14" s="1957" t="s">
        <v>9</v>
      </c>
      <c r="AC14" s="1958">
        <f>XM.HN!E11</f>
        <v>0</v>
      </c>
      <c r="AD14" s="1985">
        <f>AC14*4</f>
        <v>0</v>
      </c>
      <c r="AE14" s="1953">
        <f>($G$14-AD14)*1459/1000</f>
        <v>102.13</v>
      </c>
      <c r="AF14" s="1954" t="s">
        <v>8</v>
      </c>
      <c r="AG14" s="1955">
        <f t="shared" si="3"/>
        <v>0</v>
      </c>
      <c r="AH14" s="2189" t="str">
        <f>IF('1. XL-1E TT(CA2)'!AB14="","",'1. XL-1E TT(CA2)'!AB14)</f>
        <v/>
      </c>
      <c r="AI14" s="1957" t="s">
        <v>9</v>
      </c>
      <c r="AJ14" s="1958">
        <f>XM.HN!F11</f>
        <v>0</v>
      </c>
      <c r="AK14" s="1985">
        <f>AJ14*4</f>
        <v>0</v>
      </c>
      <c r="AL14" s="1953">
        <f>($G$14-AK14)*1459/1000</f>
        <v>102.13</v>
      </c>
      <c r="AM14" s="1954" t="s">
        <v>8</v>
      </c>
      <c r="AN14" s="1955">
        <f t="shared" si="4"/>
        <v>0</v>
      </c>
      <c r="AO14" s="2189" t="str">
        <f>IF('1. XL-1E TT(CA2)'!AF14="","",'1. XL-1E TT(CA2)'!AF14)</f>
        <v/>
      </c>
      <c r="AP14" s="1957" t="s">
        <v>9</v>
      </c>
      <c r="AQ14" s="1958">
        <f>XM.HN!G11</f>
        <v>0</v>
      </c>
      <c r="AR14" s="1985">
        <f>AQ14*4</f>
        <v>0</v>
      </c>
      <c r="AS14" s="1953">
        <f>($G$14-AR14)*1459/1000</f>
        <v>102.13</v>
      </c>
      <c r="AT14" s="1954" t="s">
        <v>8</v>
      </c>
      <c r="AU14" s="1955">
        <f t="shared" si="5"/>
        <v>0</v>
      </c>
      <c r="AV14" s="2189" t="str">
        <f>IF('1. XL-1E TT(CA2)'!AJ14="","",'1. XL-1E TT(CA2)'!AJ14)</f>
        <v/>
      </c>
      <c r="AW14" s="1957" t="s">
        <v>9</v>
      </c>
      <c r="AY14" s="3080"/>
      <c r="AZ14" s="3076" t="s">
        <v>1010</v>
      </c>
      <c r="BA14" s="3079"/>
    </row>
    <row r="15" spans="1:53" ht="37.5" customHeight="1">
      <c r="A15" s="1971"/>
      <c r="B15" s="1972"/>
      <c r="C15" s="1986" t="s">
        <v>105</v>
      </c>
      <c r="D15" s="1974"/>
      <c r="E15" s="2002" t="s">
        <v>103</v>
      </c>
      <c r="F15" s="2017"/>
      <c r="G15" s="2006"/>
      <c r="H15" s="1977"/>
      <c r="I15" s="1998"/>
      <c r="J15" s="1978"/>
      <c r="K15" s="1979" t="s">
        <v>8</v>
      </c>
      <c r="L15" s="1984">
        <f>L14/25*7.5</f>
        <v>0</v>
      </c>
      <c r="M15" s="2191" t="str">
        <f>IF('1. XL-1E TT'!AB15="","",'1. XL-1E TT'!AB15)</f>
        <v/>
      </c>
      <c r="N15" s="1981" t="s">
        <v>10</v>
      </c>
      <c r="O15" s="1982"/>
      <c r="P15" s="1998"/>
      <c r="Q15" s="1978"/>
      <c r="R15" s="1979" t="s">
        <v>8</v>
      </c>
      <c r="S15" s="1984">
        <f>S14/25*7.5</f>
        <v>0</v>
      </c>
      <c r="T15" s="2191" t="str">
        <f>IF('1. XL-1E TT'!AF15="","",'1. XL-1E TT'!AF15)</f>
        <v/>
      </c>
      <c r="U15" s="1981" t="s">
        <v>10</v>
      </c>
      <c r="V15" s="1982"/>
      <c r="W15" s="1998"/>
      <c r="X15" s="1978"/>
      <c r="Y15" s="1979" t="s">
        <v>8</v>
      </c>
      <c r="Z15" s="1984">
        <f>Z14/25*7.5</f>
        <v>0</v>
      </c>
      <c r="AA15" s="2191" t="str">
        <f>IF('1. XL-1E TT'!AJ15="","",'1. XL-1E TT'!AJ15)</f>
        <v/>
      </c>
      <c r="AB15" s="1981" t="s">
        <v>10</v>
      </c>
      <c r="AC15" s="1982"/>
      <c r="AD15" s="1998"/>
      <c r="AE15" s="1978"/>
      <c r="AF15" s="1979" t="s">
        <v>8</v>
      </c>
      <c r="AG15" s="1984">
        <f>AG14/25*7.5</f>
        <v>0</v>
      </c>
      <c r="AH15" s="2191" t="str">
        <f>IF('1. XL-1E TT(CA2)'!AB15="","",'1. XL-1E TT(CA2)'!AB15)</f>
        <v/>
      </c>
      <c r="AI15" s="1981" t="s">
        <v>10</v>
      </c>
      <c r="AJ15" s="1982"/>
      <c r="AK15" s="1998"/>
      <c r="AL15" s="1978"/>
      <c r="AM15" s="1979" t="s">
        <v>8</v>
      </c>
      <c r="AN15" s="1984">
        <f>AN14/25*7.5</f>
        <v>0</v>
      </c>
      <c r="AO15" s="2191" t="str">
        <f>IF('1. XL-1E TT(CA2)'!AF15="","",'1. XL-1E TT(CA2)'!AF15)</f>
        <v/>
      </c>
      <c r="AP15" s="1981" t="s">
        <v>10</v>
      </c>
      <c r="AQ15" s="1982"/>
      <c r="AR15" s="1998"/>
      <c r="AS15" s="1978"/>
      <c r="AT15" s="1979" t="s">
        <v>8</v>
      </c>
      <c r="AU15" s="1984">
        <f>AU14/25*7.5</f>
        <v>0</v>
      </c>
      <c r="AV15" s="2191" t="str">
        <f>IF('1. XL-1E TT(CA2)'!AJ15="","",'1. XL-1E TT(CA2)'!AJ15)</f>
        <v/>
      </c>
      <c r="AW15" s="1981" t="s">
        <v>10</v>
      </c>
      <c r="AY15" s="3081"/>
      <c r="AZ15" s="3076"/>
      <c r="BA15" s="1696"/>
    </row>
    <row r="16" spans="1:53" ht="40.5" customHeight="1">
      <c r="A16" s="1818" t="s">
        <v>244</v>
      </c>
      <c r="B16" s="1068" t="s">
        <v>216</v>
      </c>
      <c r="C16" s="1066" t="s">
        <v>57</v>
      </c>
      <c r="D16" s="1072" t="s">
        <v>4</v>
      </c>
      <c r="E16" s="14" t="s">
        <v>1353</v>
      </c>
      <c r="F16" s="2018" t="s">
        <v>1550</v>
      </c>
      <c r="G16" s="2007">
        <v>140</v>
      </c>
      <c r="H16" s="91">
        <f>XM.HN!B13</f>
        <v>0</v>
      </c>
      <c r="I16" s="1862">
        <f>H16*8</f>
        <v>0</v>
      </c>
      <c r="J16" s="1863">
        <f>($G$16-I16)*19951/1000</f>
        <v>2793.14</v>
      </c>
      <c r="K16" s="1864" t="s">
        <v>8</v>
      </c>
      <c r="L16" s="1865">
        <f t="shared" si="0"/>
        <v>0</v>
      </c>
      <c r="M16" s="2192" t="str">
        <f>IF('1. XL-1E TT'!AB16="","",'1. XL-1E TT'!AB16)</f>
        <v/>
      </c>
      <c r="N16" s="1868" t="s">
        <v>9</v>
      </c>
      <c r="O16" s="1502">
        <f>XM.HN!C13</f>
        <v>0</v>
      </c>
      <c r="P16" s="1833">
        <f>O16*8</f>
        <v>0</v>
      </c>
      <c r="Q16" s="1863">
        <f>($G$16-P16)*19951/1000</f>
        <v>2793.14</v>
      </c>
      <c r="R16" s="1864" t="s">
        <v>8</v>
      </c>
      <c r="S16" s="1865">
        <f t="shared" si="1"/>
        <v>0</v>
      </c>
      <c r="T16" s="2192" t="str">
        <f>IF('1. XL-1E TT'!AF16="","",'1. XL-1E TT'!AF16)</f>
        <v/>
      </c>
      <c r="U16" s="1868" t="s">
        <v>9</v>
      </c>
      <c r="V16" s="1502">
        <f>XM.HN!D13</f>
        <v>0</v>
      </c>
      <c r="W16" s="1862">
        <f>V16*8</f>
        <v>0</v>
      </c>
      <c r="X16" s="1863">
        <f>($G$16-W16)*19951/1000</f>
        <v>2793.14</v>
      </c>
      <c r="Y16" s="1864" t="s">
        <v>8</v>
      </c>
      <c r="Z16" s="1865">
        <f t="shared" si="2"/>
        <v>0</v>
      </c>
      <c r="AA16" s="2192" t="str">
        <f>IF('1. XL-1E TT'!AJ16="","",'1. XL-1E TT'!AJ16)</f>
        <v/>
      </c>
      <c r="AB16" s="1868" t="s">
        <v>9</v>
      </c>
      <c r="AC16" s="1502">
        <f>XM.HN!E13</f>
        <v>0</v>
      </c>
      <c r="AD16" s="1862">
        <f>AC16*8</f>
        <v>0</v>
      </c>
      <c r="AE16" s="1863">
        <f>($G$16-AD16)*19951/1000</f>
        <v>2793.14</v>
      </c>
      <c r="AF16" s="1864" t="s">
        <v>8</v>
      </c>
      <c r="AG16" s="1865">
        <f t="shared" si="3"/>
        <v>0</v>
      </c>
      <c r="AH16" s="2192" t="str">
        <f>IF('1. XL-1E TT(CA2)'!AB16="","",'1. XL-1E TT(CA2)'!AB16)</f>
        <v/>
      </c>
      <c r="AI16" s="1868" t="s">
        <v>9</v>
      </c>
      <c r="AJ16" s="1502">
        <f>XM.HN!F13</f>
        <v>0</v>
      </c>
      <c r="AK16" s="1862">
        <f>AJ16*8</f>
        <v>0</v>
      </c>
      <c r="AL16" s="1863">
        <f>($G$16-AK16)*19951/1000</f>
        <v>2793.14</v>
      </c>
      <c r="AM16" s="1864" t="s">
        <v>8</v>
      </c>
      <c r="AN16" s="1865">
        <f t="shared" si="4"/>
        <v>0</v>
      </c>
      <c r="AO16" s="2192" t="str">
        <f>IF('1. XL-1E TT(CA2)'!AF16="","",'1. XL-1E TT(CA2)'!AF16)</f>
        <v/>
      </c>
      <c r="AP16" s="1868" t="s">
        <v>9</v>
      </c>
      <c r="AQ16" s="1502">
        <f>XM.HN!G13</f>
        <v>0</v>
      </c>
      <c r="AR16" s="1862">
        <f>AQ16*8</f>
        <v>0</v>
      </c>
      <c r="AS16" s="1863">
        <f>($G$16-AR16)*19951/1000</f>
        <v>2793.14</v>
      </c>
      <c r="AT16" s="1864" t="s">
        <v>8</v>
      </c>
      <c r="AU16" s="1865">
        <f t="shared" si="5"/>
        <v>0</v>
      </c>
      <c r="AV16" s="2192" t="str">
        <f>IF('1. XL-1E TT(CA2)'!AJ16="","",'1. XL-1E TT(CA2)'!AJ16)</f>
        <v/>
      </c>
      <c r="AW16" s="1868" t="s">
        <v>9</v>
      </c>
      <c r="AY16" s="2370"/>
      <c r="AZ16" s="2372" t="s">
        <v>1010</v>
      </c>
      <c r="BA16" s="1449" t="s">
        <v>1314</v>
      </c>
    </row>
    <row r="17" spans="1:55" ht="40.5" customHeight="1">
      <c r="A17" s="1080" t="s">
        <v>245</v>
      </c>
      <c r="B17" s="1068" t="s">
        <v>216</v>
      </c>
      <c r="C17" s="1051" t="s">
        <v>58</v>
      </c>
      <c r="D17" s="1072" t="s">
        <v>4</v>
      </c>
      <c r="E17" s="2408" t="s">
        <v>1370</v>
      </c>
      <c r="F17" s="2019" t="s">
        <v>1549</v>
      </c>
      <c r="G17" s="2008">
        <v>10</v>
      </c>
      <c r="H17" s="91">
        <f>XM.HN!B14</f>
        <v>0</v>
      </c>
      <c r="I17" s="1869">
        <f>H17*1.3</f>
        <v>0</v>
      </c>
      <c r="J17" s="1863">
        <f>($G$17-I17)*19951/1000</f>
        <v>199.51</v>
      </c>
      <c r="K17" s="1864" t="s">
        <v>8</v>
      </c>
      <c r="L17" s="1865">
        <f t="shared" si="0"/>
        <v>0</v>
      </c>
      <c r="M17" s="2192" t="str">
        <f>IF('1. XL-1E TT'!AB17="","",'1. XL-1E TT'!AB17)</f>
        <v/>
      </c>
      <c r="N17" s="1868" t="s">
        <v>9</v>
      </c>
      <c r="O17" s="1502">
        <f>XM.HN!C14</f>
        <v>0</v>
      </c>
      <c r="P17" s="1838">
        <f>O17*1.3</f>
        <v>0</v>
      </c>
      <c r="Q17" s="1863">
        <f>($G$17-P17)*19951/1000</f>
        <v>199.51</v>
      </c>
      <c r="R17" s="1864" t="s">
        <v>8</v>
      </c>
      <c r="S17" s="1865">
        <f t="shared" si="1"/>
        <v>0</v>
      </c>
      <c r="T17" s="2192" t="str">
        <f>IF('1. XL-1E TT'!AF17="","",'1. XL-1E TT'!AF17)</f>
        <v/>
      </c>
      <c r="U17" s="1868" t="s">
        <v>9</v>
      </c>
      <c r="V17" s="1502">
        <f>XM.HN!D14</f>
        <v>0</v>
      </c>
      <c r="W17" s="1869">
        <f>V17*1.3</f>
        <v>0</v>
      </c>
      <c r="X17" s="1863">
        <f>($G$17-W17)*19951/1000</f>
        <v>199.51</v>
      </c>
      <c r="Y17" s="1864" t="s">
        <v>8</v>
      </c>
      <c r="Z17" s="1865">
        <f t="shared" si="2"/>
        <v>0</v>
      </c>
      <c r="AA17" s="2192" t="str">
        <f>IF('1. XL-1E TT'!AJ17="","",'1. XL-1E TT'!AJ17)</f>
        <v/>
      </c>
      <c r="AB17" s="1868" t="s">
        <v>9</v>
      </c>
      <c r="AC17" s="1502">
        <f>XM.HN!E14</f>
        <v>0</v>
      </c>
      <c r="AD17" s="1869">
        <f>AC17*1.3</f>
        <v>0</v>
      </c>
      <c r="AE17" s="1863">
        <f>($G$17-AD17)*19951/1000</f>
        <v>199.51</v>
      </c>
      <c r="AF17" s="1864" t="s">
        <v>8</v>
      </c>
      <c r="AG17" s="1865">
        <f t="shared" si="3"/>
        <v>0</v>
      </c>
      <c r="AH17" s="2192" t="str">
        <f>IF('1. XL-1E TT(CA2)'!AB17="","",'1. XL-1E TT(CA2)'!AB17)</f>
        <v/>
      </c>
      <c r="AI17" s="1868" t="s">
        <v>9</v>
      </c>
      <c r="AJ17" s="1502">
        <f>XM.HN!F14</f>
        <v>0</v>
      </c>
      <c r="AK17" s="1869">
        <f>AJ17*1.3</f>
        <v>0</v>
      </c>
      <c r="AL17" s="1863">
        <f>($G$17-AK17)*19951/1000</f>
        <v>199.51</v>
      </c>
      <c r="AM17" s="1864" t="s">
        <v>8</v>
      </c>
      <c r="AN17" s="1865">
        <f t="shared" si="4"/>
        <v>0</v>
      </c>
      <c r="AO17" s="2192" t="str">
        <f>IF('1. XL-1E TT(CA2)'!AF17="","",'1. XL-1E TT(CA2)'!AF17)</f>
        <v/>
      </c>
      <c r="AP17" s="1868" t="s">
        <v>9</v>
      </c>
      <c r="AQ17" s="1502">
        <f>XM.HN!G14</f>
        <v>0</v>
      </c>
      <c r="AR17" s="1869">
        <f>AQ17*1.3</f>
        <v>0</v>
      </c>
      <c r="AS17" s="1863">
        <f>($G$17-AR17)*19951/1000</f>
        <v>199.51</v>
      </c>
      <c r="AT17" s="1864" t="s">
        <v>8</v>
      </c>
      <c r="AU17" s="1865">
        <f t="shared" si="5"/>
        <v>0</v>
      </c>
      <c r="AV17" s="2192" t="str">
        <f>IF('1. XL-1E TT(CA2)'!AJ17="","",'1. XL-1E TT(CA2)'!AJ17)</f>
        <v/>
      </c>
      <c r="AW17" s="1868" t="s">
        <v>9</v>
      </c>
      <c r="AY17" s="2370"/>
      <c r="AZ17" s="2372"/>
      <c r="BA17" s="1084" t="s">
        <v>1030</v>
      </c>
    </row>
    <row r="18" spans="1:55" ht="40.5" customHeight="1">
      <c r="A18" s="1819" t="s">
        <v>251</v>
      </c>
      <c r="B18" s="1068" t="s">
        <v>216</v>
      </c>
      <c r="C18" s="1070" t="s">
        <v>980</v>
      </c>
      <c r="D18" s="1072" t="s">
        <v>3</v>
      </c>
      <c r="E18" s="13" t="s">
        <v>1354</v>
      </c>
      <c r="F18" s="2019" t="s">
        <v>1349</v>
      </c>
      <c r="G18" s="2008">
        <v>14</v>
      </c>
      <c r="H18" s="91">
        <f>XM.HN!B15</f>
        <v>0</v>
      </c>
      <c r="I18" s="1838">
        <f>H18*100/6.95/10</f>
        <v>0</v>
      </c>
      <c r="J18" s="1863">
        <f>($G$18-I18)*575/100</f>
        <v>80.5</v>
      </c>
      <c r="K18" s="1864" t="s">
        <v>8</v>
      </c>
      <c r="L18" s="1865">
        <f t="shared" si="0"/>
        <v>0</v>
      </c>
      <c r="M18" s="2192" t="str">
        <f>IF('1. XL-1E TT'!AB18="","",'1. XL-1E TT'!AB18)</f>
        <v/>
      </c>
      <c r="N18" s="1867" t="s">
        <v>10</v>
      </c>
      <c r="O18" s="1503">
        <f>XM.HN!C15</f>
        <v>0</v>
      </c>
      <c r="P18" s="1838">
        <f>O18*100/6.95/10</f>
        <v>0</v>
      </c>
      <c r="Q18" s="1863">
        <f>($G$18-P18)*575/100</f>
        <v>80.5</v>
      </c>
      <c r="R18" s="1864" t="s">
        <v>8</v>
      </c>
      <c r="S18" s="1865">
        <f t="shared" si="1"/>
        <v>0</v>
      </c>
      <c r="T18" s="2192" t="str">
        <f>IF('1. XL-1E TT'!AF18="","",'1. XL-1E TT'!AF18)</f>
        <v/>
      </c>
      <c r="U18" s="1867" t="s">
        <v>10</v>
      </c>
      <c r="V18" s="1504">
        <f>XM.HN!D15</f>
        <v>0</v>
      </c>
      <c r="W18" s="1838">
        <f>V18*100/6.95/10</f>
        <v>0</v>
      </c>
      <c r="X18" s="1863">
        <f>($G$18-W18)*575/100</f>
        <v>80.5</v>
      </c>
      <c r="Y18" s="1864" t="s">
        <v>8</v>
      </c>
      <c r="Z18" s="1865">
        <f t="shared" si="2"/>
        <v>0</v>
      </c>
      <c r="AA18" s="2192" t="str">
        <f>IF('1. XL-1E TT'!AJ18="","",'1. XL-1E TT'!AJ18)</f>
        <v/>
      </c>
      <c r="AB18" s="1867" t="s">
        <v>10</v>
      </c>
      <c r="AC18" s="1505">
        <f>XM.HN!E15</f>
        <v>0</v>
      </c>
      <c r="AD18" s="1838">
        <f>AC18*100/6.95/10</f>
        <v>0</v>
      </c>
      <c r="AE18" s="1863">
        <f>($G$18-AD18)*575/100</f>
        <v>80.5</v>
      </c>
      <c r="AF18" s="1864" t="s">
        <v>8</v>
      </c>
      <c r="AG18" s="1865">
        <f t="shared" si="3"/>
        <v>0</v>
      </c>
      <c r="AH18" s="2192" t="str">
        <f>IF('1. XL-1E TT(CA2)'!AB18="","",'1. XL-1E TT(CA2)'!AB18)</f>
        <v/>
      </c>
      <c r="AI18" s="1867" t="s">
        <v>10</v>
      </c>
      <c r="AJ18" s="1504">
        <f>XM.HN!F15</f>
        <v>0</v>
      </c>
      <c r="AK18" s="1838">
        <f>AJ18*100/6.95/10</f>
        <v>0</v>
      </c>
      <c r="AL18" s="1863">
        <f>($G$18-AK18)*575/100</f>
        <v>80.5</v>
      </c>
      <c r="AM18" s="1864" t="s">
        <v>8</v>
      </c>
      <c r="AN18" s="1865">
        <f t="shared" si="4"/>
        <v>0</v>
      </c>
      <c r="AO18" s="2192" t="str">
        <f>IF('1. XL-1E TT(CA2)'!AF18="","",'1. XL-1E TT(CA2)'!AF18)</f>
        <v/>
      </c>
      <c r="AP18" s="1867" t="s">
        <v>10</v>
      </c>
      <c r="AQ18" s="1504">
        <f>XM.HN!G15</f>
        <v>0</v>
      </c>
      <c r="AR18" s="1838">
        <f>AQ18*100/6.95/10</f>
        <v>0</v>
      </c>
      <c r="AS18" s="1863">
        <f>($G$18-AR18)*575/100</f>
        <v>80.5</v>
      </c>
      <c r="AT18" s="1864" t="s">
        <v>8</v>
      </c>
      <c r="AU18" s="1865">
        <f t="shared" si="5"/>
        <v>0</v>
      </c>
      <c r="AV18" s="2192" t="str">
        <f>IF('1. XL-1E TT(CA2)'!AJ18="","",'1. XL-1E TT(CA2)'!AJ18)</f>
        <v/>
      </c>
      <c r="AW18" s="1867" t="s">
        <v>10</v>
      </c>
      <c r="AY18" s="2370"/>
      <c r="AZ18" s="2372" t="s">
        <v>1010</v>
      </c>
      <c r="BA18" s="1079" t="s">
        <v>1020</v>
      </c>
    </row>
    <row r="19" spans="1:55" ht="40.5" customHeight="1">
      <c r="A19" s="1819" t="s">
        <v>253</v>
      </c>
      <c r="B19" s="1068" t="s">
        <v>216</v>
      </c>
      <c r="C19" s="2501" t="str">
        <f>MENU!U44</f>
        <v>Pha mới: 2024/01/02</v>
      </c>
      <c r="D19" s="1072" t="s">
        <v>5</v>
      </c>
      <c r="E19" s="14" t="s">
        <v>1328</v>
      </c>
      <c r="F19" s="2018" t="s">
        <v>1552</v>
      </c>
      <c r="G19" s="2009"/>
      <c r="H19" s="91"/>
      <c r="I19" s="1869">
        <f>XM.HN!B23</f>
        <v>0</v>
      </c>
      <c r="J19" s="1870"/>
      <c r="K19" s="1871"/>
      <c r="L19" s="1865"/>
      <c r="M19" s="2192" t="str">
        <f>IF('1. XL-1E TT'!AB19="","",'1. XL-1E TT'!AB19)</f>
        <v/>
      </c>
      <c r="N19" s="1872"/>
      <c r="O19" s="251"/>
      <c r="P19" s="1838">
        <f>XM.HN!C23</f>
        <v>0</v>
      </c>
      <c r="Q19" s="1870"/>
      <c r="R19" s="1871"/>
      <c r="S19" s="1865"/>
      <c r="T19" s="2192" t="str">
        <f>IF('1. XL-1E TT'!AF19="","",'1. XL-1E TT'!AF19)</f>
        <v/>
      </c>
      <c r="U19" s="1872"/>
      <c r="V19" s="37"/>
      <c r="W19" s="1869">
        <f>XM.HN!D23</f>
        <v>0</v>
      </c>
      <c r="X19" s="1870"/>
      <c r="Y19" s="1871"/>
      <c r="Z19" s="1865"/>
      <c r="AA19" s="2192" t="str">
        <f>IF('1. XL-1E TT'!AJ19="","",'1. XL-1E TT'!AJ19)</f>
        <v/>
      </c>
      <c r="AB19" s="1872"/>
      <c r="AC19" s="37"/>
      <c r="AD19" s="1869">
        <f>XM.HN!E23</f>
        <v>0</v>
      </c>
      <c r="AE19" s="1870"/>
      <c r="AF19" s="1871"/>
      <c r="AG19" s="1865"/>
      <c r="AH19" s="2192" t="str">
        <f>IF('1. XL-1E TT(CA2)'!AB19="","",'1. XL-1E TT(CA2)'!AB19)</f>
        <v/>
      </c>
      <c r="AI19" s="1872"/>
      <c r="AJ19" s="1502"/>
      <c r="AK19" s="1869">
        <f>XM.HN!F23</f>
        <v>0</v>
      </c>
      <c r="AL19" s="1870"/>
      <c r="AM19" s="1871"/>
      <c r="AN19" s="1865"/>
      <c r="AO19" s="2192" t="str">
        <f>IF('1. XL-1E TT(CA2)'!AF19="","",'1. XL-1E TT(CA2)'!AF19)</f>
        <v/>
      </c>
      <c r="AP19" s="1872"/>
      <c r="AQ19" s="1502"/>
      <c r="AR19" s="1869">
        <f>XM.HN!G23</f>
        <v>0</v>
      </c>
      <c r="AS19" s="1870"/>
      <c r="AT19" s="1871"/>
      <c r="AU19" s="1865"/>
      <c r="AV19" s="2192" t="str">
        <f>IF('1. XL-1E TT(CA2)'!AJ19="","",'1. XL-1E TT(CA2)'!AJ19)</f>
        <v/>
      </c>
      <c r="AW19" s="1872"/>
      <c r="AY19" s="2370"/>
      <c r="AZ19" s="2373"/>
      <c r="BA19" s="1080"/>
    </row>
    <row r="20" spans="1:55" ht="40.5" customHeight="1">
      <c r="A20" s="1820" t="s">
        <v>246</v>
      </c>
      <c r="B20" s="1068" t="s">
        <v>216</v>
      </c>
      <c r="C20" s="1610" t="s">
        <v>59</v>
      </c>
      <c r="D20" s="1072" t="s">
        <v>6</v>
      </c>
      <c r="E20" s="13" t="s">
        <v>1566</v>
      </c>
      <c r="F20" s="2290" t="s">
        <v>1342</v>
      </c>
      <c r="G20" s="2010">
        <v>0.45</v>
      </c>
      <c r="H20" s="91">
        <f>XM.HN!B17</f>
        <v>0</v>
      </c>
      <c r="I20" s="1843">
        <f>(1*H20*36.5)/(1*10)/32%/100</f>
        <v>0</v>
      </c>
      <c r="J20" s="1874">
        <f>($G$20-I20)*2122</f>
        <v>954.9</v>
      </c>
      <c r="K20" s="1875" t="s">
        <v>8</v>
      </c>
      <c r="L20" s="1865">
        <f t="shared" si="0"/>
        <v>0</v>
      </c>
      <c r="M20" s="2192" t="str">
        <f>IF('1. XL-1E TT'!AB20="","",'1. XL-1E TT'!AB20)</f>
        <v/>
      </c>
      <c r="N20" s="1866" t="s">
        <v>10</v>
      </c>
      <c r="O20" s="1037">
        <f>XM.HN!C17</f>
        <v>0</v>
      </c>
      <c r="P20" s="1843">
        <f>(1*O20*36.5)/(1*10)/32%/100</f>
        <v>0</v>
      </c>
      <c r="Q20" s="1874">
        <f>($G$20-P20)*2122</f>
        <v>954.9</v>
      </c>
      <c r="R20" s="1875" t="s">
        <v>8</v>
      </c>
      <c r="S20" s="1865">
        <f t="shared" si="1"/>
        <v>0</v>
      </c>
      <c r="T20" s="2192" t="str">
        <f>IF('1. XL-1E TT'!AF20="","",'1. XL-1E TT'!AF20)</f>
        <v/>
      </c>
      <c r="U20" s="1866" t="s">
        <v>10</v>
      </c>
      <c r="V20" s="1037">
        <f>XM.HN!D17</f>
        <v>0</v>
      </c>
      <c r="W20" s="1843">
        <f>(1*V20*36.5)/(1*10)/32%/100</f>
        <v>0</v>
      </c>
      <c r="X20" s="1874">
        <f>($G$20-W20)*2122</f>
        <v>954.9</v>
      </c>
      <c r="Y20" s="1875" t="s">
        <v>8</v>
      </c>
      <c r="Z20" s="1865">
        <f t="shared" si="2"/>
        <v>0</v>
      </c>
      <c r="AA20" s="2192" t="str">
        <f>IF('1. XL-1E TT'!AJ20="","",'1. XL-1E TT'!AJ20)</f>
        <v/>
      </c>
      <c r="AB20" s="1866" t="s">
        <v>10</v>
      </c>
      <c r="AC20" s="1037">
        <f>XM.HN!E17</f>
        <v>0</v>
      </c>
      <c r="AD20" s="1843">
        <f>(1*AC20*36.5)/(1*10)/32%/100</f>
        <v>0</v>
      </c>
      <c r="AE20" s="1874">
        <f>($G$20-AD20)*2122</f>
        <v>954.9</v>
      </c>
      <c r="AF20" s="1875" t="s">
        <v>8</v>
      </c>
      <c r="AG20" s="1865">
        <f t="shared" si="3"/>
        <v>0</v>
      </c>
      <c r="AH20" s="2192" t="str">
        <f>IF('1. XL-1E TT(CA2)'!AB20="","",'1. XL-1E TT(CA2)'!AB20)</f>
        <v/>
      </c>
      <c r="AI20" s="1866" t="s">
        <v>10</v>
      </c>
      <c r="AJ20" s="1502">
        <f>XM.HN!F17</f>
        <v>0</v>
      </c>
      <c r="AK20" s="1843">
        <f>(1*AJ20*36.5)/(1*10)/32%/100</f>
        <v>0</v>
      </c>
      <c r="AL20" s="1874">
        <f>($G$20-AK20)*2122</f>
        <v>954.9</v>
      </c>
      <c r="AM20" s="1875" t="s">
        <v>8</v>
      </c>
      <c r="AN20" s="1865">
        <f t="shared" si="4"/>
        <v>0</v>
      </c>
      <c r="AO20" s="2192" t="str">
        <f>IF('1. XL-1E TT(CA2)'!AF20="","",'1. XL-1E TT(CA2)'!AF20)</f>
        <v/>
      </c>
      <c r="AP20" s="1866" t="s">
        <v>10</v>
      </c>
      <c r="AQ20" s="1502">
        <f>XM.HN!G17</f>
        <v>0</v>
      </c>
      <c r="AR20" s="1843">
        <f>(1*AQ20*36.5)/(1*10)/32%/100</f>
        <v>0</v>
      </c>
      <c r="AS20" s="1874">
        <f>($G$20-AR20)*2122</f>
        <v>954.9</v>
      </c>
      <c r="AT20" s="1875" t="s">
        <v>8</v>
      </c>
      <c r="AU20" s="1865">
        <f t="shared" si="5"/>
        <v>0</v>
      </c>
      <c r="AV20" s="2192" t="str">
        <f>IF('1. XL-1E TT(CA2)'!AJ20="","",'1. XL-1E TT(CA2)'!AJ20)</f>
        <v/>
      </c>
      <c r="AW20" s="1866" t="s">
        <v>10</v>
      </c>
      <c r="AY20" s="2370"/>
      <c r="AZ20" s="2371" t="s">
        <v>1015</v>
      </c>
      <c r="BA20" s="3079" t="s">
        <v>1011</v>
      </c>
    </row>
    <row r="21" spans="1:55" ht="40.5" hidden="1" customHeight="1">
      <c r="A21" s="1820" t="s">
        <v>247</v>
      </c>
      <c r="B21" s="1068" t="s">
        <v>216</v>
      </c>
      <c r="C21" s="1066" t="s">
        <v>60</v>
      </c>
      <c r="D21" s="1072" t="s">
        <v>6</v>
      </c>
      <c r="E21" s="2409" t="s">
        <v>1568</v>
      </c>
      <c r="F21" s="2349" t="s">
        <v>1350</v>
      </c>
      <c r="G21" s="2010">
        <v>0.22</v>
      </c>
      <c r="H21" s="91">
        <f>XM.HN!B18</f>
        <v>0</v>
      </c>
      <c r="I21" s="1873">
        <f>(1*H21*36.5)/(1*10)/32%/100</f>
        <v>0</v>
      </c>
      <c r="J21" s="1874">
        <f>($G$21-I21)*612</f>
        <v>134.64000000000001</v>
      </c>
      <c r="K21" s="1875" t="s">
        <v>8</v>
      </c>
      <c r="L21" s="1865">
        <f t="shared" si="0"/>
        <v>0</v>
      </c>
      <c r="M21" s="2192" t="str">
        <f>IF('1. XL-1E TT'!AB21="","",'1. XL-1E TT'!AB21)</f>
        <v/>
      </c>
      <c r="N21" s="1867" t="s">
        <v>10</v>
      </c>
      <c r="O21" s="1507">
        <f>XM.HN!C18</f>
        <v>0</v>
      </c>
      <c r="P21" s="1843">
        <f>(1*O21*36.5)/(1*10)/32%/100</f>
        <v>0</v>
      </c>
      <c r="Q21" s="1874">
        <f>($G$21-P21)*612</f>
        <v>134.64000000000001</v>
      </c>
      <c r="R21" s="1875" t="s">
        <v>8</v>
      </c>
      <c r="S21" s="1865">
        <f t="shared" si="1"/>
        <v>0</v>
      </c>
      <c r="T21" s="2192" t="str">
        <f>IF('1. XL-1E TT'!AF21="","",'1. XL-1E TT'!AF21)</f>
        <v/>
      </c>
      <c r="U21" s="1867" t="s">
        <v>10</v>
      </c>
      <c r="V21" s="1037">
        <f>XM.HN!D18</f>
        <v>0</v>
      </c>
      <c r="W21" s="1873">
        <f>(1*V21*36.5)/(1*10)/32%/100</f>
        <v>0</v>
      </c>
      <c r="X21" s="1874">
        <f>($G$21-W21)*612</f>
        <v>134.64000000000001</v>
      </c>
      <c r="Y21" s="1875" t="s">
        <v>8</v>
      </c>
      <c r="Z21" s="1865">
        <f t="shared" si="2"/>
        <v>0</v>
      </c>
      <c r="AA21" s="2192" t="str">
        <f>IF('1. XL-1E TT'!AJ21="","",'1. XL-1E TT'!AJ21)</f>
        <v/>
      </c>
      <c r="AB21" s="1867" t="s">
        <v>10</v>
      </c>
      <c r="AC21" s="1037">
        <f>XM.HN!E18</f>
        <v>0</v>
      </c>
      <c r="AD21" s="1873">
        <f>(1*AC21*36.5)/(1*10)/32%/100</f>
        <v>0</v>
      </c>
      <c r="AE21" s="1874">
        <f>($G$21-AD21)*612</f>
        <v>134.64000000000001</v>
      </c>
      <c r="AF21" s="1875" t="s">
        <v>8</v>
      </c>
      <c r="AG21" s="1865">
        <f t="shared" si="3"/>
        <v>0</v>
      </c>
      <c r="AH21" s="2192" t="str">
        <f>IF('1. XL-1E TT(CA2)'!AB21="","",'1. XL-1E TT(CA2)'!AB21)</f>
        <v/>
      </c>
      <c r="AI21" s="1867" t="s">
        <v>10</v>
      </c>
      <c r="AJ21" s="1037">
        <f>XM.HN!F18</f>
        <v>0</v>
      </c>
      <c r="AK21" s="1873">
        <f>(1*AJ21*36.5)/(1*10)/32%/100</f>
        <v>0</v>
      </c>
      <c r="AL21" s="1874">
        <f>($G$21-AK21)*612</f>
        <v>134.64000000000001</v>
      </c>
      <c r="AM21" s="1875" t="s">
        <v>8</v>
      </c>
      <c r="AN21" s="1865">
        <f t="shared" si="4"/>
        <v>0</v>
      </c>
      <c r="AO21" s="2192" t="str">
        <f>IF('1. XL-1E TT(CA2)'!AF21="","",'1. XL-1E TT(CA2)'!AF21)</f>
        <v/>
      </c>
      <c r="AP21" s="1867" t="s">
        <v>10</v>
      </c>
      <c r="AQ21" s="1037">
        <f>XM.HN!G18</f>
        <v>0</v>
      </c>
      <c r="AR21" s="1873">
        <f>(1*AQ21*36.5)/(1*10)/32%/100</f>
        <v>0</v>
      </c>
      <c r="AS21" s="1874">
        <f>($G$21-AR21)*612</f>
        <v>134.64000000000001</v>
      </c>
      <c r="AT21" s="1875" t="s">
        <v>8</v>
      </c>
      <c r="AU21" s="1865">
        <f t="shared" si="5"/>
        <v>0</v>
      </c>
      <c r="AV21" s="2192" t="str">
        <f>IF('1. XL-1E TT(CA2)'!AJ21="","",'1. XL-1E TT(CA2)'!AJ21)</f>
        <v/>
      </c>
      <c r="AW21" s="1867" t="s">
        <v>10</v>
      </c>
      <c r="AY21" s="2370"/>
      <c r="AZ21" s="2371" t="s">
        <v>1015</v>
      </c>
      <c r="BA21" s="3079"/>
    </row>
    <row r="22" spans="1:55" ht="40.5" hidden="1" customHeight="1">
      <c r="A22" s="1820" t="s">
        <v>248</v>
      </c>
      <c r="B22" s="1068" t="s">
        <v>216</v>
      </c>
      <c r="C22" s="1066" t="s">
        <v>61</v>
      </c>
      <c r="D22" s="47" t="s">
        <v>6</v>
      </c>
      <c r="E22" s="1405" t="s">
        <v>1355</v>
      </c>
      <c r="F22" s="2410" t="s">
        <v>1548</v>
      </c>
      <c r="G22" s="2010">
        <v>0.1</v>
      </c>
      <c r="H22" s="91">
        <f>XM.HN!B19</f>
        <v>0</v>
      </c>
      <c r="I22" s="1873">
        <f>(1*H22*36.5)/(5*10)/32%/100</f>
        <v>0</v>
      </c>
      <c r="J22" s="1871">
        <f>($G$22-I22)*575</f>
        <v>57.5</v>
      </c>
      <c r="K22" s="1875" t="s">
        <v>8</v>
      </c>
      <c r="L22" s="1865">
        <f t="shared" si="0"/>
        <v>0</v>
      </c>
      <c r="M22" s="2192" t="str">
        <f>IF('1. XL-1E TT'!AB22="","",'1. XL-1E TT'!AB22)</f>
        <v/>
      </c>
      <c r="N22" s="1866" t="s">
        <v>10</v>
      </c>
      <c r="O22" s="1506">
        <f>XM.HN!C19</f>
        <v>0</v>
      </c>
      <c r="P22" s="1843">
        <f>(1*O22*36.5)/(5*10)/32%/100</f>
        <v>0</v>
      </c>
      <c r="Q22" s="1871">
        <f>($G$22-P22)*575</f>
        <v>57.5</v>
      </c>
      <c r="R22" s="1875" t="s">
        <v>8</v>
      </c>
      <c r="S22" s="1865">
        <f t="shared" si="1"/>
        <v>0</v>
      </c>
      <c r="T22" s="2192" t="str">
        <f>IF('1. XL-1E TT'!AF22="","",'1. XL-1E TT'!AF22)</f>
        <v/>
      </c>
      <c r="U22" s="1866" t="s">
        <v>10</v>
      </c>
      <c r="V22" s="1506">
        <f>XM.HN!D19</f>
        <v>0</v>
      </c>
      <c r="W22" s="1873">
        <f>(1*V22*36.5)/(5*10)/32%/100</f>
        <v>0</v>
      </c>
      <c r="X22" s="1871">
        <f>($G$22-W22)*575</f>
        <v>57.5</v>
      </c>
      <c r="Y22" s="1875" t="s">
        <v>8</v>
      </c>
      <c r="Z22" s="1865">
        <f t="shared" si="2"/>
        <v>0</v>
      </c>
      <c r="AA22" s="2192" t="str">
        <f>IF('1. XL-1E TT'!AJ22="","",'1. XL-1E TT'!AJ22)</f>
        <v/>
      </c>
      <c r="AB22" s="1866" t="s">
        <v>10</v>
      </c>
      <c r="AC22" s="1506">
        <f>XM.HN!E19</f>
        <v>0</v>
      </c>
      <c r="AD22" s="1873">
        <f>(1*AC22*36.5)/(5*10)/32%/100</f>
        <v>0</v>
      </c>
      <c r="AE22" s="1871">
        <f>($G$22-AD22)*575</f>
        <v>57.5</v>
      </c>
      <c r="AF22" s="1875" t="s">
        <v>8</v>
      </c>
      <c r="AG22" s="1865">
        <f t="shared" si="3"/>
        <v>0</v>
      </c>
      <c r="AH22" s="2192" t="str">
        <f>IF('1. XL-1E TT(CA2)'!AB22="","",'1. XL-1E TT(CA2)'!AB22)</f>
        <v/>
      </c>
      <c r="AI22" s="1866" t="s">
        <v>10</v>
      </c>
      <c r="AJ22" s="1506">
        <f>XM.HN!F19</f>
        <v>0</v>
      </c>
      <c r="AK22" s="1873">
        <f>(1*AJ22*36.5)/(5*10)/32%/100</f>
        <v>0</v>
      </c>
      <c r="AL22" s="1871">
        <f>($G$22-AK22)*575</f>
        <v>57.5</v>
      </c>
      <c r="AM22" s="1875" t="s">
        <v>8</v>
      </c>
      <c r="AN22" s="1865">
        <f t="shared" si="4"/>
        <v>0</v>
      </c>
      <c r="AO22" s="2192" t="str">
        <f>IF('1. XL-1E TT(CA2)'!AF22="","",'1. XL-1E TT(CA2)'!AF22)</f>
        <v/>
      </c>
      <c r="AP22" s="1866" t="s">
        <v>10</v>
      </c>
      <c r="AQ22" s="1506">
        <f>XM.HN!G19</f>
        <v>0</v>
      </c>
      <c r="AR22" s="1873">
        <f>(1*AQ22*36.5)/(5*10)/32%/100</f>
        <v>0</v>
      </c>
      <c r="AS22" s="1871">
        <f>($G$22-AR22)*575</f>
        <v>57.5</v>
      </c>
      <c r="AT22" s="1875" t="s">
        <v>8</v>
      </c>
      <c r="AU22" s="1865">
        <f t="shared" si="5"/>
        <v>0</v>
      </c>
      <c r="AV22" s="2192" t="str">
        <f>IF('1. XL-1E TT(CA2)'!AJ22="","",'1. XL-1E TT(CA2)'!AJ22)</f>
        <v/>
      </c>
      <c r="AW22" s="1866" t="s">
        <v>10</v>
      </c>
      <c r="AY22" s="2370"/>
      <c r="AZ22" s="2371" t="s">
        <v>1015</v>
      </c>
      <c r="BA22" s="1078" t="s">
        <v>1013</v>
      </c>
    </row>
    <row r="23" spans="1:55" ht="40.5" customHeight="1">
      <c r="A23" s="1820" t="s">
        <v>249</v>
      </c>
      <c r="B23" s="1068" t="s">
        <v>216</v>
      </c>
      <c r="C23" s="1066" t="s">
        <v>147</v>
      </c>
      <c r="D23" s="1073" t="s">
        <v>995</v>
      </c>
      <c r="E23" s="2411" t="s">
        <v>1356</v>
      </c>
      <c r="F23" s="2029" t="s">
        <v>1561</v>
      </c>
      <c r="G23" s="2011">
        <v>0.01</v>
      </c>
      <c r="H23" s="2348">
        <f>XM.HN!B20</f>
        <v>0</v>
      </c>
      <c r="I23" s="1876">
        <f>(H23*0.126)/100</f>
        <v>0</v>
      </c>
      <c r="J23" s="1874">
        <f>($G$23-I23)*530/65%/1.51</f>
        <v>5.3998981151299033</v>
      </c>
      <c r="K23" s="1875" t="s">
        <v>8</v>
      </c>
      <c r="L23" s="1877">
        <f t="shared" si="0"/>
        <v>0</v>
      </c>
      <c r="M23" s="2193" t="str">
        <f>IF('1. XL-1E TT'!AB23="","",'1. XL-1E TT'!AB23)</f>
        <v/>
      </c>
      <c r="N23" s="1866" t="s">
        <v>10</v>
      </c>
      <c r="O23" s="37">
        <f>XM.HN!C20</f>
        <v>0</v>
      </c>
      <c r="P23" s="1876">
        <f>(O23*0.126)/100</f>
        <v>0</v>
      </c>
      <c r="Q23" s="1874">
        <f>($G$23-P23)*530/65%/1.51</f>
        <v>5.3998981151299033</v>
      </c>
      <c r="R23" s="1875" t="s">
        <v>8</v>
      </c>
      <c r="S23" s="1877">
        <f t="shared" si="1"/>
        <v>0</v>
      </c>
      <c r="T23" s="2193" t="str">
        <f>IF('1. XL-1E TT'!AF23="","",'1. XL-1E TT'!AF23)</f>
        <v/>
      </c>
      <c r="U23" s="1866" t="s">
        <v>10</v>
      </c>
      <c r="V23" s="1037">
        <f>XM.HN!D20</f>
        <v>0</v>
      </c>
      <c r="W23" s="1876">
        <f>(V23*0.126)/100</f>
        <v>0</v>
      </c>
      <c r="X23" s="1874">
        <f>($G$23-W23)*530/65%/1.51</f>
        <v>5.3998981151299033</v>
      </c>
      <c r="Y23" s="1875" t="s">
        <v>8</v>
      </c>
      <c r="Z23" s="1877">
        <f t="shared" si="2"/>
        <v>0</v>
      </c>
      <c r="AA23" s="2193" t="str">
        <f>IF('1. XL-1E TT'!AJ23="","",'1. XL-1E TT'!AJ23)</f>
        <v/>
      </c>
      <c r="AB23" s="1866" t="s">
        <v>10</v>
      </c>
      <c r="AC23" s="1037">
        <f>XM.HN!E20</f>
        <v>0</v>
      </c>
      <c r="AD23" s="1876">
        <f>(AC23*0.126)/100</f>
        <v>0</v>
      </c>
      <c r="AE23" s="1874">
        <f>($G$23-AD23)*530/65%/1.51</f>
        <v>5.3998981151299033</v>
      </c>
      <c r="AF23" s="1875" t="s">
        <v>8</v>
      </c>
      <c r="AG23" s="1877">
        <f t="shared" si="3"/>
        <v>0</v>
      </c>
      <c r="AH23" s="2193" t="str">
        <f>IF('1. XL-1E TT(CA2)'!AB23="","",'1. XL-1E TT(CA2)'!AB23)</f>
        <v/>
      </c>
      <c r="AI23" s="1866" t="s">
        <v>10</v>
      </c>
      <c r="AJ23" s="1502">
        <f>XM.HN!F20</f>
        <v>0</v>
      </c>
      <c r="AK23" s="1876">
        <f>(AJ23*0.126)/100</f>
        <v>0</v>
      </c>
      <c r="AL23" s="1874">
        <f>($G$23-AK23)*530/65%/1.51</f>
        <v>5.3998981151299033</v>
      </c>
      <c r="AM23" s="1875" t="s">
        <v>8</v>
      </c>
      <c r="AN23" s="1877">
        <f t="shared" si="4"/>
        <v>0</v>
      </c>
      <c r="AO23" s="2193" t="str">
        <f>IF('1. XL-1E TT(CA2)'!AF23="","",'1. XL-1E TT(CA2)'!AF23)</f>
        <v/>
      </c>
      <c r="AP23" s="1866" t="s">
        <v>10</v>
      </c>
      <c r="AQ23" s="1502">
        <f>XM.HN!G20</f>
        <v>0</v>
      </c>
      <c r="AR23" s="1876">
        <f>(AQ23*0.126)/100</f>
        <v>0</v>
      </c>
      <c r="AS23" s="1874">
        <f>($G$23-AR23)*530/65%/1.51</f>
        <v>5.3998981151299033</v>
      </c>
      <c r="AT23" s="1875" t="s">
        <v>8</v>
      </c>
      <c r="AU23" s="1877">
        <f t="shared" si="5"/>
        <v>0</v>
      </c>
      <c r="AV23" s="2193" t="str">
        <f>IF('1. XL-1E TT(CA2)'!AJ23="","",'1. XL-1E TT(CA2)'!AJ23)</f>
        <v/>
      </c>
      <c r="AW23" s="1866" t="s">
        <v>10</v>
      </c>
      <c r="AY23" s="2462" t="s">
        <v>1562</v>
      </c>
      <c r="AZ23" s="2371" t="s">
        <v>1015</v>
      </c>
      <c r="BA23" s="1078" t="s">
        <v>1014</v>
      </c>
    </row>
    <row r="24" spans="1:55" ht="40.5" customHeight="1">
      <c r="A24" s="1819" t="s">
        <v>250</v>
      </c>
      <c r="B24" s="1068" t="s">
        <v>216</v>
      </c>
      <c r="C24" s="2457" t="s">
        <v>1573</v>
      </c>
      <c r="D24" s="47" t="s">
        <v>3</v>
      </c>
      <c r="E24" s="2003" t="s">
        <v>1369</v>
      </c>
      <c r="F24" s="2018" t="s">
        <v>1351</v>
      </c>
      <c r="G24" s="2012">
        <v>7.5</v>
      </c>
      <c r="H24" s="91">
        <f>XM.HN!B21</f>
        <v>0</v>
      </c>
      <c r="I24" s="1952" t="str">
        <f>IF(XM.HN!B21="","",(H24*(0.1*100)/(5*3.12)))</f>
        <v/>
      </c>
      <c r="J24" s="1835" t="e">
        <f>($G$24-I24)*575/95</f>
        <v>#VALUE!</v>
      </c>
      <c r="K24" s="1845" t="s">
        <v>8</v>
      </c>
      <c r="L24" s="1988" t="str">
        <f>IF(I24="","",(IF(J24&lt;0,0,J24)))</f>
        <v/>
      </c>
      <c r="M24" s="2397" t="str">
        <f>IF('1. XL-1E TT'!AB24="","",'1. XL-1E TT'!AB24)</f>
        <v/>
      </c>
      <c r="N24" s="1867" t="s">
        <v>10</v>
      </c>
      <c r="O24" s="92">
        <f>XM.HN!C21</f>
        <v>0</v>
      </c>
      <c r="P24" s="1952" t="str">
        <f>IF(XM.HN!C21="","",(O24*(0.1*100)/(5*3.12)))</f>
        <v/>
      </c>
      <c r="Q24" s="1835" t="e">
        <f>($G$24-P24)*575/95</f>
        <v>#VALUE!</v>
      </c>
      <c r="R24" s="1845" t="s">
        <v>8</v>
      </c>
      <c r="S24" s="1988" t="str">
        <f>IF(P24="","",(IF(Q24&lt;0,0,Q24)))</f>
        <v/>
      </c>
      <c r="T24" s="2397" t="str">
        <f>IF('1. XL-1E TT'!AF24="","",'1. XL-1E TT'!AF24)</f>
        <v/>
      </c>
      <c r="U24" s="1867" t="s">
        <v>10</v>
      </c>
      <c r="V24" s="92">
        <f>XM.HN!D21</f>
        <v>0</v>
      </c>
      <c r="W24" s="1952" t="str">
        <f>IF(XM.HN!D21="","",(V24*(0.1*100)/(5*3.12)))</f>
        <v/>
      </c>
      <c r="X24" s="1835" t="e">
        <f>($G$24-W24)*575/95</f>
        <v>#VALUE!</v>
      </c>
      <c r="Y24" s="1845" t="s">
        <v>8</v>
      </c>
      <c r="Z24" s="1988" t="str">
        <f>IF(W24="","",(IF(X24&lt;0,0,X24)))</f>
        <v/>
      </c>
      <c r="AA24" s="2397" t="str">
        <f>IF('1. XL-1E TT'!AJ24="","",'1. XL-1E TT'!AJ24)</f>
        <v/>
      </c>
      <c r="AB24" s="1867" t="s">
        <v>10</v>
      </c>
      <c r="AC24" s="92">
        <f>XM.HN!E21</f>
        <v>0</v>
      </c>
      <c r="AD24" s="1952" t="str">
        <f>IF(XM.HN!E21="","",(AC24*(0.1*100)/(5*3.12)))</f>
        <v/>
      </c>
      <c r="AE24" s="1835" t="e">
        <f>($G$24-AD24)*575/95</f>
        <v>#VALUE!</v>
      </c>
      <c r="AF24" s="1845" t="s">
        <v>8</v>
      </c>
      <c r="AG24" s="1988" t="str">
        <f>IF(AD24="","",(IF(AE24&lt;0,0,AE24)))</f>
        <v/>
      </c>
      <c r="AH24" s="2397" t="str">
        <f>IF('1. XL-1E TT(CA2)'!AB24="","",'1. XL-1E TT(CA2)'!AB24)</f>
        <v/>
      </c>
      <c r="AI24" s="1867" t="s">
        <v>10</v>
      </c>
      <c r="AJ24" s="92">
        <f>XM.HN!F21</f>
        <v>0</v>
      </c>
      <c r="AK24" s="1952" t="str">
        <f>IF(XM.HN!F21="","",(AJ24*(0.1*100)/(5*3.12)))</f>
        <v/>
      </c>
      <c r="AL24" s="1835" t="e">
        <f>($G$24-AK24)*575/95</f>
        <v>#VALUE!</v>
      </c>
      <c r="AM24" s="1845" t="s">
        <v>8</v>
      </c>
      <c r="AN24" s="1988" t="str">
        <f>IF(AK24="","",(IF(AL24&lt;0,0,AL24)))</f>
        <v/>
      </c>
      <c r="AO24" s="2397" t="str">
        <f>IF('1. XL-1E TT(CA2)'!AF24="","",'1. XL-1E TT(CA2)'!AF24)</f>
        <v/>
      </c>
      <c r="AP24" s="1867" t="s">
        <v>10</v>
      </c>
      <c r="AQ24" s="92">
        <f>XM.HN!G21</f>
        <v>0</v>
      </c>
      <c r="AR24" s="1952" t="str">
        <f>IF(XM.HN!G21="","",(AQ24*(0.1*100)/(5*3.12)))</f>
        <v/>
      </c>
      <c r="AS24" s="1835" t="e">
        <f>($G$24-AR24)*575/95</f>
        <v>#VALUE!</v>
      </c>
      <c r="AT24" s="1845" t="s">
        <v>8</v>
      </c>
      <c r="AU24" s="1988" t="str">
        <f>IF(AR24="","",(IF(AS24&lt;0,0,AS24)))</f>
        <v/>
      </c>
      <c r="AV24" s="2397" t="str">
        <f>IF('1. XL-1E TT(CA2)'!AJ24="","",'1. XL-1E TT(CA2)'!AJ24)</f>
        <v/>
      </c>
      <c r="AW24" s="1867" t="s">
        <v>10</v>
      </c>
      <c r="AY24" s="2381"/>
      <c r="AZ24" s="1082" t="s">
        <v>1574</v>
      </c>
      <c r="BA24" s="1083" t="s">
        <v>1575</v>
      </c>
    </row>
    <row r="25" spans="1:55" ht="40.5" customHeight="1">
      <c r="A25" s="1080" t="s">
        <v>252</v>
      </c>
      <c r="B25" s="1068" t="s">
        <v>216</v>
      </c>
      <c r="C25" s="2501" t="str">
        <f>MENU!U45</f>
        <v xml:space="preserve">Pha mới: 2024/01/02 </v>
      </c>
      <c r="D25" s="47" t="s">
        <v>5</v>
      </c>
      <c r="E25" s="14" t="s">
        <v>1572</v>
      </c>
      <c r="F25" s="2018" t="s">
        <v>1567</v>
      </c>
      <c r="G25" s="2009"/>
      <c r="H25" s="91"/>
      <c r="I25" s="2398">
        <f>XM.HN!B22</f>
        <v>0</v>
      </c>
      <c r="J25" s="1835"/>
      <c r="K25" s="1845"/>
      <c r="L25" s="1846"/>
      <c r="M25" s="2194" t="str">
        <f>IF('1. XL-1E TT'!AB25="","",'1. XL-1E TT'!AB25)</f>
        <v/>
      </c>
      <c r="N25" s="1847"/>
      <c r="O25" s="92"/>
      <c r="P25" s="1869">
        <f>XM.HN!C22</f>
        <v>0</v>
      </c>
      <c r="Q25" s="1835"/>
      <c r="R25" s="1845"/>
      <c r="S25" s="1846"/>
      <c r="T25" s="2194" t="str">
        <f>IF('1. XL-1E TT'!AF25="","",'1. XL-1E TT'!AF25)</f>
        <v/>
      </c>
      <c r="U25" s="1847"/>
      <c r="V25" s="92"/>
      <c r="W25" s="1869">
        <f>XM.HN!D22</f>
        <v>0</v>
      </c>
      <c r="X25" s="1835"/>
      <c r="Y25" s="1845"/>
      <c r="Z25" s="1846"/>
      <c r="AA25" s="2194"/>
      <c r="AB25" s="1847"/>
      <c r="AC25" s="92"/>
      <c r="AD25" s="1869">
        <f>XM.HN!E22</f>
        <v>0</v>
      </c>
      <c r="AE25" s="1835"/>
      <c r="AF25" s="1845"/>
      <c r="AG25" s="1846"/>
      <c r="AH25" s="2194"/>
      <c r="AI25" s="1847"/>
      <c r="AJ25" s="92"/>
      <c r="AK25" s="1869">
        <f>XM.HN!F22</f>
        <v>0</v>
      </c>
      <c r="AL25" s="1835"/>
      <c r="AM25" s="1845"/>
      <c r="AN25" s="1846"/>
      <c r="AO25" s="2194"/>
      <c r="AP25" s="1847"/>
      <c r="AQ25" s="92"/>
      <c r="AR25" s="1869">
        <f>XM.HN!G22</f>
        <v>0</v>
      </c>
      <c r="AS25" s="1835"/>
      <c r="AT25" s="1845"/>
      <c r="AU25" s="1846"/>
      <c r="AV25" s="2194"/>
      <c r="AW25" s="1847"/>
      <c r="AY25" s="2381"/>
      <c r="AZ25" s="93"/>
    </row>
    <row r="26" spans="1:55" s="211" customFormat="1" ht="54" customHeight="1">
      <c r="A26" s="295" t="s">
        <v>74</v>
      </c>
      <c r="B26" s="296"/>
      <c r="C26" s="296"/>
      <c r="D26" s="296"/>
      <c r="E26" s="293"/>
      <c r="F26" s="293"/>
      <c r="G26" s="1389"/>
      <c r="H26" s="296"/>
      <c r="I26" s="296"/>
      <c r="J26" s="296"/>
      <c r="K26" s="296"/>
      <c r="L26" s="296"/>
      <c r="M26" s="1724"/>
      <c r="N26" s="296"/>
      <c r="O26" s="296"/>
      <c r="P26" s="297"/>
      <c r="Q26" s="1475"/>
      <c r="R26" s="1475"/>
      <c r="S26" s="1475"/>
      <c r="T26" s="1728"/>
      <c r="U26" s="297"/>
      <c r="V26" s="1475"/>
      <c r="W26" s="297"/>
      <c r="X26" s="1475"/>
      <c r="Y26" s="1475"/>
      <c r="Z26" s="1475"/>
      <c r="AA26" s="2412"/>
      <c r="AB26" s="1475"/>
      <c r="AC26" s="1475"/>
      <c r="AD26" s="1475"/>
      <c r="AE26" s="1475"/>
      <c r="AF26" s="1475"/>
      <c r="AG26" s="1475"/>
      <c r="AH26" s="2412"/>
      <c r="AI26" s="1475"/>
      <c r="AJ26" s="297"/>
      <c r="AK26" s="297"/>
      <c r="AL26" s="297"/>
      <c r="AM26" s="297"/>
      <c r="AN26" s="297"/>
      <c r="AO26" s="1732"/>
      <c r="AP26" s="297"/>
      <c r="AQ26" s="297"/>
      <c r="AR26" s="297"/>
      <c r="AS26" s="297"/>
      <c r="AT26" s="297"/>
      <c r="AU26" s="297"/>
      <c r="AV26" s="1732"/>
      <c r="AW26" s="1036"/>
      <c r="AZ26" s="1493"/>
      <c r="BA26" s="1494"/>
      <c r="BB26" s="3092"/>
      <c r="BC26" s="3092"/>
    </row>
    <row r="27" spans="1:55" s="93" customFormat="1" ht="54" customHeight="1">
      <c r="A27" s="1821" t="s">
        <v>239</v>
      </c>
      <c r="B27" s="1067" t="s">
        <v>318</v>
      </c>
      <c r="C27" s="1065" t="s">
        <v>62</v>
      </c>
      <c r="D27" s="288" t="s">
        <v>64</v>
      </c>
      <c r="E27" s="1456" t="s">
        <v>1318</v>
      </c>
      <c r="F27" s="2020" t="s">
        <v>1317</v>
      </c>
      <c r="G27" s="1399"/>
      <c r="H27" s="94"/>
      <c r="I27" s="1827" t="s">
        <v>46</v>
      </c>
      <c r="J27" s="1828"/>
      <c r="K27" s="1828"/>
      <c r="L27" s="1828" t="s">
        <v>63</v>
      </c>
      <c r="M27" s="1879"/>
      <c r="N27" s="1829"/>
      <c r="O27" s="288"/>
      <c r="P27" s="1827" t="s">
        <v>46</v>
      </c>
      <c r="Q27" s="1828"/>
      <c r="R27" s="1828"/>
      <c r="S27" s="1828" t="s">
        <v>63</v>
      </c>
      <c r="T27" s="1879"/>
      <c r="U27" s="1829"/>
      <c r="V27" s="95"/>
      <c r="W27" s="1827" t="s">
        <v>46</v>
      </c>
      <c r="X27" s="1828"/>
      <c r="Y27" s="1828"/>
      <c r="Z27" s="1828" t="s">
        <v>63</v>
      </c>
      <c r="AA27" s="1879"/>
      <c r="AB27" s="1829"/>
      <c r="AC27" s="96"/>
      <c r="AD27" s="1827" t="s">
        <v>46</v>
      </c>
      <c r="AE27" s="1828"/>
      <c r="AF27" s="1828"/>
      <c r="AG27" s="1828" t="s">
        <v>63</v>
      </c>
      <c r="AH27" s="1879"/>
      <c r="AI27" s="1829"/>
      <c r="AJ27" s="96"/>
      <c r="AK27" s="1827" t="s">
        <v>46</v>
      </c>
      <c r="AL27" s="1828"/>
      <c r="AM27" s="1828"/>
      <c r="AN27" s="1828" t="s">
        <v>63</v>
      </c>
      <c r="AO27" s="1879"/>
      <c r="AP27" s="1829"/>
      <c r="AQ27" s="96"/>
      <c r="AR27" s="1827" t="s">
        <v>46</v>
      </c>
      <c r="AS27" s="1828"/>
      <c r="AT27" s="1828"/>
      <c r="AU27" s="1828" t="s">
        <v>63</v>
      </c>
      <c r="AV27" s="1879"/>
      <c r="AW27" s="1829"/>
      <c r="AY27" s="2375" t="s">
        <v>1543</v>
      </c>
      <c r="AZ27" s="1493"/>
      <c r="BA27" s="1494"/>
      <c r="BB27" s="211"/>
      <c r="BC27" s="1491"/>
    </row>
    <row r="28" spans="1:55" s="93" customFormat="1" ht="37.5" customHeight="1">
      <c r="A28" s="1818" t="s">
        <v>254</v>
      </c>
      <c r="B28" s="1068" t="s">
        <v>216</v>
      </c>
      <c r="C28" s="1941" t="s">
        <v>66</v>
      </c>
      <c r="D28" s="21" t="s">
        <v>106</v>
      </c>
      <c r="E28" s="1717" t="s">
        <v>1358</v>
      </c>
      <c r="F28" s="2021" t="s">
        <v>1339</v>
      </c>
      <c r="G28" s="1400"/>
      <c r="H28" s="97"/>
      <c r="I28" s="2828">
        <f>'XM.FILE GOC'!I28</f>
        <v>0</v>
      </c>
      <c r="J28" s="2819"/>
      <c r="K28" s="2819"/>
      <c r="L28" s="2819">
        <f>'XM.FILE GOC'!L28</f>
        <v>0</v>
      </c>
      <c r="M28" s="2819"/>
      <c r="N28" s="2830"/>
      <c r="O28" s="1474"/>
      <c r="P28" s="2828">
        <f>'XM.FILE GOC'!P28</f>
        <v>0</v>
      </c>
      <c r="Q28" s="2819"/>
      <c r="R28" s="2819"/>
      <c r="S28" s="2819">
        <f>'XM.FILE GOC'!S28</f>
        <v>0</v>
      </c>
      <c r="T28" s="2819"/>
      <c r="U28" s="2830"/>
      <c r="V28" s="291"/>
      <c r="W28" s="2828">
        <f>'XM.FILE GOC'!W28</f>
        <v>0</v>
      </c>
      <c r="X28" s="2819"/>
      <c r="Y28" s="2819"/>
      <c r="Z28" s="2819">
        <f>'XM.FILE GOC'!Z28</f>
        <v>0</v>
      </c>
      <c r="AA28" s="2819"/>
      <c r="AB28" s="2830"/>
      <c r="AC28" s="291"/>
      <c r="AD28" s="2828">
        <f>'XM.FILE GOC'!AD28</f>
        <v>0</v>
      </c>
      <c r="AE28" s="2819"/>
      <c r="AF28" s="2819"/>
      <c r="AG28" s="2819">
        <f>'XM.FILE GOC'!AG28</f>
        <v>0</v>
      </c>
      <c r="AH28" s="2819"/>
      <c r="AI28" s="2820"/>
      <c r="AJ28" s="290"/>
      <c r="AK28" s="2828">
        <f>'XM.FILE GOC'!AK28</f>
        <v>0</v>
      </c>
      <c r="AL28" s="2819"/>
      <c r="AM28" s="2819"/>
      <c r="AN28" s="2819">
        <f>'XM.FILE GOC'!AN28</f>
        <v>0</v>
      </c>
      <c r="AO28" s="2819"/>
      <c r="AP28" s="2820"/>
      <c r="AQ28" s="290"/>
      <c r="AR28" s="2828">
        <f>'XM.FILE GOC'!AR28</f>
        <v>0</v>
      </c>
      <c r="AS28" s="2819"/>
      <c r="AT28" s="2819"/>
      <c r="AU28" s="2819">
        <f>'XM.FILE GOC'!AU28</f>
        <v>0</v>
      </c>
      <c r="AV28" s="2819"/>
      <c r="AW28" s="2820"/>
      <c r="AY28" s="2368"/>
      <c r="AZ28" s="1493"/>
      <c r="BA28" s="1494"/>
      <c r="BB28" s="211"/>
      <c r="BC28" s="211"/>
    </row>
    <row r="29" spans="1:55" s="93" customFormat="1" ht="37.5" customHeight="1">
      <c r="A29" s="1818" t="s">
        <v>255</v>
      </c>
      <c r="B29" s="1068" t="s">
        <v>216</v>
      </c>
      <c r="C29" s="1052" t="s">
        <v>67</v>
      </c>
      <c r="D29" s="21" t="s">
        <v>106</v>
      </c>
      <c r="E29" s="1717" t="s">
        <v>1358</v>
      </c>
      <c r="F29" s="2021" t="s">
        <v>1339</v>
      </c>
      <c r="G29" s="1400"/>
      <c r="H29" s="97"/>
      <c r="I29" s="2828">
        <f>'XM.FILE GOC'!I29</f>
        <v>0</v>
      </c>
      <c r="J29" s="2819"/>
      <c r="K29" s="2819"/>
      <c r="L29" s="2819">
        <f>'XM.FILE GOC'!L29</f>
        <v>0</v>
      </c>
      <c r="M29" s="2819"/>
      <c r="N29" s="2830"/>
      <c r="O29" s="1474"/>
      <c r="P29" s="2828">
        <f>'XM.FILE GOC'!P29</f>
        <v>0</v>
      </c>
      <c r="Q29" s="2819"/>
      <c r="R29" s="2819"/>
      <c r="S29" s="2819">
        <f>'XM.FILE GOC'!S29</f>
        <v>0</v>
      </c>
      <c r="T29" s="2819"/>
      <c r="U29" s="2830"/>
      <c r="V29" s="291"/>
      <c r="W29" s="2828">
        <f>'XM.FILE GOC'!W29</f>
        <v>0</v>
      </c>
      <c r="X29" s="2819"/>
      <c r="Y29" s="2819"/>
      <c r="Z29" s="2819">
        <f>'XM.FILE GOC'!Z29</f>
        <v>0</v>
      </c>
      <c r="AA29" s="2819"/>
      <c r="AB29" s="2830"/>
      <c r="AC29" s="291"/>
      <c r="AD29" s="2828">
        <f>'XM.FILE GOC'!AD29</f>
        <v>0</v>
      </c>
      <c r="AE29" s="2819"/>
      <c r="AF29" s="2819"/>
      <c r="AG29" s="2819">
        <f>'XM.FILE GOC'!AG29</f>
        <v>0</v>
      </c>
      <c r="AH29" s="2819"/>
      <c r="AI29" s="2820"/>
      <c r="AJ29" s="290"/>
      <c r="AK29" s="2828">
        <f>'XM.FILE GOC'!AK29</f>
        <v>0</v>
      </c>
      <c r="AL29" s="2819"/>
      <c r="AM29" s="2819"/>
      <c r="AN29" s="2819">
        <f>'XM.FILE GOC'!AN29</f>
        <v>0</v>
      </c>
      <c r="AO29" s="2819"/>
      <c r="AP29" s="2820"/>
      <c r="AQ29" s="290"/>
      <c r="AR29" s="2828">
        <f>'XM.FILE GOC'!AR29</f>
        <v>0</v>
      </c>
      <c r="AS29" s="2819"/>
      <c r="AT29" s="2819"/>
      <c r="AU29" s="2819">
        <f>'XM.FILE GOC'!AU29</f>
        <v>0</v>
      </c>
      <c r="AV29" s="2819"/>
      <c r="AW29" s="2820"/>
      <c r="AY29" s="2368"/>
      <c r="AZ29" s="1493"/>
      <c r="BA29" s="1494"/>
    </row>
    <row r="30" spans="1:55" s="93" customFormat="1" ht="37.5" customHeight="1">
      <c r="A30" s="1818" t="s">
        <v>256</v>
      </c>
      <c r="B30" s="1068" t="s">
        <v>216</v>
      </c>
      <c r="C30" s="1052" t="s">
        <v>69</v>
      </c>
      <c r="D30" s="21" t="s">
        <v>106</v>
      </c>
      <c r="E30" s="1405" t="s">
        <v>1362</v>
      </c>
      <c r="F30" s="2349" t="s">
        <v>1345</v>
      </c>
      <c r="G30" s="1400"/>
      <c r="H30" s="97"/>
      <c r="I30" s="2828">
        <f>'XM.FILE GOC'!I30</f>
        <v>0</v>
      </c>
      <c r="J30" s="2819"/>
      <c r="K30" s="2830"/>
      <c r="L30" s="2819">
        <f>'XM.FILE GOC'!L30</f>
        <v>0</v>
      </c>
      <c r="M30" s="2819"/>
      <c r="N30" s="2820"/>
      <c r="O30" s="288"/>
      <c r="P30" s="2828">
        <f>'XM.FILE GOC'!P30</f>
        <v>0</v>
      </c>
      <c r="Q30" s="2819"/>
      <c r="R30" s="2830"/>
      <c r="S30" s="2819">
        <f>'XM.FILE GOC'!S30</f>
        <v>0</v>
      </c>
      <c r="T30" s="2819"/>
      <c r="U30" s="2820"/>
      <c r="V30" s="95"/>
      <c r="W30" s="2828">
        <f>'XM.FILE GOC'!W30</f>
        <v>0</v>
      </c>
      <c r="X30" s="2819"/>
      <c r="Y30" s="2830"/>
      <c r="Z30" s="2819">
        <f>'XM.FILE GOC'!Z30</f>
        <v>0</v>
      </c>
      <c r="AA30" s="2819"/>
      <c r="AB30" s="2820"/>
      <c r="AC30" s="96"/>
      <c r="AD30" s="2828">
        <f>'XM.FILE GOC'!AD30</f>
        <v>0</v>
      </c>
      <c r="AE30" s="2819"/>
      <c r="AF30" s="2830"/>
      <c r="AG30" s="2819">
        <f>'XM.FILE GOC'!AG30</f>
        <v>0</v>
      </c>
      <c r="AH30" s="2819"/>
      <c r="AI30" s="2820"/>
      <c r="AJ30" s="96"/>
      <c r="AK30" s="2828">
        <f>'XM.FILE GOC'!AK30</f>
        <v>0</v>
      </c>
      <c r="AL30" s="2819"/>
      <c r="AM30" s="2830"/>
      <c r="AN30" s="2819">
        <f>'XM.FILE GOC'!AN30</f>
        <v>0</v>
      </c>
      <c r="AO30" s="2819"/>
      <c r="AP30" s="2820"/>
      <c r="AQ30" s="96"/>
      <c r="AR30" s="2828">
        <f>'XM.FILE GOC'!AR30</f>
        <v>0</v>
      </c>
      <c r="AS30" s="2819"/>
      <c r="AT30" s="2830"/>
      <c r="AU30" s="2819">
        <f>'XM.FILE GOC'!AU30</f>
        <v>0</v>
      </c>
      <c r="AV30" s="2819"/>
      <c r="AW30" s="2820"/>
      <c r="AY30" s="2368"/>
      <c r="AZ30" s="1493"/>
      <c r="BA30" s="1494"/>
      <c r="BB30" s="3093"/>
    </row>
    <row r="31" spans="1:55" s="93" customFormat="1" ht="37.5" customHeight="1">
      <c r="A31" s="1818" t="s">
        <v>257</v>
      </c>
      <c r="B31" s="1068" t="s">
        <v>216</v>
      </c>
      <c r="C31" s="1052" t="s">
        <v>68</v>
      </c>
      <c r="D31" s="21" t="s">
        <v>106</v>
      </c>
      <c r="E31" s="1405" t="s">
        <v>1362</v>
      </c>
      <c r="F31" s="2349" t="s">
        <v>1345</v>
      </c>
      <c r="G31" s="1400"/>
      <c r="H31" s="97"/>
      <c r="I31" s="2828">
        <f>'XM.FILE GOC'!I31</f>
        <v>0</v>
      </c>
      <c r="J31" s="2819"/>
      <c r="K31" s="2830"/>
      <c r="L31" s="2819">
        <f>'XM.FILE GOC'!L31</f>
        <v>0</v>
      </c>
      <c r="M31" s="2819"/>
      <c r="N31" s="2820"/>
      <c r="O31" s="288"/>
      <c r="P31" s="2828">
        <f>'XM.FILE GOC'!P31</f>
        <v>0</v>
      </c>
      <c r="Q31" s="2819"/>
      <c r="R31" s="2830"/>
      <c r="S31" s="2819">
        <f>'XM.FILE GOC'!S31</f>
        <v>0</v>
      </c>
      <c r="T31" s="2819"/>
      <c r="U31" s="2820"/>
      <c r="V31" s="95"/>
      <c r="W31" s="2828">
        <f>'XM.FILE GOC'!W31</f>
        <v>0</v>
      </c>
      <c r="X31" s="2819"/>
      <c r="Y31" s="2830"/>
      <c r="Z31" s="2819">
        <f>'XM.FILE GOC'!Z31</f>
        <v>0</v>
      </c>
      <c r="AA31" s="2819"/>
      <c r="AB31" s="2820"/>
      <c r="AC31" s="96"/>
      <c r="AD31" s="2828">
        <f>'XM.FILE GOC'!AD31</f>
        <v>0</v>
      </c>
      <c r="AE31" s="2819"/>
      <c r="AF31" s="2830"/>
      <c r="AG31" s="2819">
        <f>'XM.FILE GOC'!AG31</f>
        <v>0</v>
      </c>
      <c r="AH31" s="2819"/>
      <c r="AI31" s="2820"/>
      <c r="AJ31" s="96"/>
      <c r="AK31" s="2828">
        <f>'XM.FILE GOC'!AK31</f>
        <v>0</v>
      </c>
      <c r="AL31" s="2819"/>
      <c r="AM31" s="2830"/>
      <c r="AN31" s="2819">
        <f>'XM.FILE GOC'!AN31</f>
        <v>0</v>
      </c>
      <c r="AO31" s="2819"/>
      <c r="AP31" s="2820"/>
      <c r="AQ31" s="96"/>
      <c r="AR31" s="2828">
        <f>'XM.FILE GOC'!AR31</f>
        <v>0</v>
      </c>
      <c r="AS31" s="2819"/>
      <c r="AT31" s="2830"/>
      <c r="AU31" s="2819">
        <f>'XM.FILE GOC'!AU31</f>
        <v>0</v>
      </c>
      <c r="AV31" s="2819"/>
      <c r="AW31" s="2820"/>
      <c r="AY31" s="2368"/>
      <c r="AZ31" s="1493"/>
      <c r="BA31" s="1494"/>
      <c r="BB31" s="3093"/>
    </row>
    <row r="32" spans="1:55" s="93" customFormat="1" ht="37.5" customHeight="1">
      <c r="A32" s="1818" t="s">
        <v>315</v>
      </c>
      <c r="B32" s="1068" t="s">
        <v>216</v>
      </c>
      <c r="C32" s="1052" t="s">
        <v>70</v>
      </c>
      <c r="D32" s="21" t="s">
        <v>106</v>
      </c>
      <c r="E32" s="1717" t="s">
        <v>1551</v>
      </c>
      <c r="F32" s="2021" t="s">
        <v>1548</v>
      </c>
      <c r="G32" s="1400"/>
      <c r="H32" s="97"/>
      <c r="I32" s="2828">
        <f>'XM.FILE GOC'!I32</f>
        <v>0</v>
      </c>
      <c r="J32" s="2819"/>
      <c r="K32" s="2819"/>
      <c r="L32" s="2819">
        <f>'XM.FILE GOC'!L32</f>
        <v>0</v>
      </c>
      <c r="M32" s="2819"/>
      <c r="N32" s="2830"/>
      <c r="O32" s="1474"/>
      <c r="P32" s="2828">
        <f>'XM.FILE GOC'!P32</f>
        <v>0</v>
      </c>
      <c r="Q32" s="2819"/>
      <c r="R32" s="2819"/>
      <c r="S32" s="2819">
        <f>'XM.FILE GOC'!S32</f>
        <v>0</v>
      </c>
      <c r="T32" s="2819"/>
      <c r="U32" s="2830"/>
      <c r="V32" s="291"/>
      <c r="W32" s="2828">
        <f>'XM.FILE GOC'!W32</f>
        <v>0</v>
      </c>
      <c r="X32" s="2819"/>
      <c r="Y32" s="2819"/>
      <c r="Z32" s="2819">
        <f>'XM.FILE GOC'!Z32</f>
        <v>0</v>
      </c>
      <c r="AA32" s="2819"/>
      <c r="AB32" s="2830"/>
      <c r="AC32" s="291"/>
      <c r="AD32" s="2828">
        <f>'XM.FILE GOC'!AD32</f>
        <v>0</v>
      </c>
      <c r="AE32" s="2819"/>
      <c r="AF32" s="2819"/>
      <c r="AG32" s="2819">
        <f>'XM.FILE GOC'!AG32</f>
        <v>0</v>
      </c>
      <c r="AH32" s="2819"/>
      <c r="AI32" s="2820"/>
      <c r="AJ32" s="290"/>
      <c r="AK32" s="2828">
        <f>'XM.FILE GOC'!AK32</f>
        <v>0</v>
      </c>
      <c r="AL32" s="2819"/>
      <c r="AM32" s="2819"/>
      <c r="AN32" s="2819">
        <f>'XM.FILE GOC'!AN32</f>
        <v>0</v>
      </c>
      <c r="AO32" s="2819"/>
      <c r="AP32" s="2820"/>
      <c r="AQ32" s="290"/>
      <c r="AR32" s="2828">
        <f>'XM.FILE GOC'!AR32</f>
        <v>0</v>
      </c>
      <c r="AS32" s="2819"/>
      <c r="AT32" s="2819"/>
      <c r="AU32" s="2819">
        <f>'XM.FILE GOC'!AU32</f>
        <v>0</v>
      </c>
      <c r="AV32" s="2819"/>
      <c r="AW32" s="2820"/>
      <c r="AY32" s="2368"/>
      <c r="AZ32" s="1493"/>
      <c r="BA32" s="1494"/>
    </row>
    <row r="33" spans="1:55" s="93" customFormat="1" ht="37.5" customHeight="1">
      <c r="A33" s="1819" t="s">
        <v>258</v>
      </c>
      <c r="B33" s="1068" t="s">
        <v>216</v>
      </c>
      <c r="C33" s="1052" t="s">
        <v>148</v>
      </c>
      <c r="D33" s="21" t="s">
        <v>106</v>
      </c>
      <c r="E33" s="2406" t="s">
        <v>1553</v>
      </c>
      <c r="F33" s="2407" t="s">
        <v>1554</v>
      </c>
      <c r="G33" s="1400"/>
      <c r="H33" s="97"/>
      <c r="I33" s="2828">
        <f>'XM.FILE GOC'!I33</f>
        <v>0</v>
      </c>
      <c r="J33" s="2819"/>
      <c r="K33" s="2830"/>
      <c r="L33" s="2819">
        <f>'XM.FILE GOC'!L33</f>
        <v>0</v>
      </c>
      <c r="M33" s="2819"/>
      <c r="N33" s="2820"/>
      <c r="O33" s="1474"/>
      <c r="P33" s="2828">
        <f>'XM.FILE GOC'!P33</f>
        <v>0</v>
      </c>
      <c r="Q33" s="2819"/>
      <c r="R33" s="2830"/>
      <c r="S33" s="2819">
        <f>'XM.FILE GOC'!S33</f>
        <v>0</v>
      </c>
      <c r="T33" s="2819"/>
      <c r="U33" s="2820"/>
      <c r="V33" s="95"/>
      <c r="W33" s="2828">
        <f>'XM.FILE GOC'!W33</f>
        <v>0</v>
      </c>
      <c r="X33" s="2819"/>
      <c r="Y33" s="2830"/>
      <c r="Z33" s="2819">
        <f>'XM.FILE GOC'!Z33</f>
        <v>0</v>
      </c>
      <c r="AA33" s="2819"/>
      <c r="AB33" s="2820"/>
      <c r="AC33" s="96"/>
      <c r="AD33" s="2828">
        <f>'XM.FILE GOC'!AD33</f>
        <v>0</v>
      </c>
      <c r="AE33" s="2819"/>
      <c r="AF33" s="2830"/>
      <c r="AG33" s="2819">
        <f>'XM.FILE GOC'!AG33</f>
        <v>0</v>
      </c>
      <c r="AH33" s="2819"/>
      <c r="AI33" s="2820"/>
      <c r="AJ33" s="96"/>
      <c r="AK33" s="2828">
        <f>'XM.FILE GOC'!AK33</f>
        <v>0</v>
      </c>
      <c r="AL33" s="2819"/>
      <c r="AM33" s="2830"/>
      <c r="AN33" s="2819">
        <f>'XM.FILE GOC'!AN33</f>
        <v>0</v>
      </c>
      <c r="AO33" s="2819"/>
      <c r="AP33" s="2820"/>
      <c r="AQ33" s="96"/>
      <c r="AR33" s="2828">
        <f>'XM.FILE GOC'!AR33</f>
        <v>0</v>
      </c>
      <c r="AS33" s="2819"/>
      <c r="AT33" s="2830"/>
      <c r="AU33" s="2819">
        <f>'XM.FILE GOC'!AU33</f>
        <v>0</v>
      </c>
      <c r="AV33" s="2819"/>
      <c r="AW33" s="2820"/>
      <c r="AY33" s="2368"/>
      <c r="AZ33" s="1493"/>
      <c r="BA33" s="1494"/>
    </row>
    <row r="34" spans="1:55" s="93" customFormat="1" ht="37.5" customHeight="1">
      <c r="A34" s="1819" t="s">
        <v>259</v>
      </c>
      <c r="B34" s="1068" t="s">
        <v>216</v>
      </c>
      <c r="C34" s="1052" t="s">
        <v>71</v>
      </c>
      <c r="D34" s="21" t="s">
        <v>106</v>
      </c>
      <c r="E34" s="1717" t="s">
        <v>1358</v>
      </c>
      <c r="F34" s="2021" t="s">
        <v>1556</v>
      </c>
      <c r="G34" s="1400"/>
      <c r="H34" s="97"/>
      <c r="I34" s="2828">
        <f>'XM.FILE GOC'!I34</f>
        <v>0</v>
      </c>
      <c r="J34" s="2819"/>
      <c r="K34" s="2830"/>
      <c r="L34" s="2819">
        <f>'XM.FILE GOC'!L34</f>
        <v>0</v>
      </c>
      <c r="M34" s="2819"/>
      <c r="N34" s="2820"/>
      <c r="O34" s="1474"/>
      <c r="P34" s="2828">
        <f>'XM.FILE GOC'!P34</f>
        <v>0</v>
      </c>
      <c r="Q34" s="2819"/>
      <c r="R34" s="2830"/>
      <c r="S34" s="2819">
        <f>'XM.FILE GOC'!S34</f>
        <v>0</v>
      </c>
      <c r="T34" s="2819"/>
      <c r="U34" s="2820"/>
      <c r="V34" s="291"/>
      <c r="W34" s="2828">
        <f>'XM.FILE GOC'!W34</f>
        <v>0</v>
      </c>
      <c r="X34" s="2819"/>
      <c r="Y34" s="2830"/>
      <c r="Z34" s="2819">
        <f>'XM.FILE GOC'!Z34</f>
        <v>0</v>
      </c>
      <c r="AA34" s="2819"/>
      <c r="AB34" s="2820"/>
      <c r="AC34" s="291"/>
      <c r="AD34" s="2828">
        <f>'XM.FILE GOC'!AD34</f>
        <v>0</v>
      </c>
      <c r="AE34" s="2819"/>
      <c r="AF34" s="2830"/>
      <c r="AG34" s="2819">
        <f>'XM.FILE GOC'!AG34</f>
        <v>0</v>
      </c>
      <c r="AH34" s="2819"/>
      <c r="AI34" s="2820"/>
      <c r="AJ34" s="290"/>
      <c r="AK34" s="2828">
        <f>'XM.FILE GOC'!AK34</f>
        <v>0</v>
      </c>
      <c r="AL34" s="2819"/>
      <c r="AM34" s="2830"/>
      <c r="AN34" s="2819">
        <f>'XM.FILE GOC'!AN34</f>
        <v>0</v>
      </c>
      <c r="AO34" s="2819"/>
      <c r="AP34" s="2820"/>
      <c r="AQ34" s="290"/>
      <c r="AR34" s="2828">
        <f>'XM.FILE GOC'!AR34</f>
        <v>0</v>
      </c>
      <c r="AS34" s="2819"/>
      <c r="AT34" s="2830"/>
      <c r="AU34" s="2819">
        <f>'XM.FILE GOC'!AU34</f>
        <v>0</v>
      </c>
      <c r="AV34" s="2819"/>
      <c r="AW34" s="2820"/>
      <c r="AY34" s="2368"/>
      <c r="AZ34" s="1493"/>
      <c r="BA34" s="1494"/>
      <c r="BC34" s="1491"/>
    </row>
    <row r="35" spans="1:55" s="93" customFormat="1" ht="37.5" customHeight="1">
      <c r="A35" s="1080" t="s">
        <v>260</v>
      </c>
      <c r="B35" s="1068" t="s">
        <v>216</v>
      </c>
      <c r="C35" s="1052" t="s">
        <v>72</v>
      </c>
      <c r="D35" s="21" t="s">
        <v>106</v>
      </c>
      <c r="E35" s="1717" t="s">
        <v>1555</v>
      </c>
      <c r="F35" s="2021" t="s">
        <v>1540</v>
      </c>
      <c r="G35" s="1400"/>
      <c r="H35" s="97"/>
      <c r="I35" s="2825"/>
      <c r="J35" s="2826"/>
      <c r="K35" s="2827"/>
      <c r="L35" s="2819">
        <f>'XM.FILE GOC'!L35</f>
        <v>0</v>
      </c>
      <c r="M35" s="2819"/>
      <c r="N35" s="2820"/>
      <c r="O35" s="2380"/>
      <c r="P35" s="2825"/>
      <c r="Q35" s="2826"/>
      <c r="R35" s="2827"/>
      <c r="S35" s="2819">
        <f>'XM.FILE GOC'!S35</f>
        <v>0</v>
      </c>
      <c r="T35" s="2819"/>
      <c r="U35" s="2820"/>
      <c r="V35" s="2380"/>
      <c r="W35" s="2825"/>
      <c r="X35" s="2826"/>
      <c r="Y35" s="2827"/>
      <c r="Z35" s="2819">
        <f>'XM.FILE GOC'!Z35</f>
        <v>0</v>
      </c>
      <c r="AA35" s="2819"/>
      <c r="AB35" s="2820"/>
      <c r="AC35" s="2380"/>
      <c r="AD35" s="2825"/>
      <c r="AE35" s="2826"/>
      <c r="AF35" s="2827"/>
      <c r="AG35" s="2819">
        <f>'XM.FILE GOC'!AG35</f>
        <v>0</v>
      </c>
      <c r="AH35" s="2819"/>
      <c r="AI35" s="2820"/>
      <c r="AJ35" s="2380"/>
      <c r="AK35" s="2825"/>
      <c r="AL35" s="2826"/>
      <c r="AM35" s="2827"/>
      <c r="AN35" s="2819">
        <f>'XM.FILE GOC'!AN35</f>
        <v>0</v>
      </c>
      <c r="AO35" s="2819"/>
      <c r="AP35" s="2820"/>
      <c r="AQ35" s="2380"/>
      <c r="AR35" s="2825"/>
      <c r="AS35" s="2826"/>
      <c r="AT35" s="2827"/>
      <c r="AU35" s="2819">
        <f>'XM.FILE GOC'!AU35</f>
        <v>0</v>
      </c>
      <c r="AV35" s="2819"/>
      <c r="AW35" s="2820"/>
      <c r="AY35" s="2368"/>
    </row>
    <row r="36" spans="1:55" s="211" customFormat="1" ht="54" customHeight="1">
      <c r="A36" s="295" t="s">
        <v>76</v>
      </c>
      <c r="B36" s="296"/>
      <c r="C36" s="296"/>
      <c r="D36" s="296"/>
      <c r="E36" s="293"/>
      <c r="F36" s="293"/>
      <c r="G36" s="1389"/>
      <c r="H36" s="296"/>
      <c r="I36" s="296"/>
      <c r="J36" s="296"/>
      <c r="K36" s="296"/>
      <c r="L36" s="296"/>
      <c r="M36" s="1724"/>
      <c r="N36" s="296"/>
      <c r="O36" s="296"/>
      <c r="P36" s="297"/>
      <c r="Q36" s="296"/>
      <c r="R36" s="296"/>
      <c r="S36" s="296"/>
      <c r="T36" s="1728"/>
      <c r="U36" s="297"/>
      <c r="V36" s="296"/>
      <c r="W36" s="297"/>
      <c r="X36" s="296"/>
      <c r="Y36" s="296"/>
      <c r="Z36" s="296"/>
      <c r="AA36" s="1724"/>
      <c r="AB36" s="296"/>
      <c r="AC36" s="296"/>
      <c r="AD36" s="296"/>
      <c r="AE36" s="296"/>
      <c r="AF36" s="296"/>
      <c r="AG36" s="296"/>
      <c r="AH36" s="1724"/>
      <c r="AI36" s="296"/>
      <c r="AJ36" s="297"/>
      <c r="AK36" s="297"/>
      <c r="AL36" s="297"/>
      <c r="AM36" s="297"/>
      <c r="AN36" s="297"/>
      <c r="AO36" s="1732"/>
      <c r="AP36" s="297"/>
      <c r="AQ36" s="297"/>
      <c r="AR36" s="297"/>
      <c r="AS36" s="297"/>
      <c r="AT36" s="297"/>
      <c r="AU36" s="297"/>
      <c r="AV36" s="1732"/>
      <c r="AW36" s="1036"/>
      <c r="AY36" s="2374"/>
      <c r="BB36" s="3092"/>
      <c r="BC36" s="3092"/>
    </row>
    <row r="37" spans="1:55" s="93" customFormat="1" ht="45.75" customHeight="1">
      <c r="A37" s="1819" t="s">
        <v>261</v>
      </c>
      <c r="B37" s="1068" t="s">
        <v>216</v>
      </c>
      <c r="C37" s="1069" t="s">
        <v>52</v>
      </c>
      <c r="D37" s="98" t="s">
        <v>49</v>
      </c>
      <c r="E37" s="277" t="s">
        <v>229</v>
      </c>
      <c r="F37" s="2023" t="s">
        <v>229</v>
      </c>
      <c r="G37" s="2022"/>
      <c r="H37" s="289"/>
      <c r="I37" s="3016">
        <f>'XM.FILE GOC'!I37</f>
        <v>0</v>
      </c>
      <c r="J37" s="3088"/>
      <c r="K37" s="3088"/>
      <c r="L37" s="3088"/>
      <c r="M37" s="3088"/>
      <c r="N37" s="2968"/>
      <c r="O37" s="1476"/>
      <c r="P37" s="3016">
        <f>'XM.FILE GOC'!P37</f>
        <v>0</v>
      </c>
      <c r="Q37" s="3088"/>
      <c r="R37" s="3088"/>
      <c r="S37" s="3088"/>
      <c r="T37" s="3088"/>
      <c r="U37" s="2968"/>
      <c r="V37" s="1551"/>
      <c r="W37" s="3016">
        <f>'XM.FILE GOC'!W37</f>
        <v>0</v>
      </c>
      <c r="X37" s="3088"/>
      <c r="Y37" s="3088"/>
      <c r="Z37" s="3088"/>
      <c r="AA37" s="3088"/>
      <c r="AB37" s="2968"/>
      <c r="AC37" s="1549"/>
      <c r="AD37" s="3016">
        <f>'XM.FILE GOC'!AD37</f>
        <v>0</v>
      </c>
      <c r="AE37" s="3088"/>
      <c r="AF37" s="3088"/>
      <c r="AG37" s="3088"/>
      <c r="AH37" s="3088"/>
      <c r="AI37" s="2968"/>
      <c r="AJ37" s="1550"/>
      <c r="AK37" s="3016">
        <f>'XM.FILE GOC'!AK37</f>
        <v>0</v>
      </c>
      <c r="AL37" s="3088"/>
      <c r="AM37" s="3088"/>
      <c r="AN37" s="3088"/>
      <c r="AO37" s="3088"/>
      <c r="AP37" s="2968"/>
      <c r="AQ37" s="1550"/>
      <c r="AR37" s="3016">
        <f>'XM.FILE GOC'!AR37</f>
        <v>0</v>
      </c>
      <c r="AS37" s="3088"/>
      <c r="AT37" s="3088"/>
      <c r="AU37" s="3088"/>
      <c r="AV37" s="3088"/>
      <c r="AW37" s="2968"/>
      <c r="AY37" s="2368"/>
      <c r="AZ37" s="1493"/>
    </row>
    <row r="38" spans="1:55" s="93" customFormat="1" ht="45.75" customHeight="1">
      <c r="A38" s="1819" t="s">
        <v>262</v>
      </c>
      <c r="B38" s="1068" t="s">
        <v>216</v>
      </c>
      <c r="C38" s="107" t="s">
        <v>53</v>
      </c>
      <c r="D38" s="98" t="s">
        <v>49</v>
      </c>
      <c r="E38" s="1718" t="s">
        <v>230</v>
      </c>
      <c r="F38" s="2024" t="s">
        <v>230</v>
      </c>
      <c r="G38" s="1400"/>
      <c r="H38" s="48"/>
      <c r="I38" s="3016">
        <f>'XM.FILE GOC'!I38</f>
        <v>0</v>
      </c>
      <c r="J38" s="3088"/>
      <c r="K38" s="3088"/>
      <c r="L38" s="3088"/>
      <c r="M38" s="3088"/>
      <c r="N38" s="2968"/>
      <c r="O38" s="1546"/>
      <c r="P38" s="3016">
        <f>'XM.FILE GOC'!P38</f>
        <v>0</v>
      </c>
      <c r="Q38" s="3088"/>
      <c r="R38" s="3088"/>
      <c r="S38" s="3088"/>
      <c r="T38" s="3088"/>
      <c r="U38" s="2968"/>
      <c r="V38" s="1547"/>
      <c r="W38" s="3016">
        <f>'XM.FILE GOC'!W38</f>
        <v>0</v>
      </c>
      <c r="X38" s="3088"/>
      <c r="Y38" s="3088"/>
      <c r="Z38" s="3088"/>
      <c r="AA38" s="3088"/>
      <c r="AB38" s="2968"/>
      <c r="AC38" s="1546"/>
      <c r="AD38" s="3016">
        <f>'XM.FILE GOC'!AD38</f>
        <v>0</v>
      </c>
      <c r="AE38" s="3088"/>
      <c r="AF38" s="3088"/>
      <c r="AG38" s="3088"/>
      <c r="AH38" s="3088"/>
      <c r="AI38" s="2968"/>
      <c r="AJ38" s="1540"/>
      <c r="AK38" s="3016">
        <f>'XM.FILE GOC'!AK38</f>
        <v>0</v>
      </c>
      <c r="AL38" s="3088"/>
      <c r="AM38" s="3088"/>
      <c r="AN38" s="3088"/>
      <c r="AO38" s="3088"/>
      <c r="AP38" s="2968"/>
      <c r="AQ38" s="1540"/>
      <c r="AR38" s="3016">
        <f>'XM.FILE GOC'!AR38</f>
        <v>0</v>
      </c>
      <c r="AS38" s="3088"/>
      <c r="AT38" s="3088"/>
      <c r="AU38" s="3088"/>
      <c r="AV38" s="3088"/>
      <c r="AW38" s="2968"/>
      <c r="AY38" s="2368"/>
      <c r="AZ38" s="1492"/>
    </row>
    <row r="39" spans="1:55" s="93" customFormat="1" ht="22.5" customHeight="1">
      <c r="A39" s="1822"/>
      <c r="B39" s="284"/>
      <c r="C39" s="1053"/>
      <c r="D39" s="212"/>
      <c r="E39" s="212"/>
      <c r="F39" s="212"/>
      <c r="G39" s="212"/>
      <c r="H39" s="212"/>
      <c r="I39" s="212"/>
      <c r="J39" s="1053"/>
      <c r="K39" s="1053"/>
      <c r="L39" s="1053"/>
      <c r="M39" s="1725"/>
      <c r="N39" s="1053"/>
      <c r="O39" s="1053"/>
      <c r="P39" s="1053"/>
      <c r="Q39" s="1053"/>
      <c r="R39" s="1053"/>
      <c r="S39" s="1053"/>
      <c r="T39" s="1725"/>
      <c r="U39" s="1053"/>
      <c r="W39" s="1053"/>
      <c r="X39" s="1053"/>
      <c r="Y39" s="1053"/>
      <c r="Z39" s="1053"/>
      <c r="AA39" s="1725"/>
      <c r="AB39" s="1053"/>
      <c r="AC39" s="1053"/>
      <c r="AD39" s="1053"/>
      <c r="AE39" s="1053"/>
      <c r="AF39" s="1053"/>
      <c r="AG39" s="1053"/>
      <c r="AH39" s="1725"/>
      <c r="AI39" s="1053"/>
      <c r="AJ39" s="105"/>
      <c r="AK39" s="1052"/>
      <c r="AL39" s="94"/>
      <c r="AM39" s="94"/>
      <c r="AN39" s="94"/>
      <c r="AO39" s="1733"/>
      <c r="AP39" s="94"/>
      <c r="AQ39" s="105"/>
      <c r="AR39" s="94"/>
      <c r="AS39" s="94"/>
      <c r="AT39" s="94"/>
      <c r="AU39" s="94"/>
      <c r="AV39" s="1733"/>
      <c r="AW39" s="94"/>
      <c r="AY39" s="2369"/>
      <c r="AZ39" s="1492"/>
    </row>
    <row r="40" spans="1:55" ht="41.25" customHeight="1">
      <c r="A40" s="2086"/>
      <c r="B40" s="2075"/>
      <c r="C40" s="2086" t="s">
        <v>1503</v>
      </c>
      <c r="D40" s="2076"/>
      <c r="E40" s="2247"/>
      <c r="F40" s="2076"/>
      <c r="G40" s="2087" t="s">
        <v>86</v>
      </c>
      <c r="H40" s="2080"/>
      <c r="I40" s="2088" t="str">
        <f>MENU!$AC$9</f>
        <v>Thứ 3,</v>
      </c>
      <c r="J40" s="2080"/>
      <c r="K40" s="2080"/>
      <c r="L40" s="2081" t="str">
        <f>MENU!$AD$9</f>
        <v>2024/01/09</v>
      </c>
      <c r="M40" s="2089"/>
      <c r="N40" s="2082"/>
      <c r="O40" s="2082"/>
      <c r="P40" s="2082"/>
      <c r="Q40" s="2082"/>
      <c r="R40" s="2082"/>
      <c r="S40" s="2082"/>
      <c r="T40" s="2089"/>
      <c r="U40" s="2080"/>
      <c r="V40" s="2080"/>
      <c r="W40" s="2080"/>
      <c r="X40" s="2080"/>
      <c r="Y40" s="2080"/>
      <c r="Z40" s="2080"/>
      <c r="AA40" s="2090"/>
      <c r="AB40" s="2080"/>
      <c r="AC40" s="2080"/>
      <c r="AD40" s="2091" t="s">
        <v>215</v>
      </c>
      <c r="AE40" s="2080"/>
      <c r="AF40" s="2080"/>
      <c r="AG40" s="2080"/>
      <c r="AH40" s="2090"/>
      <c r="AI40" s="2080"/>
      <c r="AJ40" s="2083"/>
      <c r="AK40" s="2075"/>
      <c r="AL40" s="2084"/>
      <c r="AM40" s="2084"/>
      <c r="AN40" s="2084"/>
      <c r="AO40" s="2092"/>
      <c r="AP40" s="2084"/>
      <c r="AQ40" s="2084"/>
      <c r="AR40" s="2084"/>
      <c r="AS40" s="2084"/>
      <c r="AT40" s="2084"/>
      <c r="AU40" s="2084"/>
      <c r="AV40" s="2092"/>
      <c r="AW40" s="2085"/>
      <c r="AY40" s="3073" t="s">
        <v>1543</v>
      </c>
      <c r="AZ40" s="3073" t="s">
        <v>1009</v>
      </c>
      <c r="BA40" s="3073" t="s">
        <v>1008</v>
      </c>
    </row>
    <row r="41" spans="1:55" ht="36.75" customHeight="1">
      <c r="A41" s="1823"/>
      <c r="B41" s="1064"/>
      <c r="C41" s="1064"/>
      <c r="D41" s="1064"/>
      <c r="E41" s="1699"/>
      <c r="F41" s="2025"/>
      <c r="G41" s="3100" t="s">
        <v>126</v>
      </c>
      <c r="H41" s="87"/>
      <c r="I41" s="279" t="s">
        <v>1489</v>
      </c>
      <c r="J41" s="279"/>
      <c r="K41" s="279"/>
      <c r="L41" s="279"/>
      <c r="M41" s="1723"/>
      <c r="N41" s="279"/>
      <c r="O41" s="88"/>
      <c r="P41" s="292" t="s">
        <v>1479</v>
      </c>
      <c r="Q41" s="279"/>
      <c r="R41" s="279"/>
      <c r="S41" s="279"/>
      <c r="T41" s="1723"/>
      <c r="U41" s="280"/>
      <c r="V41" s="279"/>
      <c r="W41" s="279" t="s">
        <v>1480</v>
      </c>
      <c r="X41" s="279"/>
      <c r="Y41" s="279"/>
      <c r="Z41" s="279"/>
      <c r="AA41" s="1723"/>
      <c r="AB41" s="279"/>
      <c r="AC41" s="88"/>
      <c r="AD41" s="292" t="s">
        <v>1481</v>
      </c>
      <c r="AE41" s="279"/>
      <c r="AF41" s="279"/>
      <c r="AG41" s="279"/>
      <c r="AH41" s="1723"/>
      <c r="AI41" s="280"/>
      <c r="AJ41" s="279"/>
      <c r="AK41" s="279" t="s">
        <v>1482</v>
      </c>
      <c r="AL41" s="279"/>
      <c r="AM41" s="279"/>
      <c r="AN41" s="279"/>
      <c r="AO41" s="1723"/>
      <c r="AP41" s="279"/>
      <c r="AQ41" s="279"/>
      <c r="AR41" s="292" t="s">
        <v>1483</v>
      </c>
      <c r="AS41" s="279"/>
      <c r="AT41" s="279"/>
      <c r="AU41" s="280"/>
      <c r="AV41" s="1734"/>
      <c r="AW41" s="1035"/>
      <c r="AY41" s="3073"/>
      <c r="AZ41" s="3073"/>
      <c r="BA41" s="3073"/>
    </row>
    <row r="42" spans="1:55" ht="63.75" customHeight="1">
      <c r="A42" s="1824" t="s">
        <v>239</v>
      </c>
      <c r="B42" s="1067" t="s">
        <v>318</v>
      </c>
      <c r="C42" s="1071" t="s">
        <v>317</v>
      </c>
      <c r="D42" s="1942" t="s">
        <v>125</v>
      </c>
      <c r="E42" s="1456" t="s">
        <v>1318</v>
      </c>
      <c r="F42" s="2026" t="s">
        <v>1317</v>
      </c>
      <c r="G42" s="3101"/>
      <c r="H42" s="20"/>
      <c r="I42" s="1861" t="s">
        <v>1466</v>
      </c>
      <c r="J42" s="1830" t="s">
        <v>1</v>
      </c>
      <c r="K42" s="3089" t="s">
        <v>1467</v>
      </c>
      <c r="L42" s="3089"/>
      <c r="M42" s="3090" t="s">
        <v>1527</v>
      </c>
      <c r="N42" s="3091"/>
      <c r="O42" s="89"/>
      <c r="P42" s="1861" t="s">
        <v>1466</v>
      </c>
      <c r="Q42" s="1830" t="s">
        <v>1</v>
      </c>
      <c r="R42" s="3089" t="s">
        <v>1467</v>
      </c>
      <c r="S42" s="3089"/>
      <c r="T42" s="3090" t="s">
        <v>1527</v>
      </c>
      <c r="U42" s="3091"/>
      <c r="V42" s="20"/>
      <c r="W42" s="2153" t="s">
        <v>1466</v>
      </c>
      <c r="X42" s="1830" t="s">
        <v>1</v>
      </c>
      <c r="Y42" s="3089" t="s">
        <v>1467</v>
      </c>
      <c r="Z42" s="3089"/>
      <c r="AA42" s="3090" t="s">
        <v>1527</v>
      </c>
      <c r="AB42" s="3091"/>
      <c r="AC42" s="89"/>
      <c r="AD42" s="2153" t="s">
        <v>1466</v>
      </c>
      <c r="AE42" s="1830" t="s">
        <v>1</v>
      </c>
      <c r="AF42" s="3089" t="s">
        <v>1467</v>
      </c>
      <c r="AG42" s="3089"/>
      <c r="AH42" s="3090" t="s">
        <v>1527</v>
      </c>
      <c r="AI42" s="3091"/>
      <c r="AJ42" s="89"/>
      <c r="AK42" s="2153" t="s">
        <v>1466</v>
      </c>
      <c r="AL42" s="1830" t="s">
        <v>1</v>
      </c>
      <c r="AM42" s="3089" t="s">
        <v>1467</v>
      </c>
      <c r="AN42" s="3089"/>
      <c r="AO42" s="3090" t="s">
        <v>1527</v>
      </c>
      <c r="AP42" s="3091"/>
      <c r="AQ42" s="89"/>
      <c r="AR42" s="1861" t="s">
        <v>1466</v>
      </c>
      <c r="AS42" s="1830" t="s">
        <v>1</v>
      </c>
      <c r="AT42" s="3089" t="s">
        <v>1467</v>
      </c>
      <c r="AU42" s="3089"/>
      <c r="AV42" s="3090" t="s">
        <v>1527</v>
      </c>
      <c r="AW42" s="3091"/>
      <c r="AY42" s="3073"/>
      <c r="AZ42" s="3073"/>
      <c r="BA42" s="3073"/>
    </row>
    <row r="43" spans="1:55" ht="39.75" customHeight="1">
      <c r="A43" s="1946" t="s">
        <v>263</v>
      </c>
      <c r="B43" s="1947" t="s">
        <v>215</v>
      </c>
      <c r="C43" s="1987" t="s">
        <v>1505</v>
      </c>
      <c r="D43" s="1948" t="s">
        <v>4</v>
      </c>
      <c r="E43" s="1949" t="s">
        <v>1352</v>
      </c>
      <c r="F43" s="2027" t="s">
        <v>1346</v>
      </c>
      <c r="G43" s="2004">
        <v>70</v>
      </c>
      <c r="H43" s="1951">
        <f>XM.HN!B26</f>
        <v>10.8</v>
      </c>
      <c r="I43" s="2067">
        <f>H43*6.49</f>
        <v>70.092000000000013</v>
      </c>
      <c r="J43" s="1953">
        <f>($G$43-I43)*2693/1000</f>
        <v>-0.24775600000003489</v>
      </c>
      <c r="K43" s="1954" t="s">
        <v>8</v>
      </c>
      <c r="L43" s="1955">
        <f>IF(I43=0,0,IF(J43&lt;0,0,J43))</f>
        <v>0</v>
      </c>
      <c r="M43" s="2189" t="str">
        <f>IF('2. XL-1F TT '!AB6="","",'2. XL-1F TT '!AB6)</f>
        <v/>
      </c>
      <c r="N43" s="1957" t="s">
        <v>9</v>
      </c>
      <c r="O43" s="1958">
        <f>XM.HN!C26</f>
        <v>10.9</v>
      </c>
      <c r="P43" s="2067">
        <f>O43*6.49</f>
        <v>70.741</v>
      </c>
      <c r="Q43" s="1953">
        <f>($G$43-P43)*2693/1000</f>
        <v>-1.995512999999999</v>
      </c>
      <c r="R43" s="1954" t="s">
        <v>8</v>
      </c>
      <c r="S43" s="1955">
        <f>IF(P43=0,0,IF(Q43&lt;0,0,Q43))</f>
        <v>0</v>
      </c>
      <c r="T43" s="2189" t="str">
        <f>IF('2. XL-1F TT '!AF6="","",'2. XL-1F TT '!AF6)</f>
        <v/>
      </c>
      <c r="U43" s="1957" t="s">
        <v>9</v>
      </c>
      <c r="V43" s="1958">
        <f>XM.HN!D26</f>
        <v>11.4</v>
      </c>
      <c r="W43" s="2148">
        <f>V43*6.49</f>
        <v>73.986000000000004</v>
      </c>
      <c r="X43" s="2149">
        <f>($G$43-W43)*2693/1000</f>
        <v>-10.734298000000011</v>
      </c>
      <c r="Y43" s="2150" t="s">
        <v>8</v>
      </c>
      <c r="Z43" s="2151">
        <f>IF(W43=0,0,IF(X43&lt;0,0,X43))</f>
        <v>0</v>
      </c>
      <c r="AA43" s="2464" t="str">
        <f>IF('2. XL-1F TT '!AJ6="","",'2. XL-1F TT '!AJ6)</f>
        <v/>
      </c>
      <c r="AB43" s="2152" t="s">
        <v>9</v>
      </c>
      <c r="AC43" s="2465">
        <f>XM.HN!E26</f>
        <v>11.5</v>
      </c>
      <c r="AD43" s="2148">
        <f>AC43*6.49</f>
        <v>74.635000000000005</v>
      </c>
      <c r="AE43" s="1966">
        <f>($G$43-AD43)*2693/1000</f>
        <v>-12.482055000000013</v>
      </c>
      <c r="AF43" s="1967" t="s">
        <v>8</v>
      </c>
      <c r="AG43" s="2072">
        <f>IF(AD43=0,0,IF(AE43&lt;0,0,AE43))</f>
        <v>0</v>
      </c>
      <c r="AH43" s="2189" t="str">
        <f>IF('2. XL-1F TT(CA2)'!AB6="","",'2. XL-1F TT(CA2)'!AB6)</f>
        <v/>
      </c>
      <c r="AI43" s="1957" t="s">
        <v>9</v>
      </c>
      <c r="AJ43" s="1958">
        <f>XM.HN!F26</f>
        <v>0</v>
      </c>
      <c r="AK43" s="2067">
        <f>AJ43*6.49</f>
        <v>0</v>
      </c>
      <c r="AL43" s="1953">
        <f>($G$43-AK43)*2693/1000</f>
        <v>188.51</v>
      </c>
      <c r="AM43" s="1954" t="s">
        <v>8</v>
      </c>
      <c r="AN43" s="1955">
        <f>IF(AK43=0,0,IF(AL43&lt;0,0,AL43))</f>
        <v>0</v>
      </c>
      <c r="AO43" s="2189" t="str">
        <f>IF('2. XL-1F TT(CA2)'!AF6="","",'2. XL-1F TT(CA2)'!AF6)</f>
        <v/>
      </c>
      <c r="AP43" s="1957" t="s">
        <v>9</v>
      </c>
      <c r="AQ43" s="1958">
        <f>XM.HN!G26</f>
        <v>11.2</v>
      </c>
      <c r="AR43" s="2067">
        <f>AQ43*6.49</f>
        <v>72.688000000000002</v>
      </c>
      <c r="AS43" s="1953">
        <f>($G$43-AR43)*2693/1000</f>
        <v>-7.2387840000000061</v>
      </c>
      <c r="AT43" s="1954" t="s">
        <v>8</v>
      </c>
      <c r="AU43" s="1955">
        <f>IF(AR43=0,0,IF(AS43&lt;0,0,AS43))</f>
        <v>0</v>
      </c>
      <c r="AV43" s="2189" t="str">
        <f>IF('2. XL-1F TT(CA2)'!AJ6="","",'2. XL-1F TT(CA2)'!AJ6)</f>
        <v/>
      </c>
      <c r="AW43" s="1957" t="s">
        <v>9</v>
      </c>
      <c r="AY43" s="3077"/>
      <c r="AZ43" s="3077" t="s">
        <v>1012</v>
      </c>
      <c r="BA43" s="3097" t="s">
        <v>1315</v>
      </c>
    </row>
    <row r="44" spans="1:55" ht="39.75" customHeight="1">
      <c r="A44" s="1971"/>
      <c r="B44" s="1972"/>
      <c r="C44" s="1986" t="s">
        <v>232</v>
      </c>
      <c r="D44" s="1974"/>
      <c r="E44" s="1975" t="s">
        <v>1378</v>
      </c>
      <c r="F44" s="2028"/>
      <c r="G44" s="2006"/>
      <c r="H44" s="1977"/>
      <c r="I44" s="1998"/>
      <c r="J44" s="1978"/>
      <c r="K44" s="1979" t="s">
        <v>8</v>
      </c>
      <c r="L44" s="1984">
        <f>L43/25*7.5</f>
        <v>0</v>
      </c>
      <c r="M44" s="2191" t="str">
        <f>IF('2. XL-1F TT '!AB7="","",'2. XL-1F TT '!AB7)</f>
        <v/>
      </c>
      <c r="N44" s="1981" t="s">
        <v>10</v>
      </c>
      <c r="O44" s="1982"/>
      <c r="P44" s="1998"/>
      <c r="Q44" s="1978"/>
      <c r="R44" s="1979" t="s">
        <v>8</v>
      </c>
      <c r="S44" s="1984">
        <f>S43/25*7.5</f>
        <v>0</v>
      </c>
      <c r="T44" s="2191" t="str">
        <f>IF('2. XL-1F TT '!AF7="","",'2. XL-1F TT '!AF7)</f>
        <v/>
      </c>
      <c r="U44" s="1981" t="s">
        <v>10</v>
      </c>
      <c r="V44" s="1982"/>
      <c r="W44" s="1998"/>
      <c r="X44" s="1978"/>
      <c r="Y44" s="1979" t="s">
        <v>8</v>
      </c>
      <c r="Z44" s="1984">
        <f>Z43/25*7.5</f>
        <v>0</v>
      </c>
      <c r="AA44" s="2191" t="str">
        <f>IF('2. XL-1F TT '!AJ7="","",'2. XL-1F TT '!AJ7)</f>
        <v/>
      </c>
      <c r="AB44" s="1981" t="s">
        <v>10</v>
      </c>
      <c r="AC44" s="1982"/>
      <c r="AD44" s="1998"/>
      <c r="AE44" s="1978"/>
      <c r="AF44" s="1979" t="s">
        <v>8</v>
      </c>
      <c r="AG44" s="1984">
        <f>AG43/25*7.5</f>
        <v>0</v>
      </c>
      <c r="AH44" s="2191" t="str">
        <f>IF('2. XL-1F TT(CA2)'!AB7="","",'2. XL-1F TT(CA2)'!AB7)</f>
        <v/>
      </c>
      <c r="AI44" s="1981" t="s">
        <v>10</v>
      </c>
      <c r="AJ44" s="1982"/>
      <c r="AK44" s="1998"/>
      <c r="AL44" s="1978"/>
      <c r="AM44" s="1979" t="s">
        <v>8</v>
      </c>
      <c r="AN44" s="1984">
        <f>AN43/25*7.5</f>
        <v>0</v>
      </c>
      <c r="AO44" s="2191" t="str">
        <f>IF('2. XL-1F TT(CA2)'!AF7="","",'2. XL-1F TT(CA2)'!AF7)</f>
        <v/>
      </c>
      <c r="AP44" s="1981" t="s">
        <v>10</v>
      </c>
      <c r="AQ44" s="1982"/>
      <c r="AR44" s="1998"/>
      <c r="AS44" s="1978"/>
      <c r="AT44" s="1979" t="s">
        <v>8</v>
      </c>
      <c r="AU44" s="1984">
        <f>AU43/25*7.5</f>
        <v>0</v>
      </c>
      <c r="AV44" s="2191" t="str">
        <f>IF('2. XL-1F TT(CA2)'!AJ7="","",'2. XL-1F TT(CA2)'!AJ7)</f>
        <v/>
      </c>
      <c r="AW44" s="1981" t="s">
        <v>10</v>
      </c>
      <c r="AY44" s="3078"/>
      <c r="AZ44" s="3078"/>
      <c r="BA44" s="3098"/>
    </row>
    <row r="45" spans="1:55" ht="39.75" customHeight="1">
      <c r="A45" s="1946" t="s">
        <v>264</v>
      </c>
      <c r="B45" s="1947" t="s">
        <v>215</v>
      </c>
      <c r="C45" s="1987" t="s">
        <v>1506</v>
      </c>
      <c r="D45" s="1948" t="s">
        <v>4</v>
      </c>
      <c r="E45" s="1949" t="s">
        <v>1352</v>
      </c>
      <c r="F45" s="2027" t="s">
        <v>1346</v>
      </c>
      <c r="G45" s="2004">
        <v>70</v>
      </c>
      <c r="H45" s="1951">
        <f>XM.HN!B28</f>
        <v>11.45</v>
      </c>
      <c r="I45" s="2067">
        <f>H45*6.49</f>
        <v>74.310500000000005</v>
      </c>
      <c r="J45" s="1953">
        <f>($G$45-I45)*3305/1000</f>
        <v>-14.246202500000015</v>
      </c>
      <c r="K45" s="1954" t="s">
        <v>8</v>
      </c>
      <c r="L45" s="1955">
        <f t="shared" ref="L45:L58" si="6">IF(I45=0,0,IF(J45&lt;0,0,J45))</f>
        <v>0</v>
      </c>
      <c r="M45" s="2189" t="str">
        <f>IF('2. XL-1F TT '!AB8="","",'2. XL-1F TT '!AB8)</f>
        <v/>
      </c>
      <c r="N45" s="1957" t="s">
        <v>9</v>
      </c>
      <c r="O45" s="1958">
        <f>XM.HN!C28</f>
        <v>11.4</v>
      </c>
      <c r="P45" s="2067">
        <f>O45*6.49</f>
        <v>73.986000000000004</v>
      </c>
      <c r="Q45" s="1953">
        <f>($G$45-P45)*3305/1000</f>
        <v>-13.173730000000013</v>
      </c>
      <c r="R45" s="1954" t="s">
        <v>8</v>
      </c>
      <c r="S45" s="1955">
        <f t="shared" ref="S45:S58" si="7">IF(P45=0,0,IF(Q45&lt;0,0,Q45))</f>
        <v>0</v>
      </c>
      <c r="T45" s="2189" t="str">
        <f>IF('2. XL-1F TT '!AF8="","",'2. XL-1F TT '!AF8)</f>
        <v/>
      </c>
      <c r="U45" s="1957" t="s">
        <v>9</v>
      </c>
      <c r="V45" s="1958">
        <f>XM.HN!D28</f>
        <v>11.1</v>
      </c>
      <c r="W45" s="2067">
        <f>V45*6.49</f>
        <v>72.039000000000001</v>
      </c>
      <c r="X45" s="1953">
        <f>($G$45-W45)*3305/1000</f>
        <v>-6.7388950000000047</v>
      </c>
      <c r="Y45" s="1954" t="s">
        <v>8</v>
      </c>
      <c r="Z45" s="1955">
        <f t="shared" ref="Z45:Z58" si="8">IF(W45=0,0,IF(X45&lt;0,0,X45))</f>
        <v>0</v>
      </c>
      <c r="AA45" s="2189" t="str">
        <f>IF('2. XL-1F TT '!AJ8="","",'2. XL-1F TT '!AJ8)</f>
        <v/>
      </c>
      <c r="AB45" s="1957" t="s">
        <v>9</v>
      </c>
      <c r="AC45" s="1958">
        <f>XM.HN!E28</f>
        <v>11</v>
      </c>
      <c r="AD45" s="2067">
        <f>AC45*6.49</f>
        <v>71.39</v>
      </c>
      <c r="AE45" s="1953">
        <f>($G$45-AD45)*3305/1000</f>
        <v>-4.5939500000000013</v>
      </c>
      <c r="AF45" s="1954" t="s">
        <v>8</v>
      </c>
      <c r="AG45" s="1955">
        <f t="shared" ref="AG45:AG58" si="9">IF(AD45=0,0,IF(AE45&lt;0,0,AE45))</f>
        <v>0</v>
      </c>
      <c r="AH45" s="2189" t="str">
        <f>IF('2. XL-1F TT(CA2)'!AB8="","",'2. XL-1F TT(CA2)'!AB8)</f>
        <v/>
      </c>
      <c r="AI45" s="1957" t="s">
        <v>9</v>
      </c>
      <c r="AJ45" s="1958">
        <f>XM.HN!F28</f>
        <v>0</v>
      </c>
      <c r="AK45" s="2067">
        <f>AJ45*6.49</f>
        <v>0</v>
      </c>
      <c r="AL45" s="1953">
        <f>($G$45-AK45)*3305/1000</f>
        <v>231.35</v>
      </c>
      <c r="AM45" s="1954" t="s">
        <v>8</v>
      </c>
      <c r="AN45" s="1955">
        <f t="shared" ref="AN45:AN58" si="10">IF(AK45=0,0,IF(AL45&lt;0,0,AL45))</f>
        <v>0</v>
      </c>
      <c r="AO45" s="2189" t="str">
        <f>IF('2. XL-1F TT(CA2)'!AF8="","",'2. XL-1F TT(CA2)'!AF8)</f>
        <v/>
      </c>
      <c r="AP45" s="1957" t="s">
        <v>9</v>
      </c>
      <c r="AQ45" s="1958">
        <f>XM.HN!G28</f>
        <v>11</v>
      </c>
      <c r="AR45" s="2067">
        <f>AQ45*6.49</f>
        <v>71.39</v>
      </c>
      <c r="AS45" s="1953">
        <f>($G$45-AR45)*3305/1000</f>
        <v>-4.5939500000000013</v>
      </c>
      <c r="AT45" s="1954" t="s">
        <v>8</v>
      </c>
      <c r="AU45" s="1955">
        <f t="shared" ref="AU45:AU58" si="11">IF(AR45=0,0,IF(AS45&lt;0,0,AS45))</f>
        <v>0</v>
      </c>
      <c r="AV45" s="2189" t="str">
        <f>IF('2. XL-1F TT(CA2)'!AJ8="","",'2. XL-1F TT(CA2)'!AJ8)</f>
        <v/>
      </c>
      <c r="AW45" s="1957" t="s">
        <v>9</v>
      </c>
      <c r="AY45" s="3077"/>
      <c r="AZ45" s="3077" t="s">
        <v>1012</v>
      </c>
      <c r="BA45" s="3098"/>
    </row>
    <row r="46" spans="1:55" ht="39.75" customHeight="1">
      <c r="A46" s="1971"/>
      <c r="B46" s="1972"/>
      <c r="C46" s="1986" t="s">
        <v>232</v>
      </c>
      <c r="D46" s="1974"/>
      <c r="E46" s="1975" t="s">
        <v>1378</v>
      </c>
      <c r="F46" s="2028"/>
      <c r="G46" s="2006"/>
      <c r="H46" s="1977"/>
      <c r="I46" s="1998"/>
      <c r="J46" s="1978"/>
      <c r="K46" s="1979" t="s">
        <v>8</v>
      </c>
      <c r="L46" s="1984">
        <f>L45/25*7.5</f>
        <v>0</v>
      </c>
      <c r="M46" s="2191" t="str">
        <f>IF('2. XL-1F TT '!AB9="","",'2. XL-1F TT '!AB9)</f>
        <v/>
      </c>
      <c r="N46" s="1981" t="s">
        <v>10</v>
      </c>
      <c r="O46" s="1982"/>
      <c r="P46" s="1998"/>
      <c r="Q46" s="1978"/>
      <c r="R46" s="1979" t="s">
        <v>8</v>
      </c>
      <c r="S46" s="1984">
        <f>S45/25*7.5</f>
        <v>0</v>
      </c>
      <c r="T46" s="2191" t="str">
        <f>IF('2. XL-1F TT '!AF9="","",'2. XL-1F TT '!AF9)</f>
        <v/>
      </c>
      <c r="U46" s="1981" t="s">
        <v>10</v>
      </c>
      <c r="V46" s="1982"/>
      <c r="W46" s="1998"/>
      <c r="X46" s="1978"/>
      <c r="Y46" s="1979" t="s">
        <v>8</v>
      </c>
      <c r="Z46" s="1984">
        <f>Z45/25*7.5</f>
        <v>0</v>
      </c>
      <c r="AA46" s="2191" t="str">
        <f>IF('2. XL-1F TT '!AJ9="","",'2. XL-1F TT '!AJ9)</f>
        <v/>
      </c>
      <c r="AB46" s="1981" t="s">
        <v>10</v>
      </c>
      <c r="AC46" s="1982"/>
      <c r="AD46" s="1998"/>
      <c r="AE46" s="1978"/>
      <c r="AF46" s="1979" t="s">
        <v>8</v>
      </c>
      <c r="AG46" s="1984">
        <f>AG45/25*7.5</f>
        <v>0</v>
      </c>
      <c r="AH46" s="2191" t="str">
        <f>IF('2. XL-1F TT(CA2)'!AB9="","",'2. XL-1F TT(CA2)'!AB9)</f>
        <v/>
      </c>
      <c r="AI46" s="1981" t="s">
        <v>10</v>
      </c>
      <c r="AJ46" s="1982"/>
      <c r="AK46" s="1998"/>
      <c r="AL46" s="1978"/>
      <c r="AM46" s="1979" t="s">
        <v>8</v>
      </c>
      <c r="AN46" s="1984">
        <f>AN45/25*7.5</f>
        <v>0</v>
      </c>
      <c r="AO46" s="2191" t="str">
        <f>IF('2. XL-1F TT(CA2)'!AF9="","",'2. XL-1F TT(CA2)'!AF9)</f>
        <v/>
      </c>
      <c r="AP46" s="1981" t="s">
        <v>10</v>
      </c>
      <c r="AQ46" s="1982"/>
      <c r="AR46" s="1998"/>
      <c r="AS46" s="1978"/>
      <c r="AT46" s="1979" t="s">
        <v>8</v>
      </c>
      <c r="AU46" s="1984">
        <f>AU45/25*7.5</f>
        <v>0</v>
      </c>
      <c r="AV46" s="2191" t="str">
        <f>IF('2. XL-1F TT(CA2)'!AJ9="","",'2. XL-1F TT(CA2)'!AJ9)</f>
        <v/>
      </c>
      <c r="AW46" s="1981" t="s">
        <v>10</v>
      </c>
      <c r="AY46" s="3078"/>
      <c r="AZ46" s="3078"/>
      <c r="BA46" s="3098"/>
    </row>
    <row r="47" spans="1:55" ht="45" customHeight="1">
      <c r="A47" s="1946" t="s">
        <v>265</v>
      </c>
      <c r="B47" s="1947" t="s">
        <v>215</v>
      </c>
      <c r="C47" s="1987" t="s">
        <v>1507</v>
      </c>
      <c r="D47" s="1948" t="s">
        <v>4</v>
      </c>
      <c r="E47" s="1949" t="s">
        <v>1358</v>
      </c>
      <c r="F47" s="2027" t="s">
        <v>1556</v>
      </c>
      <c r="G47" s="2004">
        <v>60</v>
      </c>
      <c r="H47" s="1951">
        <f>XM.HN!B30</f>
        <v>12.25</v>
      </c>
      <c r="I47" s="2067">
        <f>H47*4.62</f>
        <v>56.594999999999999</v>
      </c>
      <c r="J47" s="1953">
        <f>($G$47-I47)*1156/1000</f>
        <v>3.9361800000000011</v>
      </c>
      <c r="K47" s="1954" t="s">
        <v>8</v>
      </c>
      <c r="L47" s="1955">
        <f t="shared" si="6"/>
        <v>3.9361800000000011</v>
      </c>
      <c r="M47" s="2189" t="str">
        <f>IF('2. XL-1F TT '!AB10="","",'2. XL-1F TT '!AB10)</f>
        <v>có</v>
      </c>
      <c r="N47" s="1957" t="s">
        <v>9</v>
      </c>
      <c r="O47" s="1958">
        <f>XM.HN!C30</f>
        <v>12.2</v>
      </c>
      <c r="P47" s="2067">
        <f>O47*4.62</f>
        <v>56.363999999999997</v>
      </c>
      <c r="Q47" s="1953">
        <f>($G$47-P47)*1156/1000</f>
        <v>4.2032160000000029</v>
      </c>
      <c r="R47" s="1954" t="s">
        <v>8</v>
      </c>
      <c r="S47" s="1955">
        <f t="shared" si="7"/>
        <v>4.2032160000000029</v>
      </c>
      <c r="T47" s="2189" t="str">
        <f>IF('2. XL-1F TT '!AF10="","",'2. XL-1F TT '!AF10)</f>
        <v>có</v>
      </c>
      <c r="U47" s="1957" t="s">
        <v>9</v>
      </c>
      <c r="V47" s="1958">
        <f>XM.HN!D30</f>
        <v>13.25</v>
      </c>
      <c r="W47" s="2067">
        <f>V47*4.62</f>
        <v>61.215000000000003</v>
      </c>
      <c r="X47" s="1953">
        <f>($G$47-W47)*1156/1000</f>
        <v>-1.4045400000000041</v>
      </c>
      <c r="Y47" s="1954" t="s">
        <v>8</v>
      </c>
      <c r="Z47" s="1955">
        <f t="shared" si="8"/>
        <v>0</v>
      </c>
      <c r="AA47" s="2189" t="str">
        <f>IF('2. XL-1F TT '!AJ10="","",'2. XL-1F TT '!AJ10)</f>
        <v/>
      </c>
      <c r="AB47" s="1957" t="s">
        <v>9</v>
      </c>
      <c r="AC47" s="1958">
        <f>XM.HN!E30</f>
        <v>13.6</v>
      </c>
      <c r="AD47" s="2067">
        <f>AC47*4.62</f>
        <v>62.832000000000001</v>
      </c>
      <c r="AE47" s="1953">
        <f>($G$47-AD47)*1156/1000</f>
        <v>-3.2737920000000007</v>
      </c>
      <c r="AF47" s="1954" t="s">
        <v>8</v>
      </c>
      <c r="AG47" s="1955">
        <f t="shared" si="9"/>
        <v>0</v>
      </c>
      <c r="AH47" s="2189" t="str">
        <f>IF('2. XL-1F TT(CA2)'!AB10="","",'2. XL-1F TT(CA2)'!AB10)</f>
        <v/>
      </c>
      <c r="AI47" s="1957" t="s">
        <v>9</v>
      </c>
      <c r="AJ47" s="1958">
        <f>XM.HN!F30</f>
        <v>0</v>
      </c>
      <c r="AK47" s="2067">
        <f>AJ47*4.62</f>
        <v>0</v>
      </c>
      <c r="AL47" s="1953">
        <f>($G$47-AK47)*1156/1000</f>
        <v>69.36</v>
      </c>
      <c r="AM47" s="1954" t="s">
        <v>8</v>
      </c>
      <c r="AN47" s="1955">
        <f t="shared" si="10"/>
        <v>0</v>
      </c>
      <c r="AO47" s="2189" t="str">
        <f>IF('2. XL-1F TT(CA2)'!AF10="","",'2. XL-1F TT(CA2)'!AF10)</f>
        <v/>
      </c>
      <c r="AP47" s="1957" t="s">
        <v>9</v>
      </c>
      <c r="AQ47" s="1958">
        <f>XM.HN!G30</f>
        <v>13.1</v>
      </c>
      <c r="AR47" s="2067">
        <f>AQ47*4.62</f>
        <v>60.521999999999998</v>
      </c>
      <c r="AS47" s="1953">
        <f>($G$47-AR47)*1156/1000</f>
        <v>-0.60343199999999819</v>
      </c>
      <c r="AT47" s="1954" t="s">
        <v>8</v>
      </c>
      <c r="AU47" s="1955">
        <f t="shared" si="11"/>
        <v>0</v>
      </c>
      <c r="AV47" s="2189" t="str">
        <f>IF('2. XL-1F TT(CA2)'!AJ10="","",'2. XL-1F TT(CA2)'!AJ10)</f>
        <v/>
      </c>
      <c r="AW47" s="1957" t="s">
        <v>9</v>
      </c>
      <c r="AY47" s="3077"/>
      <c r="AZ47" s="3077" t="s">
        <v>1012</v>
      </c>
      <c r="BA47" s="3098"/>
    </row>
    <row r="48" spans="1:55" ht="39.75" customHeight="1">
      <c r="A48" s="1971"/>
      <c r="B48" s="1972"/>
      <c r="C48" s="1986" t="s">
        <v>234</v>
      </c>
      <c r="D48" s="1974"/>
      <c r="E48" s="1975" t="s">
        <v>1508</v>
      </c>
      <c r="F48" s="2028"/>
      <c r="G48" s="2006"/>
      <c r="H48" s="1977"/>
      <c r="I48" s="1998"/>
      <c r="J48" s="1978"/>
      <c r="K48" s="1979" t="s">
        <v>8</v>
      </c>
      <c r="L48" s="1984">
        <f>L47/25*7</f>
        <v>1.1021304000000003</v>
      </c>
      <c r="M48" s="2191" t="str">
        <f>IF('2. XL-1F TT '!AB11="","",'2. XL-1F TT '!AB11)</f>
        <v/>
      </c>
      <c r="N48" s="1981" t="s">
        <v>10</v>
      </c>
      <c r="O48" s="1982"/>
      <c r="P48" s="1998"/>
      <c r="Q48" s="1978"/>
      <c r="R48" s="1979" t="s">
        <v>8</v>
      </c>
      <c r="S48" s="1984">
        <f>S47/25*7</f>
        <v>1.1769004800000007</v>
      </c>
      <c r="T48" s="2191" t="str">
        <f>IF('2. XL-1F TT '!AF11="","",'2. XL-1F TT '!AF11)</f>
        <v/>
      </c>
      <c r="U48" s="1981" t="s">
        <v>10</v>
      </c>
      <c r="V48" s="1982"/>
      <c r="W48" s="1998"/>
      <c r="X48" s="1978"/>
      <c r="Y48" s="1979" t="s">
        <v>8</v>
      </c>
      <c r="Z48" s="1984">
        <f>Z47/25*7</f>
        <v>0</v>
      </c>
      <c r="AA48" s="2191" t="str">
        <f>IF('2. XL-1F TT '!AJ11="","",'2. XL-1F TT '!AJ11)</f>
        <v/>
      </c>
      <c r="AB48" s="1981" t="s">
        <v>10</v>
      </c>
      <c r="AC48" s="1982"/>
      <c r="AD48" s="1998"/>
      <c r="AE48" s="1978"/>
      <c r="AF48" s="1979" t="s">
        <v>8</v>
      </c>
      <c r="AG48" s="1984">
        <f>AG47/25*7</f>
        <v>0</v>
      </c>
      <c r="AH48" s="2191" t="str">
        <f>IF('2. XL-1F TT(CA2)'!AB11="","",'2. XL-1F TT(CA2)'!AB11)</f>
        <v/>
      </c>
      <c r="AI48" s="1981" t="s">
        <v>10</v>
      </c>
      <c r="AJ48" s="1982"/>
      <c r="AK48" s="1998"/>
      <c r="AL48" s="1978"/>
      <c r="AM48" s="1979" t="s">
        <v>8</v>
      </c>
      <c r="AN48" s="1984">
        <f>AN47/25*7</f>
        <v>0</v>
      </c>
      <c r="AO48" s="2191" t="str">
        <f>IF('2. XL-1F TT(CA2)'!AF11="","",'2. XL-1F TT(CA2)'!AF11)</f>
        <v/>
      </c>
      <c r="AP48" s="1981" t="s">
        <v>10</v>
      </c>
      <c r="AQ48" s="1982"/>
      <c r="AR48" s="1998"/>
      <c r="AS48" s="1978"/>
      <c r="AT48" s="1979" t="s">
        <v>8</v>
      </c>
      <c r="AU48" s="1984">
        <f>AU47/25*7</f>
        <v>0</v>
      </c>
      <c r="AV48" s="2191" t="str">
        <f>IF('2. XL-1F TT(CA2)'!AJ11="","",'2. XL-1F TT(CA2)'!AJ11)</f>
        <v/>
      </c>
      <c r="AW48" s="1981" t="s">
        <v>10</v>
      </c>
      <c r="AY48" s="3078"/>
      <c r="AZ48" s="3078"/>
      <c r="BA48" s="3098"/>
    </row>
    <row r="49" spans="1:57" ht="39.75" customHeight="1">
      <c r="A49" s="1946" t="s">
        <v>266</v>
      </c>
      <c r="B49" s="1947" t="s">
        <v>215</v>
      </c>
      <c r="C49" s="1987" t="s">
        <v>1509</v>
      </c>
      <c r="D49" s="1948" t="s">
        <v>4</v>
      </c>
      <c r="E49" s="1949" t="s">
        <v>1358</v>
      </c>
      <c r="F49" s="2027" t="s">
        <v>1556</v>
      </c>
      <c r="G49" s="2004">
        <v>60</v>
      </c>
      <c r="H49" s="1951">
        <f>XM.HN!B32</f>
        <v>12.3</v>
      </c>
      <c r="I49" s="2067">
        <f>H49*4.62</f>
        <v>56.826000000000008</v>
      </c>
      <c r="J49" s="1953">
        <f>($G$49-I49)*1459/1000</f>
        <v>4.6308659999999895</v>
      </c>
      <c r="K49" s="1954" t="s">
        <v>8</v>
      </c>
      <c r="L49" s="1955">
        <f t="shared" si="6"/>
        <v>4.6308659999999895</v>
      </c>
      <c r="M49" s="2189" t="str">
        <f>IF('2. XL-1F TT '!AB12="","",'2. XL-1F TT '!AB12)</f>
        <v>có</v>
      </c>
      <c r="N49" s="1957" t="s">
        <v>9</v>
      </c>
      <c r="O49" s="1958">
        <f>XM.HN!C32</f>
        <v>12.6</v>
      </c>
      <c r="P49" s="2067">
        <f>O49*4.62</f>
        <v>58.211999999999996</v>
      </c>
      <c r="Q49" s="1953">
        <f>($G$49-P49)*1459/1000</f>
        <v>2.6086920000000053</v>
      </c>
      <c r="R49" s="1954" t="s">
        <v>8</v>
      </c>
      <c r="S49" s="1955">
        <f t="shared" si="7"/>
        <v>2.6086920000000053</v>
      </c>
      <c r="T49" s="2189" t="str">
        <f>IF('2. XL-1F TT '!AF12="","",'2. XL-1F TT '!AF12)</f>
        <v>có</v>
      </c>
      <c r="U49" s="1957" t="s">
        <v>9</v>
      </c>
      <c r="V49" s="1958">
        <f>XM.HN!D32</f>
        <v>13.9</v>
      </c>
      <c r="W49" s="2067">
        <f>V49*4.62</f>
        <v>64.218000000000004</v>
      </c>
      <c r="X49" s="1953">
        <f>($G$49-W49)*1459/1000</f>
        <v>-6.154062000000005</v>
      </c>
      <c r="Y49" s="1954" t="s">
        <v>8</v>
      </c>
      <c r="Z49" s="1955">
        <f t="shared" si="8"/>
        <v>0</v>
      </c>
      <c r="AA49" s="2189" t="str">
        <f>IF('2. XL-1F TT '!AJ12="","",'2. XL-1F TT '!AJ12)</f>
        <v/>
      </c>
      <c r="AB49" s="1957" t="s">
        <v>9</v>
      </c>
      <c r="AC49" s="1958">
        <f>XM.HN!E32</f>
        <v>13.4</v>
      </c>
      <c r="AD49" s="2067">
        <f>AC49*4.62</f>
        <v>61.908000000000001</v>
      </c>
      <c r="AE49" s="1953">
        <f>($G$49-AD49)*1459/1000</f>
        <v>-2.7837720000000017</v>
      </c>
      <c r="AF49" s="1954" t="s">
        <v>8</v>
      </c>
      <c r="AG49" s="1955">
        <f t="shared" si="9"/>
        <v>0</v>
      </c>
      <c r="AH49" s="2189" t="str">
        <f>IF('2. XL-1F TT(CA2)'!AB12="","",'2. XL-1F TT(CA2)'!AB12)</f>
        <v/>
      </c>
      <c r="AI49" s="1957" t="s">
        <v>9</v>
      </c>
      <c r="AJ49" s="1958">
        <f>XM.HN!F32</f>
        <v>0</v>
      </c>
      <c r="AK49" s="2067">
        <f>AJ49*4.62</f>
        <v>0</v>
      </c>
      <c r="AL49" s="1953">
        <f>($G$49-AK49)*1459/1000</f>
        <v>87.54</v>
      </c>
      <c r="AM49" s="1954" t="s">
        <v>8</v>
      </c>
      <c r="AN49" s="1955">
        <f t="shared" si="10"/>
        <v>0</v>
      </c>
      <c r="AO49" s="2189" t="str">
        <f>IF('2. XL-1F TT(CA2)'!AF12="","",'2. XL-1F TT(CA2)'!AF12)</f>
        <v/>
      </c>
      <c r="AP49" s="1957" t="s">
        <v>9</v>
      </c>
      <c r="AQ49" s="1958">
        <f>XM.HN!G32</f>
        <v>12.7</v>
      </c>
      <c r="AR49" s="2067">
        <f>AQ49*4.62</f>
        <v>58.673999999999999</v>
      </c>
      <c r="AS49" s="1953">
        <f>($G$49-AR49)*1459/1000</f>
        <v>1.9346340000000006</v>
      </c>
      <c r="AT49" s="1954" t="s">
        <v>8</v>
      </c>
      <c r="AU49" s="1955">
        <f t="shared" si="11"/>
        <v>1.9346340000000006</v>
      </c>
      <c r="AV49" s="2189" t="str">
        <f>IF('2. XL-1F TT(CA2)'!AJ12="","",'2. XL-1F TT(CA2)'!AJ12)</f>
        <v/>
      </c>
      <c r="AW49" s="1957" t="s">
        <v>9</v>
      </c>
      <c r="AY49" s="3077"/>
      <c r="AZ49" s="3077" t="s">
        <v>1012</v>
      </c>
      <c r="BA49" s="3099"/>
    </row>
    <row r="50" spans="1:57" ht="39.75" customHeight="1">
      <c r="A50" s="1971"/>
      <c r="B50" s="1972"/>
      <c r="C50" s="1986" t="s">
        <v>234</v>
      </c>
      <c r="D50" s="1974"/>
      <c r="E50" s="1975" t="s">
        <v>1508</v>
      </c>
      <c r="F50" s="2028"/>
      <c r="G50" s="2006"/>
      <c r="H50" s="1977"/>
      <c r="I50" s="1998"/>
      <c r="J50" s="1978"/>
      <c r="K50" s="1979" t="s">
        <v>8</v>
      </c>
      <c r="L50" s="1984">
        <f>L49/25*7</f>
        <v>1.2966424799999972</v>
      </c>
      <c r="M50" s="2191" t="str">
        <f>IF('2. XL-1F TT '!AB13="","",'2. XL-1F TT '!AB13)</f>
        <v/>
      </c>
      <c r="N50" s="1981" t="s">
        <v>10</v>
      </c>
      <c r="O50" s="1982"/>
      <c r="P50" s="1998"/>
      <c r="Q50" s="1978"/>
      <c r="R50" s="1979"/>
      <c r="S50" s="1984">
        <f>S49/25*7</f>
        <v>0.73043376000000149</v>
      </c>
      <c r="T50" s="2191" t="str">
        <f>IF('2. XL-1F TT '!AF13="","",'2. XL-1F TT '!AF13)</f>
        <v/>
      </c>
      <c r="U50" s="1981" t="s">
        <v>10</v>
      </c>
      <c r="V50" s="1982"/>
      <c r="W50" s="1998"/>
      <c r="X50" s="1978"/>
      <c r="Y50" s="1979"/>
      <c r="Z50" s="1984">
        <f>Z49/25*7</f>
        <v>0</v>
      </c>
      <c r="AA50" s="2191" t="str">
        <f>IF('2. XL-1F TT '!AJ13="","",'2. XL-1F TT '!AJ13)</f>
        <v/>
      </c>
      <c r="AB50" s="1981" t="s">
        <v>10</v>
      </c>
      <c r="AC50" s="1982"/>
      <c r="AD50" s="1998"/>
      <c r="AE50" s="1978"/>
      <c r="AF50" s="1979"/>
      <c r="AG50" s="1984">
        <f>AG49/25*7</f>
        <v>0</v>
      </c>
      <c r="AH50" s="2191" t="str">
        <f>IF('2. XL-1F TT(CA2)'!AB13="","",'2. XL-1F TT(CA2)'!AB13)</f>
        <v/>
      </c>
      <c r="AI50" s="1981" t="s">
        <v>10</v>
      </c>
      <c r="AJ50" s="1982"/>
      <c r="AK50" s="1998"/>
      <c r="AL50" s="1978"/>
      <c r="AM50" s="1979"/>
      <c r="AN50" s="1984">
        <f>AN49/25*7</f>
        <v>0</v>
      </c>
      <c r="AO50" s="2191" t="str">
        <f>IF('2. XL-1F TT(CA2)'!AF13="","",'2. XL-1F TT(CA2)'!AF13)</f>
        <v/>
      </c>
      <c r="AP50" s="1981" t="s">
        <v>10</v>
      </c>
      <c r="AQ50" s="1982"/>
      <c r="AR50" s="1998"/>
      <c r="AS50" s="1978"/>
      <c r="AT50" s="1979"/>
      <c r="AU50" s="1984">
        <f>AU49/25*7</f>
        <v>0.54169752000000015</v>
      </c>
      <c r="AV50" s="2191" t="str">
        <f>IF('2. XL-1F TT(CA2)'!AJ13="","",'2. XL-1F TT(CA2)'!AJ13)</f>
        <v/>
      </c>
      <c r="AW50" s="1981" t="s">
        <v>10</v>
      </c>
      <c r="AY50" s="3078"/>
      <c r="AZ50" s="3078"/>
      <c r="BA50" s="1697"/>
    </row>
    <row r="51" spans="1:57" ht="41.25" customHeight="1">
      <c r="A51" s="1818" t="s">
        <v>267</v>
      </c>
      <c r="B51" s="1068" t="s">
        <v>215</v>
      </c>
      <c r="C51" s="1066" t="s">
        <v>57</v>
      </c>
      <c r="D51" s="1072" t="s">
        <v>4</v>
      </c>
      <c r="E51" s="48" t="s">
        <v>1353</v>
      </c>
      <c r="F51" s="2029" t="s">
        <v>1550</v>
      </c>
      <c r="G51" s="2007">
        <v>140</v>
      </c>
      <c r="H51" s="91">
        <f>XM.HN!B34</f>
        <v>18.05</v>
      </c>
      <c r="I51" s="1862">
        <f>H51*8</f>
        <v>144.4</v>
      </c>
      <c r="J51" s="1863">
        <f>($G$51-I51)*19951/1000</f>
        <v>-87.784400000000105</v>
      </c>
      <c r="K51" s="1864" t="s">
        <v>8</v>
      </c>
      <c r="L51" s="1865">
        <f t="shared" si="6"/>
        <v>0</v>
      </c>
      <c r="M51" s="2192" t="str">
        <f>IF('2. XL-1F TT '!AB14="","",'2. XL-1F TT '!AB14)</f>
        <v/>
      </c>
      <c r="N51" s="1868" t="s">
        <v>9</v>
      </c>
      <c r="O51" s="1502">
        <f>XM.HN!C34</f>
        <v>18.2</v>
      </c>
      <c r="P51" s="1833">
        <f>O51*8</f>
        <v>145.6</v>
      </c>
      <c r="Q51" s="1863">
        <f>($G$51-P51)*19951/1000</f>
        <v>-111.72559999999989</v>
      </c>
      <c r="R51" s="1864" t="s">
        <v>8</v>
      </c>
      <c r="S51" s="1865">
        <f t="shared" si="7"/>
        <v>0</v>
      </c>
      <c r="T51" s="2192" t="str">
        <f>IF('2. XL-1F TT '!AF14="","",'2. XL-1F TT '!AF14)</f>
        <v/>
      </c>
      <c r="U51" s="1868" t="s">
        <v>9</v>
      </c>
      <c r="V51" s="1502">
        <f>XM.HN!D34</f>
        <v>18.2</v>
      </c>
      <c r="W51" s="1862">
        <f>V51*8</f>
        <v>145.6</v>
      </c>
      <c r="X51" s="1863">
        <f>($G$51-W51)*19951/1000</f>
        <v>-111.72559999999989</v>
      </c>
      <c r="Y51" s="1864" t="s">
        <v>8</v>
      </c>
      <c r="Z51" s="1865">
        <f t="shared" si="8"/>
        <v>0</v>
      </c>
      <c r="AA51" s="2192" t="str">
        <f>IF('2. XL-1F TT '!AJ14="","",'2. XL-1F TT '!AJ14)</f>
        <v/>
      </c>
      <c r="AB51" s="1868" t="s">
        <v>9</v>
      </c>
      <c r="AC51" s="1502">
        <f>XM.HN!E34</f>
        <v>18.2</v>
      </c>
      <c r="AD51" s="1862">
        <f>AC51*8</f>
        <v>145.6</v>
      </c>
      <c r="AE51" s="1863">
        <f>($G$51-AD51)*19951/1000</f>
        <v>-111.72559999999989</v>
      </c>
      <c r="AF51" s="1864" t="s">
        <v>8</v>
      </c>
      <c r="AG51" s="1865">
        <f t="shared" si="9"/>
        <v>0</v>
      </c>
      <c r="AH51" s="2192" t="str">
        <f>IF('2. XL-1F TT(CA2)'!AB14="","",'2. XL-1F TT(CA2)'!AB14)</f>
        <v/>
      </c>
      <c r="AI51" s="1868" t="s">
        <v>9</v>
      </c>
      <c r="AJ51" s="1502">
        <f>XM.HN!F34</f>
        <v>0</v>
      </c>
      <c r="AK51" s="1862">
        <f>AJ51*8</f>
        <v>0</v>
      </c>
      <c r="AL51" s="1863">
        <f>($G$51-AK51)*19951/1000</f>
        <v>2793.14</v>
      </c>
      <c r="AM51" s="1864" t="s">
        <v>8</v>
      </c>
      <c r="AN51" s="1865">
        <f t="shared" si="10"/>
        <v>0</v>
      </c>
      <c r="AO51" s="2192" t="str">
        <f>IF('2. XL-1F TT(CA2)'!AF14="","",'2. XL-1F TT(CA2)'!AF14)</f>
        <v/>
      </c>
      <c r="AP51" s="1868" t="s">
        <v>9</v>
      </c>
      <c r="AQ51" s="1502">
        <f>XM.HN!G34</f>
        <v>18.3</v>
      </c>
      <c r="AR51" s="1862">
        <f>AQ51*8</f>
        <v>146.4</v>
      </c>
      <c r="AS51" s="1834">
        <f>($G$51-AR51)*19951/1000</f>
        <v>-127.68640000000011</v>
      </c>
      <c r="AT51" s="1835" t="s">
        <v>8</v>
      </c>
      <c r="AU51" s="1865">
        <f t="shared" si="11"/>
        <v>0</v>
      </c>
      <c r="AV51" s="2192" t="str">
        <f>IF('2. XL-1F TT(CA2)'!AJ14="","",'2. XL-1F TT(CA2)'!AJ14)</f>
        <v/>
      </c>
      <c r="AW51" s="1837" t="s">
        <v>9</v>
      </c>
      <c r="AY51" s="2370"/>
      <c r="AZ51" s="2372" t="s">
        <v>1012</v>
      </c>
      <c r="BA51" s="1449" t="s">
        <v>1314</v>
      </c>
    </row>
    <row r="52" spans="1:57" ht="41.25" customHeight="1">
      <c r="A52" s="1080" t="s">
        <v>268</v>
      </c>
      <c r="B52" s="1068" t="s">
        <v>215</v>
      </c>
      <c r="C52" s="1051" t="s">
        <v>58</v>
      </c>
      <c r="D52" s="1072" t="s">
        <v>4</v>
      </c>
      <c r="E52" s="1716" t="s">
        <v>1370</v>
      </c>
      <c r="F52" s="2029" t="s">
        <v>1549</v>
      </c>
      <c r="G52" s="2008">
        <v>10</v>
      </c>
      <c r="H52" s="91">
        <f>XM.HN!B35</f>
        <v>8.9</v>
      </c>
      <c r="I52" s="1838">
        <f>H52*1.3</f>
        <v>11.57</v>
      </c>
      <c r="J52" s="1848">
        <f>($G$52-I52)*19951/1000</f>
        <v>-31.323070000000008</v>
      </c>
      <c r="K52" s="1835" t="s">
        <v>8</v>
      </c>
      <c r="L52" s="1865">
        <f t="shared" si="6"/>
        <v>0</v>
      </c>
      <c r="M52" s="2192" t="str">
        <f>IF('2. XL-1F TT '!AB15="","",'2. XL-1F TT '!AB15)</f>
        <v/>
      </c>
      <c r="N52" s="1837" t="s">
        <v>9</v>
      </c>
      <c r="O52" s="89">
        <f>XM.HN!C35</f>
        <v>8.6</v>
      </c>
      <c r="P52" s="1838">
        <f>O52*1.3</f>
        <v>11.18</v>
      </c>
      <c r="Q52" s="1848">
        <f>($G$52-P52)*19951/1000</f>
        <v>-23.542179999999995</v>
      </c>
      <c r="R52" s="1835" t="s">
        <v>8</v>
      </c>
      <c r="S52" s="1865">
        <f t="shared" si="7"/>
        <v>0</v>
      </c>
      <c r="T52" s="2192" t="str">
        <f>IF('2. XL-1F TT '!AF15="","",'2. XL-1F TT '!AF15)</f>
        <v/>
      </c>
      <c r="U52" s="1837" t="s">
        <v>9</v>
      </c>
      <c r="V52" s="20">
        <f>XM.HN!D35</f>
        <v>8.6</v>
      </c>
      <c r="W52" s="1838">
        <f>V52*1.3</f>
        <v>11.18</v>
      </c>
      <c r="X52" s="1848">
        <f>($G$52-W52)*19951/1000</f>
        <v>-23.542179999999995</v>
      </c>
      <c r="Y52" s="1835" t="s">
        <v>8</v>
      </c>
      <c r="Z52" s="1865">
        <f t="shared" si="8"/>
        <v>0</v>
      </c>
      <c r="AA52" s="2192" t="str">
        <f>IF('2. XL-1F TT '!AJ15="","",'2. XL-1F TT '!AJ15)</f>
        <v/>
      </c>
      <c r="AB52" s="1837" t="s">
        <v>9</v>
      </c>
      <c r="AC52" s="89">
        <f>XM.HN!E35</f>
        <v>8.6</v>
      </c>
      <c r="AD52" s="1838">
        <f>AC52*1.3</f>
        <v>11.18</v>
      </c>
      <c r="AE52" s="1848">
        <f>($G$52-AD52)*19951/1000</f>
        <v>-23.542179999999995</v>
      </c>
      <c r="AF52" s="1835" t="s">
        <v>8</v>
      </c>
      <c r="AG52" s="1865">
        <f t="shared" si="9"/>
        <v>0</v>
      </c>
      <c r="AH52" s="2192" t="str">
        <f>IF('2. XL-1F TT(CA2)'!AB15="","",'2. XL-1F TT(CA2)'!AB15)</f>
        <v/>
      </c>
      <c r="AI52" s="1837" t="s">
        <v>9</v>
      </c>
      <c r="AJ52" s="89">
        <f>XM.HN!F35</f>
        <v>0</v>
      </c>
      <c r="AK52" s="1838">
        <f>AJ52*1.3</f>
        <v>0</v>
      </c>
      <c r="AL52" s="1848">
        <f>($G$52-AK52)*19951/1000</f>
        <v>199.51</v>
      </c>
      <c r="AM52" s="1835" t="s">
        <v>8</v>
      </c>
      <c r="AN52" s="1865">
        <f t="shared" si="10"/>
        <v>0</v>
      </c>
      <c r="AO52" s="2192" t="str">
        <f>IF('2. XL-1F TT(CA2)'!AF15="","",'2. XL-1F TT(CA2)'!AF15)</f>
        <v/>
      </c>
      <c r="AP52" s="1837" t="s">
        <v>9</v>
      </c>
      <c r="AQ52" s="89">
        <f>XM.HN!G35</f>
        <v>8.4</v>
      </c>
      <c r="AR52" s="1838">
        <f>AQ52*1.3</f>
        <v>10.920000000000002</v>
      </c>
      <c r="AS52" s="1830">
        <f>($G$52-AR52)*19951/1000</f>
        <v>-18.354920000000035</v>
      </c>
      <c r="AT52" s="1835" t="s">
        <v>8</v>
      </c>
      <c r="AU52" s="1865">
        <f t="shared" si="11"/>
        <v>0</v>
      </c>
      <c r="AV52" s="2192" t="str">
        <f>IF('2. XL-1F TT(CA2)'!AJ15="","",'2. XL-1F TT(CA2)'!AJ15)</f>
        <v/>
      </c>
      <c r="AW52" s="1837" t="s">
        <v>9</v>
      </c>
      <c r="AY52" s="2370"/>
      <c r="AZ52" s="2372" t="s">
        <v>1012</v>
      </c>
      <c r="BA52" s="1084" t="s">
        <v>1030</v>
      </c>
    </row>
    <row r="53" spans="1:57" ht="41.25" customHeight="1">
      <c r="A53" s="1819" t="s">
        <v>269</v>
      </c>
      <c r="B53" s="1068" t="s">
        <v>215</v>
      </c>
      <c r="C53" s="1086" t="s">
        <v>1033</v>
      </c>
      <c r="D53" s="1072" t="s">
        <v>3</v>
      </c>
      <c r="E53" s="48" t="s">
        <v>1359</v>
      </c>
      <c r="F53" s="2029" t="s">
        <v>1536</v>
      </c>
      <c r="G53" s="2008">
        <v>7</v>
      </c>
      <c r="H53" s="91">
        <f>XM.HN!B36</f>
        <v>18.899999999999999</v>
      </c>
      <c r="I53" s="1838">
        <f>(H53*0.4237)-1.0461</f>
        <v>6.96183</v>
      </c>
      <c r="J53" s="1848">
        <f>($G$53-I53)*575/100</f>
        <v>0.21947750000000021</v>
      </c>
      <c r="K53" s="1835" t="s">
        <v>8</v>
      </c>
      <c r="L53" s="1865">
        <f>IF(I53=-1.0461,0,IF(J53&lt;0,0,J53))</f>
        <v>0.21947750000000021</v>
      </c>
      <c r="M53" s="2192" t="str">
        <f>IF('2. XL-1F TT '!AB16="","",'2. XL-1F TT '!AB16)</f>
        <v/>
      </c>
      <c r="N53" s="1839" t="s">
        <v>10</v>
      </c>
      <c r="O53" s="89">
        <f>XM.HN!C36</f>
        <v>19</v>
      </c>
      <c r="P53" s="1838">
        <f>(O53*0.4237)-1.0461</f>
        <v>7.0042</v>
      </c>
      <c r="Q53" s="1848">
        <f>($G$53-P53)*575/100</f>
        <v>-2.4149999999999894E-2</v>
      </c>
      <c r="R53" s="1835" t="s">
        <v>8</v>
      </c>
      <c r="S53" s="1865">
        <f>IF(P53=-1.0461,0,IF(Q53&lt;0,0,Q53))</f>
        <v>0</v>
      </c>
      <c r="T53" s="2192" t="str">
        <f>IF('2. XL-1F TT '!AF16="","",'2. XL-1F TT '!AF16)</f>
        <v/>
      </c>
      <c r="U53" s="1839" t="s">
        <v>10</v>
      </c>
      <c r="V53" s="274">
        <f>XM.HN!D36</f>
        <v>18.2</v>
      </c>
      <c r="W53" s="1838">
        <f>(V53*0.4237)-1.0461</f>
        <v>6.6652399999999998</v>
      </c>
      <c r="X53" s="1848">
        <f>($G$53-W53)*575/100</f>
        <v>1.9248700000000012</v>
      </c>
      <c r="Y53" s="1835" t="s">
        <v>8</v>
      </c>
      <c r="Z53" s="1865">
        <f>IF(W53=-1.0461,0,IF(X53&lt;0,0,X53))</f>
        <v>1.9248700000000012</v>
      </c>
      <c r="AA53" s="2192" t="str">
        <f>IF('2. XL-1F TT '!AJ16="","",'2. XL-1F TT '!AJ16)</f>
        <v/>
      </c>
      <c r="AB53" s="1839" t="s">
        <v>10</v>
      </c>
      <c r="AC53" s="274">
        <f>XM.HN!E36</f>
        <v>18.8</v>
      </c>
      <c r="AD53" s="1838">
        <f>(AC53*0.4237)-1.0461</f>
        <v>6.9194600000000008</v>
      </c>
      <c r="AE53" s="1848">
        <f>($G$53-AD53)*575/100</f>
        <v>0.46310499999999521</v>
      </c>
      <c r="AF53" s="1835" t="s">
        <v>8</v>
      </c>
      <c r="AG53" s="1865">
        <f>IF(AD53=-1.0461,0,IF(AE53&lt;0,0,AE53))</f>
        <v>0.46310499999999521</v>
      </c>
      <c r="AH53" s="2192" t="str">
        <f>IF('2. XL-1F TT(CA2)'!AB16="","",'2. XL-1F TT(CA2)'!AB16)</f>
        <v/>
      </c>
      <c r="AI53" s="1839" t="s">
        <v>10</v>
      </c>
      <c r="AJ53" s="274">
        <f>XM.HN!F36</f>
        <v>0</v>
      </c>
      <c r="AK53" s="1838">
        <f>(AJ53*0.4237)-1.0461</f>
        <v>-1.0461</v>
      </c>
      <c r="AL53" s="1848">
        <f>($G$53-AK53)*575/100</f>
        <v>46.265074999999996</v>
      </c>
      <c r="AM53" s="1835" t="s">
        <v>8</v>
      </c>
      <c r="AN53" s="1865">
        <f>IF(AK53=-1.0461,0,IF(AL53&lt;0,0,AL53))</f>
        <v>0</v>
      </c>
      <c r="AO53" s="2192" t="str">
        <f>IF('2. XL-1F TT(CA2)'!AF16="","",'2. XL-1F TT(CA2)'!AF16)</f>
        <v/>
      </c>
      <c r="AP53" s="1839" t="s">
        <v>10</v>
      </c>
      <c r="AQ53" s="274">
        <f>XM.HN!G36</f>
        <v>20.2</v>
      </c>
      <c r="AR53" s="1838">
        <f>(AQ53*0.4237)-1.0461</f>
        <v>7.5126400000000002</v>
      </c>
      <c r="AS53" s="1830">
        <f>($G$53-AR53)*575/100</f>
        <v>-2.9476800000000014</v>
      </c>
      <c r="AT53" s="1835" t="s">
        <v>8</v>
      </c>
      <c r="AU53" s="1865">
        <f>IF(AR53=-1.0461,0,IF(AS53&lt;0,0,AS53))</f>
        <v>0</v>
      </c>
      <c r="AV53" s="2192" t="str">
        <f>IF('2. XL-1F TT(CA2)'!AJ16="","",'2. XL-1F TT(CA2)'!AJ16)</f>
        <v/>
      </c>
      <c r="AW53" s="1837" t="s">
        <v>10</v>
      </c>
      <c r="AY53" s="2370"/>
      <c r="AZ53" s="2372" t="s">
        <v>1012</v>
      </c>
      <c r="BA53" s="1449" t="s">
        <v>1316</v>
      </c>
    </row>
    <row r="54" spans="1:57" ht="41.25" customHeight="1">
      <c r="A54" s="1819" t="s">
        <v>270</v>
      </c>
      <c r="B54" s="1068" t="s">
        <v>215</v>
      </c>
      <c r="C54" s="2501" t="str">
        <f>MENU!Z44</f>
        <v>Pha mới: 2024/01/07</v>
      </c>
      <c r="D54" s="1072" t="s">
        <v>5</v>
      </c>
      <c r="E54" s="48" t="s">
        <v>1329</v>
      </c>
      <c r="F54" s="2029" t="s">
        <v>1320</v>
      </c>
      <c r="G54" s="2009"/>
      <c r="H54" s="91"/>
      <c r="I54" s="1838">
        <f>XM.HN!B44</f>
        <v>2.5</v>
      </c>
      <c r="J54" s="1848"/>
      <c r="K54" s="1841"/>
      <c r="L54" s="1865"/>
      <c r="M54" s="2192" t="str">
        <f>IF('2. XL-1F TT '!AB17="","",'2. XL-1F TT '!AB17)</f>
        <v/>
      </c>
      <c r="N54" s="1842"/>
      <c r="O54" s="89"/>
      <c r="P54" s="1838">
        <f>XM.HN!C44</f>
        <v>2.2999999999999998</v>
      </c>
      <c r="Q54" s="1849"/>
      <c r="R54" s="1849"/>
      <c r="S54" s="1865"/>
      <c r="T54" s="2192" t="str">
        <f>IF('2. XL-1F TT '!AF17="","",'2. XL-1F TT '!AF17)</f>
        <v/>
      </c>
      <c r="U54" s="1850"/>
      <c r="W54" s="1838">
        <f>XM.HN!D44</f>
        <v>2.2999999999999998</v>
      </c>
      <c r="X54" s="1849"/>
      <c r="Y54" s="1849"/>
      <c r="Z54" s="1865"/>
      <c r="AA54" s="2192" t="str">
        <f>IF('2. XL-1F TT '!AJ17="","",'2. XL-1F TT '!AJ17)</f>
        <v/>
      </c>
      <c r="AB54" s="1850"/>
      <c r="AD54" s="1838">
        <f>XM.HN!E44</f>
        <v>2.2000000000000002</v>
      </c>
      <c r="AE54" s="1849"/>
      <c r="AF54" s="1849"/>
      <c r="AG54" s="1865"/>
      <c r="AH54" s="2192" t="str">
        <f>IF('2. XL-1F TT(CA2)'!AB17="","",'2. XL-1F TT(CA2)'!AB17)</f>
        <v/>
      </c>
      <c r="AI54" s="1850"/>
      <c r="AK54" s="1838">
        <f>XM.HN!F44</f>
        <v>0</v>
      </c>
      <c r="AL54" s="1849"/>
      <c r="AM54" s="1849"/>
      <c r="AN54" s="1865"/>
      <c r="AO54" s="2192" t="str">
        <f>IF('2. XL-1F TT(CA2)'!AF17="","",'2. XL-1F TT(CA2)'!AF17)</f>
        <v/>
      </c>
      <c r="AP54" s="1850"/>
      <c r="AR54" s="1838">
        <f>XM.HN!G44</f>
        <v>2.2000000000000002</v>
      </c>
      <c r="AS54" s="1870"/>
      <c r="AT54" s="1841"/>
      <c r="AU54" s="1865"/>
      <c r="AV54" s="2192" t="str">
        <f>IF('2. XL-1F TT(CA2)'!AJ17="","",'2. XL-1F TT(CA2)'!AJ17)</f>
        <v/>
      </c>
      <c r="AW54" s="1880"/>
      <c r="AY54" s="2370"/>
      <c r="AZ54" s="2373"/>
      <c r="BA54" s="1080"/>
    </row>
    <row r="55" spans="1:57" ht="41.25" customHeight="1">
      <c r="A55" s="1820" t="s">
        <v>271</v>
      </c>
      <c r="B55" s="1068" t="s">
        <v>215</v>
      </c>
      <c r="C55" s="1066" t="s">
        <v>59</v>
      </c>
      <c r="D55" s="1072" t="s">
        <v>6</v>
      </c>
      <c r="E55" s="13" t="s">
        <v>1566</v>
      </c>
      <c r="F55" s="2029" t="s">
        <v>1342</v>
      </c>
      <c r="G55" s="2010">
        <v>0.45</v>
      </c>
      <c r="H55" s="91">
        <f>XM.HN!B38</f>
        <v>3.8</v>
      </c>
      <c r="I55" s="1843">
        <f>(1*H55*36.5)/(1*10)/32%/100</f>
        <v>0.43343749999999998</v>
      </c>
      <c r="J55" s="1874">
        <f>($G$55-I55)*2122</f>
        <v>35.145625000000074</v>
      </c>
      <c r="K55" s="1875" t="s">
        <v>8</v>
      </c>
      <c r="L55" s="1865">
        <f t="shared" si="6"/>
        <v>35.145625000000074</v>
      </c>
      <c r="M55" s="2192" t="str">
        <f>IF('2. XL-1F TT '!AB18="","",'2. XL-1F TT '!AB18)</f>
        <v>có</v>
      </c>
      <c r="N55" s="1866" t="s">
        <v>10</v>
      </c>
      <c r="O55" s="1037">
        <f>XM.HN!C38</f>
        <v>4</v>
      </c>
      <c r="P55" s="1843">
        <f>(1*O55*36.5)/(1*10)/32%/100</f>
        <v>0.45624999999999999</v>
      </c>
      <c r="Q55" s="1874">
        <f>($G$55-P55)*2122</f>
        <v>-13.262499999999953</v>
      </c>
      <c r="R55" s="1875" t="s">
        <v>8</v>
      </c>
      <c r="S55" s="1865">
        <f t="shared" si="7"/>
        <v>0</v>
      </c>
      <c r="T55" s="2192" t="str">
        <f>IF('2. XL-1F TT '!AF18="","",'2. XL-1F TT '!AF18)</f>
        <v/>
      </c>
      <c r="U55" s="1866" t="s">
        <v>10</v>
      </c>
      <c r="V55" s="1037">
        <f>XM.HN!D38</f>
        <v>4.1500000000000004</v>
      </c>
      <c r="W55" s="1843">
        <f>(1*V55*36.5)/(1*10)/32%/100</f>
        <v>0.47335937500000008</v>
      </c>
      <c r="X55" s="1874">
        <f>($G$55-W55)*2122</f>
        <v>-49.568593750000147</v>
      </c>
      <c r="Y55" s="1875" t="s">
        <v>8</v>
      </c>
      <c r="Z55" s="1865">
        <f t="shared" si="8"/>
        <v>0</v>
      </c>
      <c r="AA55" s="2192" t="str">
        <f>IF('2. XL-1F TT '!AJ18="","",'2. XL-1F TT '!AJ18)</f>
        <v/>
      </c>
      <c r="AB55" s="1866" t="s">
        <v>10</v>
      </c>
      <c r="AC55" s="1037">
        <f>XM.HN!E38</f>
        <v>4</v>
      </c>
      <c r="AD55" s="1843">
        <f>(1*AC55*36.5)/(1*10)/32%/100</f>
        <v>0.45624999999999999</v>
      </c>
      <c r="AE55" s="1874">
        <f>($G$55-AD55)*2122</f>
        <v>-13.262499999999953</v>
      </c>
      <c r="AF55" s="1875" t="s">
        <v>8</v>
      </c>
      <c r="AG55" s="1865">
        <f t="shared" si="9"/>
        <v>0</v>
      </c>
      <c r="AH55" s="2192" t="str">
        <f>IF('2. XL-1F TT(CA2)'!AB18="","",'2. XL-1F TT(CA2)'!AB18)</f>
        <v/>
      </c>
      <c r="AI55" s="1866" t="s">
        <v>10</v>
      </c>
      <c r="AJ55" s="1502">
        <f>XM.HN!F38</f>
        <v>0</v>
      </c>
      <c r="AK55" s="1843">
        <f>(1*AJ55*36.5)/(1*10)/32%/100</f>
        <v>0</v>
      </c>
      <c r="AL55" s="1874">
        <f>($G$55-AK55)*2122</f>
        <v>954.9</v>
      </c>
      <c r="AM55" s="1875" t="s">
        <v>8</v>
      </c>
      <c r="AN55" s="1865">
        <f t="shared" si="10"/>
        <v>0</v>
      </c>
      <c r="AO55" s="2192" t="str">
        <f>IF('2. XL-1F TT(CA2)'!AF18="","",'2. XL-1F TT(CA2)'!AF18)</f>
        <v/>
      </c>
      <c r="AP55" s="1866" t="s">
        <v>10</v>
      </c>
      <c r="AQ55" s="1502">
        <f>XM.HN!G38</f>
        <v>3.8</v>
      </c>
      <c r="AR55" s="1843">
        <f>(1*AQ55*36.5)/(1*10)/32%/100</f>
        <v>0.43343749999999998</v>
      </c>
      <c r="AS55" s="1844">
        <f>($G$55-AR55)*2122</f>
        <v>35.145625000000074</v>
      </c>
      <c r="AT55" s="1845" t="s">
        <v>8</v>
      </c>
      <c r="AU55" s="1865">
        <f t="shared" si="11"/>
        <v>35.145625000000074</v>
      </c>
      <c r="AV55" s="2192" t="str">
        <f>IF('2. XL-1F TT(CA2)'!AJ18="","",'2. XL-1F TT(CA2)'!AJ18)</f>
        <v>có</v>
      </c>
      <c r="AW55" s="1847" t="s">
        <v>10</v>
      </c>
      <c r="AY55" s="2370"/>
      <c r="AZ55" s="2371" t="s">
        <v>1015</v>
      </c>
      <c r="BA55" s="3079" t="s">
        <v>1011</v>
      </c>
    </row>
    <row r="56" spans="1:57" ht="41.25" hidden="1" customHeight="1">
      <c r="A56" s="1820" t="s">
        <v>272</v>
      </c>
      <c r="B56" s="1068" t="s">
        <v>215</v>
      </c>
      <c r="C56" s="1066" t="s">
        <v>60</v>
      </c>
      <c r="D56" s="1072" t="s">
        <v>6</v>
      </c>
      <c r="E56" s="1405" t="s">
        <v>1568</v>
      </c>
      <c r="F56" s="2405" t="s">
        <v>1350</v>
      </c>
      <c r="G56" s="2010">
        <v>0.22</v>
      </c>
      <c r="H56" s="91">
        <f>XM.HN!B39</f>
        <v>0</v>
      </c>
      <c r="I56" s="1843">
        <f>(1*H56*36.5)/(1*10)/32%/100</f>
        <v>0</v>
      </c>
      <c r="J56" s="1844">
        <f>($G$56-I56)*612</f>
        <v>134.64000000000001</v>
      </c>
      <c r="K56" s="1845" t="s">
        <v>8</v>
      </c>
      <c r="L56" s="1865">
        <f t="shared" si="6"/>
        <v>0</v>
      </c>
      <c r="M56" s="2192" t="str">
        <f>IF('2. XL-1F TT '!AB19="","",'2. XL-1F TT '!AB19)</f>
        <v/>
      </c>
      <c r="N56" s="1851" t="s">
        <v>10</v>
      </c>
      <c r="O56" s="104">
        <f>XM.HN!C39</f>
        <v>0</v>
      </c>
      <c r="P56" s="1843">
        <f>(1*O56*36.5)/(1*10)/32%/100</f>
        <v>0</v>
      </c>
      <c r="Q56" s="1844">
        <f>($G$56-P56)*612</f>
        <v>134.64000000000001</v>
      </c>
      <c r="R56" s="1845" t="s">
        <v>8</v>
      </c>
      <c r="S56" s="1865">
        <f t="shared" si="7"/>
        <v>0</v>
      </c>
      <c r="T56" s="2192" t="str">
        <f>IF('2. XL-1F TT '!AF19="","",'2. XL-1F TT '!AF19)</f>
        <v/>
      </c>
      <c r="U56" s="1851" t="s">
        <v>10</v>
      </c>
      <c r="V56" s="91">
        <f>XM.HN!D39</f>
        <v>0</v>
      </c>
      <c r="W56" s="1843">
        <f>(1*V56*36.5)/(1*10)/32%/100</f>
        <v>0</v>
      </c>
      <c r="X56" s="1844">
        <f>($G$56-W56)*612</f>
        <v>134.64000000000001</v>
      </c>
      <c r="Y56" s="1845" t="s">
        <v>8</v>
      </c>
      <c r="Z56" s="1865">
        <f t="shared" si="8"/>
        <v>0</v>
      </c>
      <c r="AA56" s="2192" t="str">
        <f>IF('2. XL-1F TT '!AJ19="","",'2. XL-1F TT '!AJ19)</f>
        <v/>
      </c>
      <c r="AB56" s="1851" t="s">
        <v>10</v>
      </c>
      <c r="AC56" s="91">
        <f>XM.HN!E39</f>
        <v>0</v>
      </c>
      <c r="AD56" s="1843">
        <f>(1*AC56*36.5)/(1*10)/32%/100</f>
        <v>0</v>
      </c>
      <c r="AE56" s="1844">
        <f>($G$56-AD56)*612</f>
        <v>134.64000000000001</v>
      </c>
      <c r="AF56" s="1845" t="s">
        <v>8</v>
      </c>
      <c r="AG56" s="1865">
        <f t="shared" si="9"/>
        <v>0</v>
      </c>
      <c r="AH56" s="2192" t="str">
        <f>IF('2. XL-1F TT(CA2)'!AB19="","",'2. XL-1F TT(CA2)'!AB19)</f>
        <v/>
      </c>
      <c r="AI56" s="1851" t="s">
        <v>10</v>
      </c>
      <c r="AJ56" s="91">
        <f>XM.HN!F39</f>
        <v>0</v>
      </c>
      <c r="AK56" s="1843">
        <f>(1*AJ56*36.5)/(1*10)/32%/100</f>
        <v>0</v>
      </c>
      <c r="AL56" s="1844">
        <f>($G$56-AK56)*612</f>
        <v>134.64000000000001</v>
      </c>
      <c r="AM56" s="1845" t="s">
        <v>8</v>
      </c>
      <c r="AN56" s="1865">
        <f t="shared" si="10"/>
        <v>0</v>
      </c>
      <c r="AO56" s="2192" t="str">
        <f>IF('2. XL-1F TT(CA2)'!AF19="","",'2. XL-1F TT(CA2)'!AF19)</f>
        <v/>
      </c>
      <c r="AP56" s="1851" t="s">
        <v>10</v>
      </c>
      <c r="AQ56" s="91">
        <f>XM.HN!G39</f>
        <v>0</v>
      </c>
      <c r="AR56" s="1843">
        <f>(1*AQ56*36.5)/(1*10)/32%/100</f>
        <v>0</v>
      </c>
      <c r="AS56" s="1844">
        <f>($G$56-AR56)*612</f>
        <v>134.64000000000001</v>
      </c>
      <c r="AT56" s="1845" t="s">
        <v>8</v>
      </c>
      <c r="AU56" s="1865">
        <f t="shared" si="11"/>
        <v>0</v>
      </c>
      <c r="AV56" s="2192" t="str">
        <f>IF('2. XL-1F TT(CA2)'!AJ19="","",'2. XL-1F TT(CA2)'!AJ19)</f>
        <v/>
      </c>
      <c r="AW56" s="1847" t="s">
        <v>10</v>
      </c>
      <c r="AY56" s="2370"/>
      <c r="AZ56" s="2371" t="s">
        <v>1015</v>
      </c>
      <c r="BA56" s="3079"/>
    </row>
    <row r="57" spans="1:57" ht="41.25" hidden="1" customHeight="1">
      <c r="A57" s="1820" t="s">
        <v>273</v>
      </c>
      <c r="B57" s="1068" t="s">
        <v>215</v>
      </c>
      <c r="C57" s="1066" t="s">
        <v>61</v>
      </c>
      <c r="D57" s="1072" t="s">
        <v>6</v>
      </c>
      <c r="E57" s="48" t="s">
        <v>1355</v>
      </c>
      <c r="F57" s="2349" t="s">
        <v>1347</v>
      </c>
      <c r="G57" s="2010">
        <v>0.1</v>
      </c>
      <c r="H57" s="91">
        <f>XM.HN!B40</f>
        <v>0</v>
      </c>
      <c r="I57" s="1843">
        <f>(1*H57*36.5)/(5*10)/32%/100</f>
        <v>0</v>
      </c>
      <c r="J57" s="1844">
        <f>($G$57-I57)*575</f>
        <v>57.5</v>
      </c>
      <c r="K57" s="1845" t="s">
        <v>8</v>
      </c>
      <c r="L57" s="1865">
        <f t="shared" si="6"/>
        <v>0</v>
      </c>
      <c r="M57" s="2192" t="str">
        <f>IF('2. XL-1F TT '!AB20="","",'2. XL-1F TT '!AB20)</f>
        <v/>
      </c>
      <c r="N57" s="1847" t="s">
        <v>10</v>
      </c>
      <c r="O57" s="92">
        <f>XM.HN!C40</f>
        <v>0</v>
      </c>
      <c r="P57" s="1843">
        <f>(1*O57*36.5)/(5*10)/32%/100</f>
        <v>0</v>
      </c>
      <c r="Q57" s="1844">
        <f>($G$57-P57)*575</f>
        <v>57.5</v>
      </c>
      <c r="R57" s="1845" t="s">
        <v>8</v>
      </c>
      <c r="S57" s="1865">
        <f t="shared" si="7"/>
        <v>0</v>
      </c>
      <c r="T57" s="2192" t="str">
        <f>IF('2. XL-1F TT '!AF20="","",'2. XL-1F TT '!AF20)</f>
        <v/>
      </c>
      <c r="U57" s="1847" t="s">
        <v>10</v>
      </c>
      <c r="V57" s="92">
        <f>XM.HN!D40</f>
        <v>0</v>
      </c>
      <c r="W57" s="1843">
        <f>(1*V57*36.5)/(5*10)/32%/100</f>
        <v>0</v>
      </c>
      <c r="X57" s="1844">
        <f>($G$57-W57)*575</f>
        <v>57.5</v>
      </c>
      <c r="Y57" s="1845" t="s">
        <v>8</v>
      </c>
      <c r="Z57" s="1865">
        <f t="shared" si="8"/>
        <v>0</v>
      </c>
      <c r="AA57" s="2192" t="str">
        <f>IF('2. XL-1F TT '!AJ20="","",'2. XL-1F TT '!AJ20)</f>
        <v/>
      </c>
      <c r="AB57" s="1847" t="s">
        <v>10</v>
      </c>
      <c r="AC57" s="92">
        <f>XM.HN!E40</f>
        <v>0</v>
      </c>
      <c r="AD57" s="1843">
        <f>(1*AC57*36.5)/(5*10)/32%/100</f>
        <v>0</v>
      </c>
      <c r="AE57" s="1844">
        <f>($G$57-AD57)*575</f>
        <v>57.5</v>
      </c>
      <c r="AF57" s="1845" t="s">
        <v>8</v>
      </c>
      <c r="AG57" s="1865">
        <f t="shared" si="9"/>
        <v>0</v>
      </c>
      <c r="AH57" s="2192" t="str">
        <f>IF('2. XL-1F TT(CA2)'!AB20="","",'2. XL-1F TT(CA2)'!AB20)</f>
        <v/>
      </c>
      <c r="AI57" s="1847" t="s">
        <v>10</v>
      </c>
      <c r="AJ57" s="91">
        <f>XM.HN!F40</f>
        <v>0</v>
      </c>
      <c r="AK57" s="1843">
        <f>(1*AJ57*36.5)/(5*10)/32%/100</f>
        <v>0</v>
      </c>
      <c r="AL57" s="1844">
        <f>($G$57-AK57)*575</f>
        <v>57.5</v>
      </c>
      <c r="AM57" s="1845" t="s">
        <v>8</v>
      </c>
      <c r="AN57" s="1865">
        <f t="shared" si="10"/>
        <v>0</v>
      </c>
      <c r="AO57" s="2192" t="str">
        <f>IF('2. XL-1F TT(CA2)'!AF20="","",'2. XL-1F TT(CA2)'!AF20)</f>
        <v/>
      </c>
      <c r="AP57" s="1847" t="s">
        <v>10</v>
      </c>
      <c r="AQ57" s="91">
        <f>XM.HN!G40</f>
        <v>0</v>
      </c>
      <c r="AR57" s="1843">
        <f>(1*AQ57*36.5)/(5*10)/32%/100</f>
        <v>0</v>
      </c>
      <c r="AS57" s="1881">
        <f>($G$57-AR57)*575</f>
        <v>57.5</v>
      </c>
      <c r="AT57" s="1845" t="s">
        <v>8</v>
      </c>
      <c r="AU57" s="1865">
        <f t="shared" si="11"/>
        <v>0</v>
      </c>
      <c r="AV57" s="2192" t="str">
        <f>IF('2. XL-1F TT(CA2)'!AJ20="","",'2. XL-1F TT(CA2)'!AJ20)</f>
        <v/>
      </c>
      <c r="AW57" s="1882" t="s">
        <v>10</v>
      </c>
      <c r="AY57" s="2370"/>
      <c r="AZ57" s="2371" t="s">
        <v>1015</v>
      </c>
      <c r="BA57" s="1078" t="s">
        <v>1013</v>
      </c>
    </row>
    <row r="58" spans="1:57" ht="41.25" customHeight="1">
      <c r="A58" s="1820" t="s">
        <v>274</v>
      </c>
      <c r="B58" s="1068" t="s">
        <v>215</v>
      </c>
      <c r="C58" s="1066" t="s">
        <v>147</v>
      </c>
      <c r="D58" s="1072" t="s">
        <v>3</v>
      </c>
      <c r="E58" s="2411" t="s">
        <v>1356</v>
      </c>
      <c r="F58" s="2029" t="s">
        <v>1561</v>
      </c>
      <c r="G58" s="2011">
        <v>0.01</v>
      </c>
      <c r="H58" s="91">
        <f>XM.HN!B41</f>
        <v>9.4</v>
      </c>
      <c r="I58" s="1876">
        <f>(H58*0.126)/100</f>
        <v>1.1844E-2</v>
      </c>
      <c r="J58" s="1874">
        <f>($G$58-I58)*530/65%/1.51</f>
        <v>-0.99574121242995417</v>
      </c>
      <c r="K58" s="1875" t="s">
        <v>8</v>
      </c>
      <c r="L58" s="1877">
        <f t="shared" si="6"/>
        <v>0</v>
      </c>
      <c r="M58" s="2193" t="str">
        <f>IF('2. XL-1F TT '!AB21="","",'2. XL-1F TT '!AB21)</f>
        <v/>
      </c>
      <c r="N58" s="1866" t="s">
        <v>10</v>
      </c>
      <c r="O58" s="37">
        <f>XM.HN!C41</f>
        <v>8.4</v>
      </c>
      <c r="P58" s="1876">
        <f>(O58*0.126)/100</f>
        <v>1.0584E-2</v>
      </c>
      <c r="Q58" s="1874">
        <f>($G$58-P58)*530/65%/1.51</f>
        <v>-0.31535404992358601</v>
      </c>
      <c r="R58" s="1875" t="s">
        <v>8</v>
      </c>
      <c r="S58" s="1877">
        <f t="shared" si="7"/>
        <v>0</v>
      </c>
      <c r="T58" s="2193" t="str">
        <f>IF('2. XL-1F TT '!AF21="","",'2. XL-1F TT '!AF21)</f>
        <v/>
      </c>
      <c r="U58" s="1866" t="s">
        <v>10</v>
      </c>
      <c r="V58" s="1037">
        <f>XM.HN!D41</f>
        <v>8.1999999999999993</v>
      </c>
      <c r="W58" s="1876">
        <f>(V58*0.126)/100</f>
        <v>1.0331999999999999E-2</v>
      </c>
      <c r="X58" s="1874">
        <f>($G$58-W58)*530/65%/1.51</f>
        <v>-0.17927661742231221</v>
      </c>
      <c r="Y58" s="1875" t="s">
        <v>8</v>
      </c>
      <c r="Z58" s="1877">
        <f t="shared" si="8"/>
        <v>0</v>
      </c>
      <c r="AA58" s="2193" t="str">
        <f>IF('2. XL-1F TT '!AJ21="","",'2. XL-1F TT '!AJ21)</f>
        <v/>
      </c>
      <c r="AB58" s="1866" t="s">
        <v>10</v>
      </c>
      <c r="AC58" s="1037">
        <f>XM.HN!E41</f>
        <v>9.8000000000000007</v>
      </c>
      <c r="AD58" s="1876">
        <f>(AC58*0.126)/100</f>
        <v>1.2348000000000001E-2</v>
      </c>
      <c r="AE58" s="1874">
        <f>($G$58-AD58)*530/65%/1.51</f>
        <v>-1.2678960774325019</v>
      </c>
      <c r="AF58" s="1875" t="s">
        <v>8</v>
      </c>
      <c r="AG58" s="1877">
        <f t="shared" si="9"/>
        <v>0</v>
      </c>
      <c r="AH58" s="2193" t="str">
        <f>IF('2. XL-1F TT(CA2)'!AB21="","",'2. XL-1F TT(CA2)'!AB21)</f>
        <v/>
      </c>
      <c r="AI58" s="1866" t="s">
        <v>10</v>
      </c>
      <c r="AJ58" s="1502">
        <f>XM.HN!F41</f>
        <v>0</v>
      </c>
      <c r="AK58" s="1876">
        <f>(AJ58*0.126)/100</f>
        <v>0</v>
      </c>
      <c r="AL58" s="1874">
        <f>($G$58-AK58)*530/65%/1.51</f>
        <v>5.3998981151299033</v>
      </c>
      <c r="AM58" s="1875" t="s">
        <v>8</v>
      </c>
      <c r="AN58" s="1877">
        <f t="shared" si="10"/>
        <v>0</v>
      </c>
      <c r="AO58" s="2193" t="str">
        <f>IF('2. XL-1F TT(CA2)'!AF21="","",'2. XL-1F TT(CA2)'!AF21)</f>
        <v/>
      </c>
      <c r="AP58" s="1866" t="s">
        <v>10</v>
      </c>
      <c r="AQ58" s="1502">
        <f>XM.HN!G41</f>
        <v>7.5</v>
      </c>
      <c r="AR58" s="1876">
        <f>(AQ58*0.126)/100</f>
        <v>9.4500000000000001E-3</v>
      </c>
      <c r="AS58" s="1844">
        <f>($G$58-AR58)*530/65%/1.51</f>
        <v>0.29699439633214475</v>
      </c>
      <c r="AT58" s="1845" t="s">
        <v>8</v>
      </c>
      <c r="AU58" s="1877">
        <f t="shared" si="11"/>
        <v>0.29699439633214475</v>
      </c>
      <c r="AV58" s="2192" t="str">
        <f>IF('2. XL-1F TT(CA2)'!AJ21="","",'2. XL-1F TT(CA2)'!AJ21)</f>
        <v/>
      </c>
      <c r="AW58" s="1847" t="s">
        <v>10</v>
      </c>
      <c r="AY58" s="2463" t="s">
        <v>1588</v>
      </c>
      <c r="AZ58" s="2371" t="s">
        <v>1015</v>
      </c>
      <c r="BA58" s="1078" t="s">
        <v>1014</v>
      </c>
    </row>
    <row r="59" spans="1:57" ht="45" customHeight="1">
      <c r="A59" s="1819" t="s">
        <v>275</v>
      </c>
      <c r="B59" s="1068" t="s">
        <v>215</v>
      </c>
      <c r="C59" s="302" t="s">
        <v>833</v>
      </c>
      <c r="D59" s="47" t="s">
        <v>3</v>
      </c>
      <c r="E59" s="48" t="s">
        <v>1360</v>
      </c>
      <c r="F59" s="2029" t="s">
        <v>1341</v>
      </c>
      <c r="G59" s="2012">
        <v>6</v>
      </c>
      <c r="H59" s="91">
        <f>XM.HN!B42</f>
        <v>5.9</v>
      </c>
      <c r="I59" s="1952">
        <f>IF(XM.HN!B42="","",H59*0.8+1.4)</f>
        <v>6.120000000000001</v>
      </c>
      <c r="J59" s="1835">
        <f>($G$59-I59)*575/95</f>
        <v>-0.72631578947369024</v>
      </c>
      <c r="K59" s="1845" t="s">
        <v>8</v>
      </c>
      <c r="L59" s="1988">
        <f>IF(I59="","",IF(J59&lt;0,0,J59))</f>
        <v>0</v>
      </c>
      <c r="M59" s="2193" t="str">
        <f>IF('2. XL-1F TT '!AB22="","",'2. XL-1F TT '!AB22)</f>
        <v/>
      </c>
      <c r="N59" s="1851" t="s">
        <v>10</v>
      </c>
      <c r="O59" s="92">
        <f>XM.HN!C42</f>
        <v>0</v>
      </c>
      <c r="P59" s="1952" t="s">
        <v>1623</v>
      </c>
      <c r="Q59" s="1835" t="e">
        <f>($G$59-P59)*575/95</f>
        <v>#VALUE!</v>
      </c>
      <c r="R59" s="1845" t="s">
        <v>8</v>
      </c>
      <c r="S59" s="1988"/>
      <c r="T59" s="2193" t="str">
        <f>IF('2. XL-1F TT '!AF22="","",'2. XL-1F TT '!AF22)</f>
        <v/>
      </c>
      <c r="U59" s="1851" t="s">
        <v>10</v>
      </c>
      <c r="V59" s="92">
        <f>XM.HN!D42</f>
        <v>0</v>
      </c>
      <c r="W59" s="1952" t="s">
        <v>1623</v>
      </c>
      <c r="X59" s="1835" t="e">
        <f>($G$59-W59)*575/95</f>
        <v>#VALUE!</v>
      </c>
      <c r="Y59" s="1845" t="s">
        <v>8</v>
      </c>
      <c r="Z59" s="1988"/>
      <c r="AA59" s="2193" t="str">
        <f>IF('2. XL-1F TT '!AJ22="","",'2. XL-1F TT '!AJ22)</f>
        <v/>
      </c>
      <c r="AB59" s="1851" t="s">
        <v>10</v>
      </c>
      <c r="AC59" s="92">
        <f>XM.HN!E42</f>
        <v>0</v>
      </c>
      <c r="AD59" s="1952" t="s">
        <v>1623</v>
      </c>
      <c r="AE59" s="1835" t="e">
        <f>($G$59-AD59)*575/95</f>
        <v>#VALUE!</v>
      </c>
      <c r="AF59" s="1845" t="s">
        <v>8</v>
      </c>
      <c r="AG59" s="1988"/>
      <c r="AH59" s="2193" t="str">
        <f>IF('2. XL-1F TT(CA2)'!AB22="","",'2. XL-1F TT(CA2)'!AB22)</f>
        <v/>
      </c>
      <c r="AI59" s="1851" t="s">
        <v>10</v>
      </c>
      <c r="AJ59" s="92">
        <f>XM.HN!F42</f>
        <v>0</v>
      </c>
      <c r="AK59" s="1952" t="str">
        <f>IF(XM.HN!F42="","",AJ59*0.8+1.4)</f>
        <v/>
      </c>
      <c r="AL59" s="1835" t="e">
        <f>($G$59-AK59)*575/95</f>
        <v>#VALUE!</v>
      </c>
      <c r="AM59" s="1845" t="s">
        <v>8</v>
      </c>
      <c r="AN59" s="1988" t="str">
        <f>IF(AK59="","",IF(AL59&lt;0,0,AL59))</f>
        <v/>
      </c>
      <c r="AO59" s="2193" t="str">
        <f>IF('2. XL-1F TT(CA2)'!AF22="","",'2. XL-1F TT(CA2)'!AF22)</f>
        <v/>
      </c>
      <c r="AP59" s="1851" t="s">
        <v>10</v>
      </c>
      <c r="AQ59" s="92">
        <f>XM.HN!G42</f>
        <v>0</v>
      </c>
      <c r="AR59" s="1952" t="s">
        <v>1623</v>
      </c>
      <c r="AS59" s="1835" t="e">
        <f>($G$59-AR59)*575/95</f>
        <v>#VALUE!</v>
      </c>
      <c r="AT59" s="1845" t="s">
        <v>8</v>
      </c>
      <c r="AU59" s="1988"/>
      <c r="AV59" s="2193" t="str">
        <f>IF('2. XL-1F TT(CA2)'!AJ22="","",'2. XL-1F TT(CA2)'!AJ22)</f>
        <v/>
      </c>
      <c r="AW59" s="1847" t="s">
        <v>10</v>
      </c>
      <c r="AY59" s="2370"/>
    </row>
    <row r="60" spans="1:57" ht="34.5" customHeight="1">
      <c r="A60" s="1080" t="s">
        <v>276</v>
      </c>
      <c r="B60" s="1068" t="s">
        <v>215</v>
      </c>
      <c r="C60" s="2501" t="str">
        <f>MENU!Z45</f>
        <v xml:space="preserve">Pha mới: 2023/12/24 </v>
      </c>
      <c r="D60" s="47" t="s">
        <v>5</v>
      </c>
      <c r="E60" s="48" t="s">
        <v>1330</v>
      </c>
      <c r="F60" s="2029" t="s">
        <v>1237</v>
      </c>
      <c r="G60" s="2009"/>
      <c r="H60" s="91"/>
      <c r="I60" s="1869">
        <f>XM.HN!B43</f>
        <v>2.2000000000000002</v>
      </c>
      <c r="J60" s="2219"/>
      <c r="K60" s="2219"/>
      <c r="L60" s="2220"/>
      <c r="M60" s="2402" t="str">
        <f>IF('2. XL-1F TT '!AB23="","",'2. XL-1F TT '!AB23)</f>
        <v/>
      </c>
      <c r="N60" s="2403"/>
      <c r="O60" s="2404"/>
      <c r="P60" s="1952" t="s">
        <v>1623</v>
      </c>
      <c r="Q60" s="1835" t="e">
        <f>($G$59-P60)*575/95</f>
        <v>#VALUE!</v>
      </c>
      <c r="R60" s="1845" t="s">
        <v>8</v>
      </c>
      <c r="S60" s="1988"/>
      <c r="T60" s="2402" t="str">
        <f>IF('2. XL-1F TT '!AF23="","",'2. XL-1F TT '!AF23)</f>
        <v/>
      </c>
      <c r="U60" s="2403"/>
      <c r="V60" s="2404"/>
      <c r="W60" s="1952" t="s">
        <v>1623</v>
      </c>
      <c r="X60" s="1835" t="e">
        <f>($G$59-W60)*575/95</f>
        <v>#VALUE!</v>
      </c>
      <c r="Y60" s="1845" t="s">
        <v>8</v>
      </c>
      <c r="Z60" s="1988"/>
      <c r="AA60" s="2402" t="str">
        <f>IF('2. XL-1F TT '!AJ23="","",'2. XL-1F TT '!AJ23)</f>
        <v/>
      </c>
      <c r="AB60" s="2403"/>
      <c r="AC60" s="2404"/>
      <c r="AD60" s="1952" t="s">
        <v>1623</v>
      </c>
      <c r="AE60" s="2219"/>
      <c r="AF60" s="2219"/>
      <c r="AG60" s="2220"/>
      <c r="AH60" s="2402" t="str">
        <f>IF('2. XL-1F TT(CA2)'!AB23="","",'2. XL-1F TT(CA2)'!AB23)</f>
        <v/>
      </c>
      <c r="AI60" s="2403"/>
      <c r="AJ60" s="2404"/>
      <c r="AK60" s="1869">
        <f>XM.HN!F43</f>
        <v>0</v>
      </c>
      <c r="AL60" s="2219"/>
      <c r="AM60" s="2219"/>
      <c r="AN60" s="2220"/>
      <c r="AO60" s="2402" t="str">
        <f>IF('2. XL-1F TT(CA2)'!AF23="","",'2. XL-1F TT(CA2)'!AF23)</f>
        <v/>
      </c>
      <c r="AP60" s="2403"/>
      <c r="AQ60" s="2404"/>
      <c r="AR60" s="1952" t="s">
        <v>1623</v>
      </c>
      <c r="AS60" s="1835"/>
      <c r="AT60" s="1845"/>
      <c r="AU60" s="1846"/>
      <c r="AV60" s="2192"/>
      <c r="AW60" s="1847"/>
      <c r="AY60" s="2370"/>
    </row>
    <row r="61" spans="1:57" s="211" customFormat="1" ht="54" customHeight="1">
      <c r="A61" s="295" t="s">
        <v>74</v>
      </c>
      <c r="B61" s="296"/>
      <c r="C61" s="296"/>
      <c r="D61" s="296"/>
      <c r="E61" s="293"/>
      <c r="F61" s="293"/>
      <c r="G61" s="1389"/>
      <c r="H61" s="296"/>
      <c r="I61" s="296"/>
      <c r="J61" s="296"/>
      <c r="K61" s="296"/>
      <c r="L61" s="296"/>
      <c r="M61" s="1724"/>
      <c r="N61" s="296"/>
      <c r="O61" s="296"/>
      <c r="P61" s="297"/>
      <c r="Q61" s="296"/>
      <c r="R61" s="296"/>
      <c r="S61" s="296"/>
      <c r="T61" s="1728"/>
      <c r="U61" s="297"/>
      <c r="V61" s="296"/>
      <c r="W61" s="297"/>
      <c r="X61" s="296"/>
      <c r="Y61" s="296"/>
      <c r="Z61" s="296"/>
      <c r="AA61" s="1724"/>
      <c r="AB61" s="296"/>
      <c r="AC61" s="296"/>
      <c r="AD61" s="296"/>
      <c r="AE61" s="296"/>
      <c r="AF61" s="296"/>
      <c r="AG61" s="296"/>
      <c r="AH61" s="1724"/>
      <c r="AI61" s="296"/>
      <c r="AJ61" s="297"/>
      <c r="AK61" s="297"/>
      <c r="AL61" s="297"/>
      <c r="AM61" s="297"/>
      <c r="AN61" s="297"/>
      <c r="AO61" s="1732"/>
      <c r="AP61" s="297"/>
      <c r="AQ61" s="297"/>
      <c r="AR61" s="297"/>
      <c r="AS61" s="297"/>
      <c r="AT61" s="297"/>
      <c r="AU61" s="297"/>
      <c r="AV61" s="1732"/>
      <c r="AW61" s="1036"/>
      <c r="AZ61" s="274"/>
      <c r="BA61" s="274"/>
      <c r="BB61" s="274"/>
      <c r="BC61" s="274"/>
      <c r="BD61" s="274"/>
      <c r="BE61" s="274"/>
    </row>
    <row r="62" spans="1:57" ht="44.25" customHeight="1">
      <c r="A62" s="1821" t="s">
        <v>239</v>
      </c>
      <c r="B62" s="1067" t="s">
        <v>318</v>
      </c>
      <c r="C62" s="1065" t="s">
        <v>62</v>
      </c>
      <c r="D62" s="1065" t="s">
        <v>64</v>
      </c>
      <c r="E62" s="1456" t="s">
        <v>1318</v>
      </c>
      <c r="F62" s="2020" t="s">
        <v>1317</v>
      </c>
      <c r="G62" s="1399"/>
      <c r="H62" s="94"/>
      <c r="I62" s="1827" t="s">
        <v>46</v>
      </c>
      <c r="J62" s="1828"/>
      <c r="K62" s="1828"/>
      <c r="L62" s="1828" t="s">
        <v>63</v>
      </c>
      <c r="M62" s="1879"/>
      <c r="N62" s="1829"/>
      <c r="O62" s="288"/>
      <c r="P62" s="1827" t="s">
        <v>46</v>
      </c>
      <c r="Q62" s="1828"/>
      <c r="R62" s="1828"/>
      <c r="S62" s="1828" t="s">
        <v>63</v>
      </c>
      <c r="T62" s="1879"/>
      <c r="U62" s="1883"/>
      <c r="V62" s="1884"/>
      <c r="W62" s="1827" t="s">
        <v>46</v>
      </c>
      <c r="X62" s="1828"/>
      <c r="Y62" s="1828"/>
      <c r="Z62" s="1828" t="s">
        <v>63</v>
      </c>
      <c r="AA62" s="1879"/>
      <c r="AB62" s="1883"/>
      <c r="AC62" s="1884"/>
      <c r="AD62" s="1827" t="s">
        <v>46</v>
      </c>
      <c r="AE62" s="1828"/>
      <c r="AF62" s="1828"/>
      <c r="AG62" s="1828" t="s">
        <v>63</v>
      </c>
      <c r="AH62" s="1879"/>
      <c r="AI62" s="1883"/>
      <c r="AJ62" s="1884"/>
      <c r="AK62" s="1827" t="s">
        <v>46</v>
      </c>
      <c r="AL62" s="1828"/>
      <c r="AM62" s="1828"/>
      <c r="AN62" s="1828" t="s">
        <v>63</v>
      </c>
      <c r="AO62" s="1879"/>
      <c r="AP62" s="1883"/>
      <c r="AQ62" s="1884"/>
      <c r="AR62" s="1827" t="s">
        <v>46</v>
      </c>
      <c r="AS62" s="1828"/>
      <c r="AT62" s="1828"/>
      <c r="AU62" s="1828" t="s">
        <v>63</v>
      </c>
      <c r="AV62" s="1879"/>
      <c r="AW62" s="1829"/>
      <c r="AY62" s="1081" t="s">
        <v>1543</v>
      </c>
    </row>
    <row r="63" spans="1:57" ht="46.5" customHeight="1">
      <c r="A63" s="1818" t="s">
        <v>277</v>
      </c>
      <c r="B63" s="1068" t="s">
        <v>215</v>
      </c>
      <c r="C63" s="1065" t="s">
        <v>66</v>
      </c>
      <c r="D63" s="99" t="s">
        <v>106</v>
      </c>
      <c r="E63" s="1717" t="s">
        <v>1358</v>
      </c>
      <c r="F63" s="2021" t="s">
        <v>1339</v>
      </c>
      <c r="G63" s="1390"/>
      <c r="H63" s="100"/>
      <c r="I63" s="2828">
        <f>'XM.FILE GOC'!I63</f>
        <v>58</v>
      </c>
      <c r="J63" s="2819"/>
      <c r="K63" s="2819"/>
      <c r="L63" s="2819">
        <f>'XM.FILE GOC'!L63</f>
        <v>56</v>
      </c>
      <c r="M63" s="2819"/>
      <c r="N63" s="2830"/>
      <c r="O63" s="1474"/>
      <c r="P63" s="2828">
        <f>'XM.FILE GOC'!P63</f>
        <v>58</v>
      </c>
      <c r="Q63" s="2819"/>
      <c r="R63" s="2819"/>
      <c r="S63" s="2819">
        <f>'XM.FILE GOC'!S63</f>
        <v>58</v>
      </c>
      <c r="T63" s="2819"/>
      <c r="U63" s="2830"/>
      <c r="V63" s="291"/>
      <c r="W63" s="2828">
        <f>'XM.FILE GOC'!W63</f>
        <v>54</v>
      </c>
      <c r="X63" s="2819"/>
      <c r="Y63" s="2819"/>
      <c r="Z63" s="2819">
        <f>'XM.FILE GOC'!Z63</f>
        <v>53</v>
      </c>
      <c r="AA63" s="2819"/>
      <c r="AB63" s="2830"/>
      <c r="AC63" s="291"/>
      <c r="AD63" s="2828">
        <f>'XM.FILE GOC'!AD63</f>
        <v>54</v>
      </c>
      <c r="AE63" s="2819"/>
      <c r="AF63" s="2819"/>
      <c r="AG63" s="2819">
        <f>'XM.FILE GOC'!AG63</f>
        <v>52</v>
      </c>
      <c r="AH63" s="2819"/>
      <c r="AI63" s="2820"/>
      <c r="AJ63" s="290"/>
      <c r="AK63" s="2828">
        <f>'XM.FILE GOC'!AK63</f>
        <v>0</v>
      </c>
      <c r="AL63" s="2819"/>
      <c r="AM63" s="2819"/>
      <c r="AN63" s="2819">
        <f>'XM.FILE GOC'!AN63</f>
        <v>0</v>
      </c>
      <c r="AO63" s="2819"/>
      <c r="AP63" s="2820"/>
      <c r="AQ63" s="290"/>
      <c r="AR63" s="2828">
        <f>'XM.FILE GOC'!AR63</f>
        <v>54</v>
      </c>
      <c r="AS63" s="2819"/>
      <c r="AT63" s="2819"/>
      <c r="AU63" s="2819">
        <f>'XM.FILE GOC'!AU63</f>
        <v>52</v>
      </c>
      <c r="AV63" s="2819"/>
      <c r="AW63" s="2820"/>
      <c r="AY63" s="2370"/>
    </row>
    <row r="64" spans="1:57" ht="46.5" customHeight="1">
      <c r="A64" s="1818" t="s">
        <v>278</v>
      </c>
      <c r="B64" s="1068" t="s">
        <v>215</v>
      </c>
      <c r="C64" s="1052" t="s">
        <v>67</v>
      </c>
      <c r="D64" s="99" t="s">
        <v>106</v>
      </c>
      <c r="E64" s="1717" t="s">
        <v>1358</v>
      </c>
      <c r="F64" s="2021" t="s">
        <v>1339</v>
      </c>
      <c r="G64" s="1390"/>
      <c r="H64" s="100"/>
      <c r="I64" s="2828">
        <f>'XM.FILE GOC'!I64</f>
        <v>59</v>
      </c>
      <c r="J64" s="2819"/>
      <c r="K64" s="2819"/>
      <c r="L64" s="2819">
        <f>'XM.FILE GOC'!L64</f>
        <v>60</v>
      </c>
      <c r="M64" s="2819"/>
      <c r="N64" s="2830"/>
      <c r="O64" s="1474"/>
      <c r="P64" s="2828">
        <f>'XM.FILE GOC'!P64</f>
        <v>60</v>
      </c>
      <c r="Q64" s="2819"/>
      <c r="R64" s="2819"/>
      <c r="S64" s="2819">
        <f>'XM.FILE GOC'!S64</f>
        <v>60</v>
      </c>
      <c r="T64" s="2819"/>
      <c r="U64" s="2830"/>
      <c r="V64" s="291"/>
      <c r="W64" s="2828">
        <f>'XM.FILE GOC'!W64</f>
        <v>59</v>
      </c>
      <c r="X64" s="2819"/>
      <c r="Y64" s="2819"/>
      <c r="Z64" s="2819">
        <f>'XM.FILE GOC'!Z64</f>
        <v>60</v>
      </c>
      <c r="AA64" s="2819"/>
      <c r="AB64" s="2830"/>
      <c r="AC64" s="291"/>
      <c r="AD64" s="2828">
        <f>'XM.FILE GOC'!AD64</f>
        <v>62</v>
      </c>
      <c r="AE64" s="2819"/>
      <c r="AF64" s="2819"/>
      <c r="AG64" s="2819">
        <f>'XM.FILE GOC'!AG64</f>
        <v>61</v>
      </c>
      <c r="AH64" s="2819"/>
      <c r="AI64" s="2820"/>
      <c r="AJ64" s="290"/>
      <c r="AK64" s="2828">
        <f>'XM.FILE GOC'!AK64</f>
        <v>0</v>
      </c>
      <c r="AL64" s="2819"/>
      <c r="AM64" s="2819"/>
      <c r="AN64" s="2819">
        <f>'XM.FILE GOC'!AN64</f>
        <v>0</v>
      </c>
      <c r="AO64" s="2819"/>
      <c r="AP64" s="2820"/>
      <c r="AQ64" s="290"/>
      <c r="AR64" s="2828">
        <f>'XM.FILE GOC'!AR64</f>
        <v>62</v>
      </c>
      <c r="AS64" s="2819"/>
      <c r="AT64" s="2819"/>
      <c r="AU64" s="2819">
        <f>'XM.FILE GOC'!AU64</f>
        <v>61</v>
      </c>
      <c r="AV64" s="2819"/>
      <c r="AW64" s="2820"/>
      <c r="AY64" s="2370"/>
    </row>
    <row r="65" spans="1:65" ht="46.5" customHeight="1">
      <c r="A65" s="1818" t="s">
        <v>279</v>
      </c>
      <c r="B65" s="1068" t="s">
        <v>215</v>
      </c>
      <c r="C65" s="1052" t="s">
        <v>69</v>
      </c>
      <c r="D65" s="99" t="s">
        <v>106</v>
      </c>
      <c r="E65" s="1405" t="s">
        <v>1362</v>
      </c>
      <c r="F65" s="2349" t="s">
        <v>1345</v>
      </c>
      <c r="G65" s="1390"/>
      <c r="H65" s="100"/>
      <c r="I65" s="2828">
        <f>'XM.FILE GOC'!I65</f>
        <v>53</v>
      </c>
      <c r="J65" s="2819"/>
      <c r="K65" s="2830"/>
      <c r="L65" s="2819">
        <f>'XM.FILE GOC'!L65</f>
        <v>52</v>
      </c>
      <c r="M65" s="2819"/>
      <c r="N65" s="2820"/>
      <c r="O65" s="288"/>
      <c r="P65" s="2828">
        <f>'XM.FILE GOC'!P65</f>
        <v>52</v>
      </c>
      <c r="Q65" s="2819"/>
      <c r="R65" s="2830"/>
      <c r="S65" s="2819">
        <f>'XM.FILE GOC'!S65</f>
        <v>52</v>
      </c>
      <c r="T65" s="2819"/>
      <c r="U65" s="2820"/>
      <c r="V65" s="95"/>
      <c r="W65" s="2828">
        <f>'XM.FILE GOC'!W65</f>
        <v>54</v>
      </c>
      <c r="X65" s="2819"/>
      <c r="Y65" s="2830"/>
      <c r="Z65" s="2819">
        <f>'XM.FILE GOC'!Z65</f>
        <v>52</v>
      </c>
      <c r="AA65" s="2819"/>
      <c r="AB65" s="2820"/>
      <c r="AC65" s="96"/>
      <c r="AD65" s="2828">
        <f>'XM.FILE GOC'!AD65</f>
        <v>53</v>
      </c>
      <c r="AE65" s="2819"/>
      <c r="AF65" s="2830"/>
      <c r="AG65" s="2819">
        <f>'XM.FILE GOC'!AG65</f>
        <v>52</v>
      </c>
      <c r="AH65" s="2819"/>
      <c r="AI65" s="2820"/>
      <c r="AJ65" s="96"/>
      <c r="AK65" s="2828">
        <f>'XM.FILE GOC'!AK65</f>
        <v>0</v>
      </c>
      <c r="AL65" s="2819"/>
      <c r="AM65" s="2830"/>
      <c r="AN65" s="2819">
        <f>'XM.FILE GOC'!AN65</f>
        <v>0</v>
      </c>
      <c r="AO65" s="2819"/>
      <c r="AP65" s="2820"/>
      <c r="AQ65" s="96"/>
      <c r="AR65" s="2828">
        <f>'XM.FILE GOC'!AR65</f>
        <v>53</v>
      </c>
      <c r="AS65" s="2819"/>
      <c r="AT65" s="2830"/>
      <c r="AU65" s="2819">
        <f>'XM.FILE GOC'!AU65</f>
        <v>52</v>
      </c>
      <c r="AV65" s="2819"/>
      <c r="AW65" s="2820"/>
      <c r="AY65" s="2370"/>
    </row>
    <row r="66" spans="1:65" ht="46.5" customHeight="1">
      <c r="A66" s="1818" t="s">
        <v>280</v>
      </c>
      <c r="B66" s="1068" t="s">
        <v>215</v>
      </c>
      <c r="C66" s="1052" t="s">
        <v>68</v>
      </c>
      <c r="D66" s="99" t="s">
        <v>106</v>
      </c>
      <c r="E66" s="1405" t="s">
        <v>1362</v>
      </c>
      <c r="F66" s="2349" t="s">
        <v>1345</v>
      </c>
      <c r="G66" s="1390"/>
      <c r="H66" s="100"/>
      <c r="I66" s="2828">
        <f>'XM.FILE GOC'!I66</f>
        <v>51</v>
      </c>
      <c r="J66" s="2819"/>
      <c r="K66" s="2830"/>
      <c r="L66" s="2819">
        <f>'XM.FILE GOC'!L66</f>
        <v>49</v>
      </c>
      <c r="M66" s="2819"/>
      <c r="N66" s="2820"/>
      <c r="O66" s="288"/>
      <c r="P66" s="2828">
        <f>'XM.FILE GOC'!P66</f>
        <v>50</v>
      </c>
      <c r="Q66" s="2819"/>
      <c r="R66" s="2830"/>
      <c r="S66" s="2819">
        <f>'XM.FILE GOC'!S66</f>
        <v>50</v>
      </c>
      <c r="T66" s="2819"/>
      <c r="U66" s="2820"/>
      <c r="V66" s="95"/>
      <c r="W66" s="2828">
        <f>'XM.FILE GOC'!W66</f>
        <v>54</v>
      </c>
      <c r="X66" s="2819"/>
      <c r="Y66" s="2830"/>
      <c r="Z66" s="2819">
        <f>'XM.FILE GOC'!Z66</f>
        <v>52</v>
      </c>
      <c r="AA66" s="2819"/>
      <c r="AB66" s="2820"/>
      <c r="AC66" s="96"/>
      <c r="AD66" s="2828">
        <f>'XM.FILE GOC'!AD66</f>
        <v>51</v>
      </c>
      <c r="AE66" s="2819"/>
      <c r="AF66" s="2830"/>
      <c r="AG66" s="2819">
        <f>'XM.FILE GOC'!AG66</f>
        <v>50</v>
      </c>
      <c r="AH66" s="2819"/>
      <c r="AI66" s="2820"/>
      <c r="AJ66" s="96"/>
      <c r="AK66" s="2828">
        <f>'XM.FILE GOC'!AK66</f>
        <v>0</v>
      </c>
      <c r="AL66" s="2819"/>
      <c r="AM66" s="2830"/>
      <c r="AN66" s="2819">
        <f>'XM.FILE GOC'!AN66</f>
        <v>0</v>
      </c>
      <c r="AO66" s="2819"/>
      <c r="AP66" s="2820"/>
      <c r="AQ66" s="96"/>
      <c r="AR66" s="2828">
        <f>'XM.FILE GOC'!AR66</f>
        <v>49</v>
      </c>
      <c r="AS66" s="2819"/>
      <c r="AT66" s="2830"/>
      <c r="AU66" s="2819">
        <f>'XM.FILE GOC'!AU66</f>
        <v>48</v>
      </c>
      <c r="AV66" s="2819"/>
      <c r="AW66" s="2820"/>
      <c r="AY66" s="2370"/>
    </row>
    <row r="67" spans="1:65" ht="46.5" customHeight="1">
      <c r="A67" s="1818" t="s">
        <v>316</v>
      </c>
      <c r="B67" s="1068" t="s">
        <v>215</v>
      </c>
      <c r="C67" s="1052" t="s">
        <v>70</v>
      </c>
      <c r="D67" s="99" t="s">
        <v>106</v>
      </c>
      <c r="E67" s="102" t="s">
        <v>1557</v>
      </c>
      <c r="F67" s="2030" t="s">
        <v>1548</v>
      </c>
      <c r="G67" s="1390"/>
      <c r="H67" s="100"/>
      <c r="I67" s="2828">
        <f>'XM.FILE GOC'!I67</f>
        <v>32</v>
      </c>
      <c r="J67" s="2819"/>
      <c r="K67" s="2819"/>
      <c r="L67" s="2819">
        <f>'XM.FILE GOC'!L67</f>
        <v>31</v>
      </c>
      <c r="M67" s="2819"/>
      <c r="N67" s="2819"/>
      <c r="O67" s="2820"/>
      <c r="P67" s="2828">
        <f>'XM.FILE GOC'!P67</f>
        <v>32</v>
      </c>
      <c r="Q67" s="2819"/>
      <c r="R67" s="2819"/>
      <c r="S67" s="2819">
        <f>'XM.FILE GOC'!S67</f>
        <v>31</v>
      </c>
      <c r="T67" s="2819"/>
      <c r="U67" s="2819"/>
      <c r="V67" s="2820"/>
      <c r="W67" s="2828">
        <f>'XM.FILE GOC'!W67</f>
        <v>29</v>
      </c>
      <c r="X67" s="2819"/>
      <c r="Y67" s="2819"/>
      <c r="Z67" s="2819">
        <f>'XM.FILE GOC'!Z67</f>
        <v>29</v>
      </c>
      <c r="AA67" s="2819"/>
      <c r="AB67" s="2819"/>
      <c r="AC67" s="2820"/>
      <c r="AD67" s="2828">
        <f>'XM.FILE GOC'!AD67</f>
        <v>32</v>
      </c>
      <c r="AE67" s="2819"/>
      <c r="AF67" s="2819"/>
      <c r="AG67" s="2819">
        <f>'XM.FILE GOC'!AG67</f>
        <v>31</v>
      </c>
      <c r="AH67" s="2819"/>
      <c r="AI67" s="2819"/>
      <c r="AJ67" s="2820"/>
      <c r="AK67" s="2828">
        <f>'XM.FILE GOC'!AK67</f>
        <v>0</v>
      </c>
      <c r="AL67" s="2819"/>
      <c r="AM67" s="2819"/>
      <c r="AN67" s="2819">
        <f>'XM.FILE GOC'!AN67</f>
        <v>0</v>
      </c>
      <c r="AO67" s="2819"/>
      <c r="AP67" s="2819"/>
      <c r="AQ67" s="2820"/>
      <c r="AR67" s="2828">
        <f>'XM.FILE GOC'!AR67</f>
        <v>31</v>
      </c>
      <c r="AS67" s="2819"/>
      <c r="AT67" s="2819"/>
      <c r="AU67" s="2819">
        <f>'XM.FILE GOC'!AU67</f>
        <v>30</v>
      </c>
      <c r="AV67" s="2819"/>
      <c r="AW67" s="2820"/>
      <c r="AY67" s="2370"/>
    </row>
    <row r="68" spans="1:65" ht="46.5" customHeight="1">
      <c r="A68" s="1819" t="s">
        <v>281</v>
      </c>
      <c r="B68" s="1068" t="s">
        <v>215</v>
      </c>
      <c r="C68" s="1052" t="s">
        <v>148</v>
      </c>
      <c r="D68" s="99" t="s">
        <v>106</v>
      </c>
      <c r="E68" s="102" t="s">
        <v>1361</v>
      </c>
      <c r="F68" s="2030" t="s">
        <v>1337</v>
      </c>
      <c r="G68" s="1390"/>
      <c r="H68" s="100"/>
      <c r="I68" s="2828">
        <f>'XM.FILE GOC'!I68</f>
        <v>33</v>
      </c>
      <c r="J68" s="2819"/>
      <c r="K68" s="2819"/>
      <c r="L68" s="2819">
        <f>'XM.FILE GOC'!L68</f>
        <v>32</v>
      </c>
      <c r="M68" s="2819"/>
      <c r="N68" s="2819"/>
      <c r="O68" s="2820"/>
      <c r="P68" s="2828">
        <f>'XM.FILE GOC'!P68</f>
        <v>33</v>
      </c>
      <c r="Q68" s="2819"/>
      <c r="R68" s="2819"/>
      <c r="S68" s="2819">
        <f>'XM.FILE GOC'!S68</f>
        <v>33</v>
      </c>
      <c r="T68" s="2819"/>
      <c r="U68" s="2819"/>
      <c r="V68" s="2820"/>
      <c r="W68" s="2828">
        <f>'XM.FILE GOC'!W68</f>
        <v>34</v>
      </c>
      <c r="X68" s="2819"/>
      <c r="Y68" s="2819"/>
      <c r="Z68" s="2819">
        <f>'XM.FILE GOC'!Z68</f>
        <v>33</v>
      </c>
      <c r="AA68" s="2819"/>
      <c r="AB68" s="2819"/>
      <c r="AC68" s="2820"/>
      <c r="AD68" s="2828">
        <f>'XM.FILE GOC'!AD68</f>
        <v>34</v>
      </c>
      <c r="AE68" s="2819"/>
      <c r="AF68" s="2819"/>
      <c r="AG68" s="2819">
        <f>'XM.FILE GOC'!AG68</f>
        <v>33</v>
      </c>
      <c r="AH68" s="2819"/>
      <c r="AI68" s="2819"/>
      <c r="AJ68" s="2820"/>
      <c r="AK68" s="2828">
        <f>'XM.FILE GOC'!AK68</f>
        <v>0</v>
      </c>
      <c r="AL68" s="2819"/>
      <c r="AM68" s="2819"/>
      <c r="AN68" s="2819">
        <f>'XM.FILE GOC'!AN68</f>
        <v>0</v>
      </c>
      <c r="AO68" s="2819"/>
      <c r="AP68" s="2819"/>
      <c r="AQ68" s="2820"/>
      <c r="AR68" s="2828">
        <f>'XM.FILE GOC'!AR68</f>
        <v>34</v>
      </c>
      <c r="AS68" s="2819"/>
      <c r="AT68" s="2819"/>
      <c r="AU68" s="2819">
        <f>'XM.FILE GOC'!AU68</f>
        <v>33</v>
      </c>
      <c r="AV68" s="2819"/>
      <c r="AW68" s="2820"/>
      <c r="AY68" s="2370"/>
    </row>
    <row r="69" spans="1:65" ht="46.5" customHeight="1">
      <c r="A69" s="1819" t="s">
        <v>282</v>
      </c>
      <c r="B69" s="1068" t="s">
        <v>215</v>
      </c>
      <c r="C69" s="1052" t="s">
        <v>71</v>
      </c>
      <c r="D69" s="99" t="s">
        <v>106</v>
      </c>
      <c r="E69" s="1717" t="s">
        <v>1358</v>
      </c>
      <c r="F69" s="2021" t="s">
        <v>1556</v>
      </c>
      <c r="G69" s="1390"/>
      <c r="H69" s="100"/>
      <c r="I69" s="2828">
        <f>'XM.FILE GOC'!I69</f>
        <v>52</v>
      </c>
      <c r="J69" s="2819"/>
      <c r="K69" s="2830"/>
      <c r="L69" s="2819">
        <f>'XM.FILE GOC'!L69</f>
        <v>51</v>
      </c>
      <c r="M69" s="2819"/>
      <c r="N69" s="2820"/>
      <c r="O69" s="1474"/>
      <c r="P69" s="2828">
        <f>'XM.FILE GOC'!P69</f>
        <v>55</v>
      </c>
      <c r="Q69" s="2819"/>
      <c r="R69" s="2830"/>
      <c r="S69" s="2819">
        <f>'XM.FILE GOC'!S69</f>
        <v>54</v>
      </c>
      <c r="T69" s="2819"/>
      <c r="U69" s="2820"/>
      <c r="V69" s="291"/>
      <c r="W69" s="2828">
        <f>'XM.FILE GOC'!W69</f>
        <v>57</v>
      </c>
      <c r="X69" s="2819"/>
      <c r="Y69" s="2830"/>
      <c r="Z69" s="2819">
        <f>'XM.FILE GOC'!Z69</f>
        <v>58</v>
      </c>
      <c r="AA69" s="2819"/>
      <c r="AB69" s="2820"/>
      <c r="AC69" s="291"/>
      <c r="AD69" s="2828">
        <f>'XM.FILE GOC'!AD69</f>
        <v>55</v>
      </c>
      <c r="AE69" s="2819"/>
      <c r="AF69" s="2830"/>
      <c r="AG69" s="2819">
        <f>'XM.FILE GOC'!AG69</f>
        <v>54</v>
      </c>
      <c r="AH69" s="2819"/>
      <c r="AI69" s="2820"/>
      <c r="AJ69" s="290"/>
      <c r="AK69" s="2828">
        <f>'XM.FILE GOC'!AK69</f>
        <v>0</v>
      </c>
      <c r="AL69" s="2819"/>
      <c r="AM69" s="2830"/>
      <c r="AN69" s="2819">
        <f>'XM.FILE GOC'!AN69</f>
        <v>0</v>
      </c>
      <c r="AO69" s="2819"/>
      <c r="AP69" s="2820"/>
      <c r="AQ69" s="290"/>
      <c r="AR69" s="2828">
        <f>'XM.FILE GOC'!AR69</f>
        <v>52</v>
      </c>
      <c r="AS69" s="2819"/>
      <c r="AT69" s="2830"/>
      <c r="AU69" s="2819">
        <f>'XM.FILE GOC'!AU69</f>
        <v>51</v>
      </c>
      <c r="AV69" s="2819"/>
      <c r="AW69" s="2820"/>
      <c r="AY69" s="2370"/>
    </row>
    <row r="70" spans="1:65" ht="46.5" customHeight="1">
      <c r="A70" s="1080" t="s">
        <v>283</v>
      </c>
      <c r="B70" s="1068" t="s">
        <v>215</v>
      </c>
      <c r="C70" s="1052" t="s">
        <v>72</v>
      </c>
      <c r="D70" s="99" t="s">
        <v>106</v>
      </c>
      <c r="E70" s="1717" t="s">
        <v>1555</v>
      </c>
      <c r="F70" s="2021" t="s">
        <v>1540</v>
      </c>
      <c r="G70" s="1390"/>
      <c r="H70" s="100"/>
      <c r="I70" s="2845"/>
      <c r="J70" s="2846"/>
      <c r="K70" s="2846"/>
      <c r="L70" s="2819">
        <f>'XM.FILE GOC'!L70</f>
        <v>84</v>
      </c>
      <c r="M70" s="2819"/>
      <c r="N70" s="2820"/>
      <c r="O70" s="2380"/>
      <c r="P70" s="2825"/>
      <c r="Q70" s="2826"/>
      <c r="R70" s="2827"/>
      <c r="S70" s="2819">
        <f>'XM.FILE GOC'!S70</f>
        <v>89</v>
      </c>
      <c r="T70" s="2819"/>
      <c r="U70" s="2820"/>
      <c r="V70" s="2380"/>
      <c r="W70" s="2825"/>
      <c r="X70" s="2826"/>
      <c r="Y70" s="2827"/>
      <c r="Z70" s="2819">
        <f>'XM.FILE GOC'!Z70</f>
        <v>93</v>
      </c>
      <c r="AA70" s="2819"/>
      <c r="AB70" s="2820"/>
      <c r="AC70" s="2380"/>
      <c r="AD70" s="2825"/>
      <c r="AE70" s="2826"/>
      <c r="AF70" s="2827"/>
      <c r="AG70" s="2819">
        <f>'XM.FILE GOC'!AG70</f>
        <v>90</v>
      </c>
      <c r="AH70" s="2819"/>
      <c r="AI70" s="2820"/>
      <c r="AJ70" s="2380"/>
      <c r="AK70" s="2825"/>
      <c r="AL70" s="2826"/>
      <c r="AM70" s="2827"/>
      <c r="AN70" s="2819">
        <f>'XM.FILE GOC'!AN70</f>
        <v>0</v>
      </c>
      <c r="AO70" s="2819"/>
      <c r="AP70" s="2820"/>
      <c r="AQ70" s="2380"/>
      <c r="AR70" s="2825"/>
      <c r="AS70" s="2826"/>
      <c r="AT70" s="2827"/>
      <c r="AU70" s="2819">
        <f>'XM.FILE GOC'!AU70</f>
        <v>90</v>
      </c>
      <c r="AV70" s="2819"/>
      <c r="AW70" s="2820"/>
      <c r="AY70" s="2370"/>
    </row>
    <row r="71" spans="1:65" s="211" customFormat="1" ht="54" customHeight="1">
      <c r="A71" s="295" t="s">
        <v>76</v>
      </c>
      <c r="B71" s="296"/>
      <c r="C71" s="296"/>
      <c r="D71" s="296"/>
      <c r="E71" s="293"/>
      <c r="F71" s="293"/>
      <c r="G71" s="1389"/>
      <c r="H71" s="296"/>
      <c r="I71" s="296"/>
      <c r="J71" s="296"/>
      <c r="K71" s="296"/>
      <c r="L71" s="296"/>
      <c r="M71" s="1724"/>
      <c r="N71" s="296"/>
      <c r="O71" s="296"/>
      <c r="P71" s="297"/>
      <c r="Q71" s="296"/>
      <c r="R71" s="296"/>
      <c r="S71" s="296"/>
      <c r="T71" s="1728"/>
      <c r="U71" s="297"/>
      <c r="V71" s="296"/>
      <c r="W71" s="297"/>
      <c r="X71" s="296"/>
      <c r="Y71" s="296"/>
      <c r="Z71" s="296"/>
      <c r="AA71" s="1724"/>
      <c r="AB71" s="296"/>
      <c r="AC71" s="296"/>
      <c r="AD71" s="296"/>
      <c r="AE71" s="296"/>
      <c r="AF71" s="296"/>
      <c r="AG71" s="296"/>
      <c r="AH71" s="1724"/>
      <c r="AI71" s="296"/>
      <c r="AJ71" s="297"/>
      <c r="AK71" s="297"/>
      <c r="AL71" s="297"/>
      <c r="AM71" s="297"/>
      <c r="AN71" s="297"/>
      <c r="AO71" s="1732"/>
      <c r="AP71" s="297"/>
      <c r="AQ71" s="297"/>
      <c r="AR71" s="297"/>
      <c r="AS71" s="297"/>
      <c r="AT71" s="297"/>
      <c r="AU71" s="297"/>
      <c r="AV71" s="297"/>
      <c r="AW71" s="297"/>
      <c r="AX71" s="297"/>
      <c r="AY71" s="297"/>
      <c r="AZ71" s="297"/>
      <c r="BA71" s="297"/>
      <c r="BB71" s="274"/>
      <c r="BC71" s="274"/>
      <c r="BD71" s="274"/>
      <c r="BE71" s="274"/>
    </row>
    <row r="72" spans="1:65" ht="51" customHeight="1">
      <c r="A72" s="1819" t="s">
        <v>284</v>
      </c>
      <c r="B72" s="1068" t="s">
        <v>215</v>
      </c>
      <c r="C72" s="1069" t="s">
        <v>236</v>
      </c>
      <c r="D72" s="2039" t="s">
        <v>1517</v>
      </c>
      <c r="E72" s="277" t="s">
        <v>1310</v>
      </c>
      <c r="F72" s="2030" t="s">
        <v>1310</v>
      </c>
      <c r="G72" s="1388"/>
      <c r="H72" s="44"/>
      <c r="I72" s="3016">
        <f>'XM.FILE GOC'!I72</f>
        <v>120</v>
      </c>
      <c r="J72" s="3088"/>
      <c r="K72" s="3088"/>
      <c r="L72" s="3088"/>
      <c r="M72" s="3088"/>
      <c r="N72" s="2968"/>
      <c r="O72" s="1476"/>
      <c r="P72" s="3016">
        <f>'XM.FILE GOC'!P72</f>
        <v>122</v>
      </c>
      <c r="Q72" s="3088"/>
      <c r="R72" s="3088"/>
      <c r="S72" s="3088"/>
      <c r="T72" s="3088"/>
      <c r="U72" s="2968"/>
      <c r="V72" s="1548"/>
      <c r="W72" s="3016">
        <f>'XM.FILE GOC'!W72</f>
        <v>115</v>
      </c>
      <c r="X72" s="3088"/>
      <c r="Y72" s="3088"/>
      <c r="Z72" s="3088"/>
      <c r="AA72" s="3088"/>
      <c r="AB72" s="2968"/>
      <c r="AC72" s="1549"/>
      <c r="AD72" s="3016">
        <f>'XM.FILE GOC'!AD72</f>
        <v>115</v>
      </c>
      <c r="AE72" s="3088"/>
      <c r="AF72" s="3088"/>
      <c r="AG72" s="3088"/>
      <c r="AH72" s="3088"/>
      <c r="AI72" s="2968"/>
      <c r="AJ72" s="1550"/>
      <c r="AK72" s="3016">
        <f>'XM.FILE GOC'!AK72</f>
        <v>0</v>
      </c>
      <c r="AL72" s="3088"/>
      <c r="AM72" s="3088"/>
      <c r="AN72" s="3088"/>
      <c r="AO72" s="3088"/>
      <c r="AP72" s="2968"/>
      <c r="AQ72" s="1550"/>
      <c r="AR72" s="2969">
        <f>'XM.FILE GOC'!AR72</f>
        <v>115</v>
      </c>
      <c r="AS72" s="2969"/>
      <c r="AT72" s="2969"/>
      <c r="AU72" s="2969"/>
      <c r="AV72" s="2969"/>
      <c r="AW72" s="2969"/>
      <c r="AY72" s="2370"/>
    </row>
    <row r="73" spans="1:65" ht="51" customHeight="1">
      <c r="A73" s="1080" t="s">
        <v>285</v>
      </c>
      <c r="B73" s="1068" t="s">
        <v>215</v>
      </c>
      <c r="C73" s="107" t="s">
        <v>237</v>
      </c>
      <c r="D73" s="2039" t="s">
        <v>1517</v>
      </c>
      <c r="E73" s="1718" t="s">
        <v>1311</v>
      </c>
      <c r="F73" s="2030" t="s">
        <v>1311</v>
      </c>
      <c r="G73" s="1388"/>
      <c r="H73" s="44"/>
      <c r="I73" s="3016">
        <f>'XM.FILE GOC'!I73</f>
        <v>38</v>
      </c>
      <c r="J73" s="3088"/>
      <c r="K73" s="3088"/>
      <c r="L73" s="3088"/>
      <c r="M73" s="3088"/>
      <c r="N73" s="2968"/>
      <c r="O73" s="1546"/>
      <c r="P73" s="3016">
        <f>'XM.FILE GOC'!P73</f>
        <v>40</v>
      </c>
      <c r="Q73" s="3088"/>
      <c r="R73" s="3088"/>
      <c r="S73" s="3088"/>
      <c r="T73" s="3088"/>
      <c r="U73" s="2968"/>
      <c r="V73" s="1548">
        <f>'XM.FILE GOC'!W73</f>
        <v>40</v>
      </c>
      <c r="W73" s="3016">
        <f>'XM.FILE GOC'!W73</f>
        <v>40</v>
      </c>
      <c r="X73" s="3088"/>
      <c r="Y73" s="3088"/>
      <c r="Z73" s="3088"/>
      <c r="AA73" s="3088"/>
      <c r="AB73" s="2968"/>
      <c r="AC73" s="1546"/>
      <c r="AD73" s="3016">
        <f>'XM.FILE GOC'!AD73</f>
        <v>42</v>
      </c>
      <c r="AE73" s="3088"/>
      <c r="AF73" s="3088"/>
      <c r="AG73" s="3088"/>
      <c r="AH73" s="3088"/>
      <c r="AI73" s="3088"/>
      <c r="AJ73" s="1540"/>
      <c r="AK73" s="3016">
        <f>'XM.FILE GOC'!AK73</f>
        <v>0</v>
      </c>
      <c r="AL73" s="3088"/>
      <c r="AM73" s="3088"/>
      <c r="AN73" s="3088"/>
      <c r="AO73" s="3088"/>
      <c r="AP73" s="3088"/>
      <c r="AQ73" s="1540"/>
      <c r="AR73" s="2969">
        <f>'XM.FILE GOC'!AR73</f>
        <v>40</v>
      </c>
      <c r="AS73" s="2969"/>
      <c r="AT73" s="2969"/>
      <c r="AU73" s="2969"/>
      <c r="AV73" s="2969"/>
      <c r="AW73" s="2969"/>
      <c r="AY73" s="2370"/>
    </row>
    <row r="74" spans="1:65" ht="26.25" customHeight="1">
      <c r="A74" s="1825"/>
      <c r="B74" s="275"/>
      <c r="C74" s="275"/>
      <c r="D74" s="275"/>
      <c r="E74" s="275"/>
      <c r="F74" s="1703"/>
      <c r="G74" s="1391"/>
      <c r="H74" s="275"/>
      <c r="I74" s="275"/>
      <c r="J74" s="275"/>
      <c r="K74" s="275"/>
      <c r="L74" s="275"/>
      <c r="M74" s="1726"/>
      <c r="N74" s="275"/>
      <c r="O74" s="275"/>
      <c r="P74" s="275"/>
      <c r="Q74" s="275"/>
      <c r="R74" s="275"/>
      <c r="S74" s="275"/>
      <c r="T74" s="1726"/>
      <c r="U74" s="275"/>
      <c r="V74" s="275"/>
      <c r="W74" s="275"/>
      <c r="X74" s="275"/>
      <c r="Y74" s="275"/>
      <c r="Z74" s="275"/>
      <c r="AA74" s="1726"/>
      <c r="AB74" s="275"/>
      <c r="AC74" s="275"/>
      <c r="AD74" s="275"/>
      <c r="AE74" s="275"/>
      <c r="AF74" s="275"/>
      <c r="AG74" s="275"/>
      <c r="AH74" s="1726"/>
      <c r="AI74" s="275"/>
      <c r="AJ74" s="275"/>
      <c r="AK74" s="275"/>
      <c r="AL74" s="275"/>
      <c r="AM74" s="275"/>
      <c r="AN74" s="275"/>
      <c r="AO74" s="1726"/>
      <c r="AP74" s="275"/>
      <c r="AQ74" s="275"/>
      <c r="AR74" s="275"/>
      <c r="AS74" s="275"/>
      <c r="AT74" s="275"/>
      <c r="AU74" s="275"/>
      <c r="AV74" s="1726"/>
      <c r="AW74" s="275"/>
    </row>
    <row r="75" spans="1:65" ht="41.25" customHeight="1">
      <c r="A75" s="1815"/>
      <c r="B75" s="1088"/>
      <c r="C75" s="1815" t="s">
        <v>1504</v>
      </c>
      <c r="D75" s="1089"/>
      <c r="E75" s="2248"/>
      <c r="F75" s="1089"/>
      <c r="G75" s="2035" t="s">
        <v>73</v>
      </c>
      <c r="H75" s="1090"/>
      <c r="I75" s="1943" t="str">
        <f>MENU!$AC$9</f>
        <v>Thứ 3,</v>
      </c>
      <c r="J75" s="1090"/>
      <c r="K75" s="1090"/>
      <c r="L75" s="1944" t="str">
        <f>MENU!$AD$9</f>
        <v>2024/01/09</v>
      </c>
      <c r="M75" s="1722"/>
      <c r="N75" s="1091"/>
      <c r="O75" s="1091"/>
      <c r="P75" s="1091"/>
      <c r="Q75" s="1091"/>
      <c r="R75" s="1091"/>
      <c r="S75" s="1091"/>
      <c r="T75" s="1722"/>
      <c r="U75" s="1090"/>
      <c r="V75" s="1090"/>
      <c r="W75" s="1090"/>
      <c r="X75" s="1090"/>
      <c r="Y75" s="1090"/>
      <c r="Z75" s="1090"/>
      <c r="AA75" s="1729"/>
      <c r="AB75" s="1090"/>
      <c r="AC75" s="1090"/>
      <c r="AD75" s="2034" t="s">
        <v>128</v>
      </c>
      <c r="AE75" s="1090"/>
      <c r="AF75" s="1090"/>
      <c r="AG75" s="1090"/>
      <c r="AH75" s="1729"/>
      <c r="AI75" s="1090"/>
      <c r="AJ75" s="1085"/>
      <c r="AK75" s="1088"/>
      <c r="AL75" s="1092"/>
      <c r="AM75" s="1092"/>
      <c r="AN75" s="1092"/>
      <c r="AO75" s="1731"/>
      <c r="AP75" s="1092"/>
      <c r="AQ75" s="1092"/>
      <c r="AR75" s="1092"/>
      <c r="AS75" s="1092"/>
      <c r="AT75" s="1092"/>
      <c r="AU75" s="1092"/>
      <c r="AV75" s="1731"/>
      <c r="AW75" s="1093"/>
      <c r="AY75" s="3073" t="s">
        <v>1543</v>
      </c>
      <c r="AZ75" s="3073" t="s">
        <v>1009</v>
      </c>
      <c r="BA75" s="3073" t="s">
        <v>1008</v>
      </c>
      <c r="BB75" s="1082" t="s">
        <v>1034</v>
      </c>
      <c r="BC75" s="1082"/>
      <c r="BD75" s="1082"/>
      <c r="BE75" s="1082"/>
      <c r="BF75" s="1082"/>
      <c r="BG75" s="1082"/>
      <c r="BH75" s="1082"/>
      <c r="BI75" s="1082"/>
      <c r="BJ75" s="1082"/>
      <c r="BK75" s="1082"/>
      <c r="BL75" s="1082"/>
      <c r="BM75" s="1082"/>
    </row>
    <row r="76" spans="1:65" ht="28.5" customHeight="1">
      <c r="A76" s="1823"/>
      <c r="B76" s="1064"/>
      <c r="C76" s="2611"/>
      <c r="D76" s="2611"/>
      <c r="E76" s="2611"/>
      <c r="F76" s="2025"/>
      <c r="G76" s="2607" t="s">
        <v>126</v>
      </c>
      <c r="H76" s="87"/>
      <c r="I76" s="2617" t="s">
        <v>1489</v>
      </c>
      <c r="J76" s="2617"/>
      <c r="K76" s="2617"/>
      <c r="L76" s="2617"/>
      <c r="M76" s="2618"/>
      <c r="N76" s="2617"/>
      <c r="O76" s="88"/>
      <c r="P76" s="2619" t="s">
        <v>1479</v>
      </c>
      <c r="Q76" s="2617"/>
      <c r="R76" s="2617"/>
      <c r="S76" s="2617"/>
      <c r="T76" s="2618"/>
      <c r="U76" s="2620"/>
      <c r="V76" s="2617"/>
      <c r="W76" s="2617" t="s">
        <v>1480</v>
      </c>
      <c r="X76" s="2617"/>
      <c r="Y76" s="2617"/>
      <c r="Z76" s="2617"/>
      <c r="AA76" s="2618"/>
      <c r="AB76" s="2617"/>
      <c r="AC76" s="88"/>
      <c r="AD76" s="2619" t="s">
        <v>1481</v>
      </c>
      <c r="AE76" s="2617"/>
      <c r="AF76" s="2617"/>
      <c r="AG76" s="2617"/>
      <c r="AH76" s="2618"/>
      <c r="AI76" s="2620"/>
      <c r="AJ76" s="2617"/>
      <c r="AK76" s="279" t="s">
        <v>1482</v>
      </c>
      <c r="AL76" s="279"/>
      <c r="AM76" s="279"/>
      <c r="AN76" s="279"/>
      <c r="AO76" s="1723"/>
      <c r="AP76" s="279"/>
      <c r="AQ76" s="279"/>
      <c r="AR76" s="292" t="s">
        <v>1483</v>
      </c>
      <c r="AS76" s="279"/>
      <c r="AT76" s="279"/>
      <c r="AU76" s="280"/>
      <c r="AV76" s="1734"/>
      <c r="AW76" s="1035"/>
      <c r="AY76" s="3073"/>
      <c r="AZ76" s="3073"/>
      <c r="BA76" s="3073"/>
      <c r="BB76" s="1082"/>
      <c r="BC76" s="1082"/>
      <c r="BD76" s="1082"/>
      <c r="BE76" s="1082"/>
      <c r="BF76" s="1082"/>
      <c r="BG76" s="1082"/>
      <c r="BH76" s="1082"/>
      <c r="BI76" s="1082"/>
      <c r="BJ76" s="1082"/>
      <c r="BK76" s="1082"/>
      <c r="BL76" s="1082"/>
      <c r="BM76" s="1082"/>
    </row>
    <row r="77" spans="1:65" ht="67.5" customHeight="1">
      <c r="A77" s="1824" t="s">
        <v>239</v>
      </c>
      <c r="B77" s="1067" t="s">
        <v>318</v>
      </c>
      <c r="C77" s="2613" t="s">
        <v>317</v>
      </c>
      <c r="D77" s="2613" t="s">
        <v>125</v>
      </c>
      <c r="E77" s="1456" t="s">
        <v>1318</v>
      </c>
      <c r="F77" s="2589" t="s">
        <v>1317</v>
      </c>
      <c r="G77" s="2608"/>
      <c r="H77" s="20"/>
      <c r="I77" s="1861" t="s">
        <v>1466</v>
      </c>
      <c r="J77" s="1830" t="s">
        <v>1</v>
      </c>
      <c r="K77" s="2606" t="s">
        <v>1467</v>
      </c>
      <c r="L77" s="2606"/>
      <c r="M77" s="2604" t="s">
        <v>1527</v>
      </c>
      <c r="N77" s="2605"/>
      <c r="O77" s="89"/>
      <c r="P77" s="1861" t="s">
        <v>1466</v>
      </c>
      <c r="Q77" s="1830" t="s">
        <v>1</v>
      </c>
      <c r="R77" s="2606" t="s">
        <v>1467</v>
      </c>
      <c r="S77" s="2606"/>
      <c r="T77" s="2604" t="s">
        <v>1527</v>
      </c>
      <c r="U77" s="2605"/>
      <c r="V77" s="20"/>
      <c r="W77" s="1861" t="s">
        <v>1466</v>
      </c>
      <c r="X77" s="1830" t="s">
        <v>1</v>
      </c>
      <c r="Y77" s="2606" t="s">
        <v>1467</v>
      </c>
      <c r="Z77" s="2606"/>
      <c r="AA77" s="2604" t="s">
        <v>1527</v>
      </c>
      <c r="AB77" s="2605"/>
      <c r="AC77" s="89"/>
      <c r="AD77" s="1861" t="s">
        <v>1466</v>
      </c>
      <c r="AE77" s="1830" t="s">
        <v>1</v>
      </c>
      <c r="AF77" s="2606" t="s">
        <v>1467</v>
      </c>
      <c r="AG77" s="2606"/>
      <c r="AH77" s="2604" t="s">
        <v>1527</v>
      </c>
      <c r="AI77" s="2605"/>
      <c r="AJ77" s="89"/>
      <c r="AK77" s="2153" t="s">
        <v>1466</v>
      </c>
      <c r="AL77" s="1830" t="s">
        <v>1</v>
      </c>
      <c r="AM77" s="3089" t="s">
        <v>1467</v>
      </c>
      <c r="AN77" s="3089"/>
      <c r="AO77" s="3090" t="s">
        <v>1527</v>
      </c>
      <c r="AP77" s="3091"/>
      <c r="AQ77" s="89"/>
      <c r="AR77" s="1861" t="s">
        <v>1466</v>
      </c>
      <c r="AS77" s="1830" t="s">
        <v>1</v>
      </c>
      <c r="AT77" s="3089" t="s">
        <v>1467</v>
      </c>
      <c r="AU77" s="3089"/>
      <c r="AV77" s="3090" t="s">
        <v>1527</v>
      </c>
      <c r="AW77" s="3091"/>
      <c r="AY77" s="3073"/>
      <c r="AZ77" s="3073"/>
      <c r="BA77" s="3073"/>
      <c r="BB77" s="1082"/>
      <c r="BC77" s="1082"/>
      <c r="BD77" s="1082"/>
      <c r="BE77" s="1082"/>
      <c r="BF77" s="1082"/>
      <c r="BG77" s="1082"/>
      <c r="BH77" s="1082"/>
      <c r="BI77" s="1082"/>
      <c r="BJ77" s="1082"/>
      <c r="BK77" s="1082"/>
      <c r="BL77" s="1082"/>
      <c r="BM77" s="1082"/>
    </row>
    <row r="78" spans="1:65" ht="39.75" customHeight="1">
      <c r="A78" s="1946" t="s">
        <v>286</v>
      </c>
      <c r="B78" s="1947" t="s">
        <v>128</v>
      </c>
      <c r="C78" s="1987" t="s">
        <v>1510</v>
      </c>
      <c r="D78" s="1948" t="s">
        <v>4</v>
      </c>
      <c r="E78" s="1949" t="s">
        <v>1362</v>
      </c>
      <c r="F78" s="2027" t="s">
        <v>1345</v>
      </c>
      <c r="G78" s="1950">
        <v>50</v>
      </c>
      <c r="H78" s="1951">
        <f>XM.HN!B47</f>
        <v>8.1</v>
      </c>
      <c r="I78" s="2067">
        <f>H78*6.49</f>
        <v>52.569000000000003</v>
      </c>
      <c r="J78" s="2269">
        <f>($G$78-I78)*15517/1000</f>
        <v>-39.863173000000039</v>
      </c>
      <c r="K78" s="1954" t="s">
        <v>8</v>
      </c>
      <c r="L78" s="1955">
        <f t="shared" ref="L78:L94" si="12">IF(I78=0,0,IF(J78&lt;0,0,J78))</f>
        <v>0</v>
      </c>
      <c r="M78" s="2189" t="str">
        <f>IF('3.XT-C TT'!AB6="","",'3.XT-C TT'!AB6)</f>
        <v/>
      </c>
      <c r="N78" s="1957" t="s">
        <v>9</v>
      </c>
      <c r="O78" s="1958">
        <f>XM.HN!C47</f>
        <v>8</v>
      </c>
      <c r="P78" s="2067">
        <f>O78*6.49</f>
        <v>51.92</v>
      </c>
      <c r="Q78" s="1953">
        <f>($G$78-P78)*15517/1000</f>
        <v>-29.792640000000024</v>
      </c>
      <c r="R78" s="1954" t="s">
        <v>8</v>
      </c>
      <c r="S78" s="1955">
        <f t="shared" ref="S78:S94" si="13">IF(P78=0,0,IF(Q78&lt;0,0,Q78))</f>
        <v>0</v>
      </c>
      <c r="T78" s="2189" t="str">
        <f>IF('3.XT-C TT'!AF6="","",'3.XT-C TT'!AF6)</f>
        <v/>
      </c>
      <c r="U78" s="1957" t="s">
        <v>9</v>
      </c>
      <c r="V78" s="1958">
        <f>XM.HN!D47</f>
        <v>7.95</v>
      </c>
      <c r="W78" s="2067">
        <f>V78*6.49</f>
        <v>51.595500000000001</v>
      </c>
      <c r="X78" s="1953">
        <f>($G$78-W78)*15517/1000</f>
        <v>-24.757373500000021</v>
      </c>
      <c r="Y78" s="1954" t="s">
        <v>8</v>
      </c>
      <c r="Z78" s="1955">
        <f t="shared" ref="Z78:Z94" si="14">IF(W78=0,0,IF(X78&lt;0,0,X78))</f>
        <v>0</v>
      </c>
      <c r="AA78" s="2189" t="str">
        <f>IF('3.XT-C TT'!AJ6="","",'3.XT-C TT'!AJ6)</f>
        <v/>
      </c>
      <c r="AB78" s="1957" t="s">
        <v>9</v>
      </c>
      <c r="AC78" s="1958">
        <f>XM.HN!E47</f>
        <v>8</v>
      </c>
      <c r="AD78" s="2067">
        <f>AC78*6.49</f>
        <v>51.92</v>
      </c>
      <c r="AE78" s="1953">
        <f>($G$78-AD78)*15517/1000</f>
        <v>-29.792640000000024</v>
      </c>
      <c r="AF78" s="1954" t="s">
        <v>8</v>
      </c>
      <c r="AG78" s="1955">
        <f t="shared" ref="AG78:AG94" si="15">IF(AD78=0,0,IF(AE78&lt;0,0,AE78))</f>
        <v>0</v>
      </c>
      <c r="AH78" s="2189" t="str">
        <f>IF('3.XT-C TT(CA2)'!AB6="","",'3.XT-C TT(CA2)'!AB6)</f>
        <v/>
      </c>
      <c r="AI78" s="1957" t="s">
        <v>9</v>
      </c>
      <c r="AJ78" s="1958">
        <f>XM.HN!F47</f>
        <v>0</v>
      </c>
      <c r="AK78" s="2148">
        <f>AJ78*6.49</f>
        <v>0</v>
      </c>
      <c r="AL78" s="2149">
        <f>($G$78-AK78)*15517/1000</f>
        <v>775.85</v>
      </c>
      <c r="AM78" s="2150" t="s">
        <v>8</v>
      </c>
      <c r="AN78" s="2151">
        <f t="shared" ref="AN78:AN94" si="16">IF(AK78=0,0,IF(AL78&lt;0,0,AL78))</f>
        <v>0</v>
      </c>
      <c r="AO78" s="2189" t="str">
        <f>IF('3.XT-C TT(CA2)'!AF6="","",'3.XT-C TT(CA2)'!AF6)</f>
        <v/>
      </c>
      <c r="AP78" s="2152" t="s">
        <v>9</v>
      </c>
      <c r="AQ78" s="1958">
        <f>XM.HN!G47</f>
        <v>8</v>
      </c>
      <c r="AR78" s="2067">
        <f>AQ78*6.49</f>
        <v>51.92</v>
      </c>
      <c r="AS78" s="1953">
        <f>($G$78-AR78)*15517/1000</f>
        <v>-29.792640000000024</v>
      </c>
      <c r="AT78" s="1954" t="s">
        <v>8</v>
      </c>
      <c r="AU78" s="1955">
        <f t="shared" ref="AU78:AU94" si="17">IF(AR78=0,0,IF(AS78&lt;0,0,AS78))</f>
        <v>0</v>
      </c>
      <c r="AV78" s="2189" t="str">
        <f>IF('3.XT-C TT(CA2)'!AJ6="","",'3.XT-C TT(CA2)'!AJ6)</f>
        <v/>
      </c>
      <c r="AW78" s="1957" t="s">
        <v>9</v>
      </c>
      <c r="AY78" s="3077"/>
      <c r="AZ78" s="3077" t="s">
        <v>1012</v>
      </c>
      <c r="BA78" s="3094" t="s">
        <v>1315</v>
      </c>
      <c r="BB78" s="1082"/>
      <c r="BC78" s="1082"/>
      <c r="BD78" s="1082"/>
      <c r="BE78" s="1082"/>
      <c r="BF78" s="1082"/>
      <c r="BG78" s="1082"/>
      <c r="BH78" s="1082"/>
      <c r="BI78" s="1082"/>
      <c r="BJ78" s="1082"/>
      <c r="BK78" s="1082"/>
      <c r="BL78" s="1082"/>
      <c r="BM78" s="1082"/>
    </row>
    <row r="79" spans="1:65" ht="39.75" customHeight="1">
      <c r="A79" s="1971"/>
      <c r="B79" s="1972"/>
      <c r="C79" s="1986" t="s">
        <v>232</v>
      </c>
      <c r="D79" s="1974"/>
      <c r="E79" s="1975" t="s">
        <v>1514</v>
      </c>
      <c r="F79" s="2028"/>
      <c r="G79" s="1976"/>
      <c r="H79" s="1977"/>
      <c r="I79" s="1998"/>
      <c r="J79" s="2270"/>
      <c r="K79" s="1979" t="s">
        <v>8</v>
      </c>
      <c r="L79" s="1984">
        <f>L78/25*8.5</f>
        <v>0</v>
      </c>
      <c r="M79" s="2191" t="str">
        <f>IF('3.XT-C TT'!AB7="","",'3.XT-C TT'!AB7)</f>
        <v/>
      </c>
      <c r="N79" s="1981" t="s">
        <v>10</v>
      </c>
      <c r="O79" s="1982"/>
      <c r="P79" s="1998"/>
      <c r="Q79" s="1978"/>
      <c r="R79" s="1979" t="s">
        <v>8</v>
      </c>
      <c r="S79" s="1984">
        <f>S78/25*8.5</f>
        <v>0</v>
      </c>
      <c r="T79" s="2191" t="str">
        <f>IF('3.XT-C TT'!AF7="","",'3.XT-C TT'!AF7)</f>
        <v/>
      </c>
      <c r="U79" s="1981" t="s">
        <v>10</v>
      </c>
      <c r="V79" s="1982"/>
      <c r="W79" s="1998"/>
      <c r="X79" s="1978"/>
      <c r="Y79" s="1979" t="s">
        <v>8</v>
      </c>
      <c r="Z79" s="1984">
        <f>Z78/25*8.5</f>
        <v>0</v>
      </c>
      <c r="AA79" s="2191" t="str">
        <f>IF('3.XT-C TT'!AJ7="","",'3.XT-C TT'!AJ7)</f>
        <v/>
      </c>
      <c r="AB79" s="1981" t="s">
        <v>10</v>
      </c>
      <c r="AC79" s="1982"/>
      <c r="AD79" s="1998"/>
      <c r="AE79" s="1978"/>
      <c r="AF79" s="1979" t="s">
        <v>8</v>
      </c>
      <c r="AG79" s="1984">
        <f>AG78/25*8.5</f>
        <v>0</v>
      </c>
      <c r="AH79" s="2191" t="str">
        <f>IF('3.XT-C TT(CA2)'!AB7="","",'3.XT-C TT(CA2)'!AB7)</f>
        <v/>
      </c>
      <c r="AI79" s="1981" t="s">
        <v>10</v>
      </c>
      <c r="AJ79" s="1982"/>
      <c r="AK79" s="1998"/>
      <c r="AL79" s="1978"/>
      <c r="AM79" s="1979" t="s">
        <v>8</v>
      </c>
      <c r="AN79" s="1984">
        <f>AN78/25*8.5</f>
        <v>0</v>
      </c>
      <c r="AO79" s="2191" t="str">
        <f>IF('3.XT-C TT(CA2)'!AF7="","",'3.XT-C TT(CA2)'!AF7)</f>
        <v/>
      </c>
      <c r="AP79" s="1981" t="s">
        <v>10</v>
      </c>
      <c r="AQ79" s="1982"/>
      <c r="AR79" s="1998"/>
      <c r="AS79" s="1978"/>
      <c r="AT79" s="1979" t="s">
        <v>8</v>
      </c>
      <c r="AU79" s="1984">
        <f>AU78/25*8.5</f>
        <v>0</v>
      </c>
      <c r="AV79" s="2191" t="str">
        <f>IF('3.XT-C TT(CA2)'!AJ7="","",'3.XT-C TT(CA2)'!AJ7)</f>
        <v/>
      </c>
      <c r="AW79" s="1981" t="s">
        <v>10</v>
      </c>
      <c r="AY79" s="3078"/>
      <c r="AZ79" s="3078"/>
      <c r="BA79" s="3095"/>
      <c r="BB79" s="1082"/>
      <c r="BC79" s="1082"/>
      <c r="BD79" s="1082"/>
      <c r="BE79" s="1082"/>
      <c r="BF79" s="1082"/>
      <c r="BG79" s="1082"/>
      <c r="BH79" s="1082"/>
      <c r="BI79" s="1082"/>
      <c r="BJ79" s="1082"/>
      <c r="BK79" s="1082"/>
      <c r="BL79" s="1082"/>
      <c r="BM79" s="1082"/>
    </row>
    <row r="80" spans="1:65" ht="39.75" customHeight="1">
      <c r="A80" s="1946" t="s">
        <v>287</v>
      </c>
      <c r="B80" s="1947" t="s">
        <v>128</v>
      </c>
      <c r="C80" s="1987" t="s">
        <v>1511</v>
      </c>
      <c r="D80" s="1948" t="s">
        <v>4</v>
      </c>
      <c r="E80" s="1949" t="s">
        <v>1362</v>
      </c>
      <c r="F80" s="2027" t="s">
        <v>1345</v>
      </c>
      <c r="G80" s="1950">
        <v>50</v>
      </c>
      <c r="H80" s="1951">
        <f>XM.HN!B49</f>
        <v>7.75</v>
      </c>
      <c r="I80" s="2067">
        <f>H80*6.49</f>
        <v>50.297499999999999</v>
      </c>
      <c r="J80" s="2269">
        <f>($G$80-I80)*11475/1000</f>
        <v>-3.4138124999999935</v>
      </c>
      <c r="K80" s="1954" t="s">
        <v>8</v>
      </c>
      <c r="L80" s="1955">
        <f t="shared" si="12"/>
        <v>0</v>
      </c>
      <c r="M80" s="2189" t="str">
        <f>IF('3.XT-C TT'!AB8="","",'3.XT-C TT'!AB8)</f>
        <v/>
      </c>
      <c r="N80" s="1957" t="s">
        <v>9</v>
      </c>
      <c r="O80" s="1958">
        <f>XM.HN!C49</f>
        <v>7.75</v>
      </c>
      <c r="P80" s="2067">
        <f>O80*6.49</f>
        <v>50.297499999999999</v>
      </c>
      <c r="Q80" s="1953">
        <f>($G$80-P80)*11475/1000</f>
        <v>-3.4138124999999935</v>
      </c>
      <c r="R80" s="1954" t="s">
        <v>8</v>
      </c>
      <c r="S80" s="1955">
        <f t="shared" si="13"/>
        <v>0</v>
      </c>
      <c r="T80" s="2189" t="str">
        <f>IF('3.XT-C TT'!AF8="","",'3.XT-C TT'!AF8)</f>
        <v/>
      </c>
      <c r="U80" s="1957" t="s">
        <v>9</v>
      </c>
      <c r="V80" s="1958">
        <f>XM.HN!D49</f>
        <v>7.75</v>
      </c>
      <c r="W80" s="2067">
        <f>V80*6.49</f>
        <v>50.297499999999999</v>
      </c>
      <c r="X80" s="1953">
        <f>($G$80-W80)*11475/1000</f>
        <v>-3.4138124999999935</v>
      </c>
      <c r="Y80" s="1954" t="s">
        <v>8</v>
      </c>
      <c r="Z80" s="1955">
        <f t="shared" si="14"/>
        <v>0</v>
      </c>
      <c r="AA80" s="2189" t="str">
        <f>IF('3.XT-C TT'!AJ8="","",'3.XT-C TT'!AJ8)</f>
        <v/>
      </c>
      <c r="AB80" s="1957" t="s">
        <v>9</v>
      </c>
      <c r="AC80" s="1958">
        <f>XM.HN!E49</f>
        <v>7.8</v>
      </c>
      <c r="AD80" s="2067">
        <f>AC80*6.49</f>
        <v>50.622</v>
      </c>
      <c r="AE80" s="1953">
        <f>($G$80-AD80)*11475/1000</f>
        <v>-7.1374499999999985</v>
      </c>
      <c r="AF80" s="1954" t="s">
        <v>8</v>
      </c>
      <c r="AG80" s="1955">
        <f t="shared" si="15"/>
        <v>0</v>
      </c>
      <c r="AH80" s="2189" t="str">
        <f>IF('3.XT-C TT(CA2)'!AB8="","",'3.XT-C TT(CA2)'!AB8)</f>
        <v/>
      </c>
      <c r="AI80" s="1957" t="s">
        <v>9</v>
      </c>
      <c r="AJ80" s="1958">
        <f>XM.HN!F49</f>
        <v>0</v>
      </c>
      <c r="AK80" s="2067">
        <f>AJ80*6.49</f>
        <v>0</v>
      </c>
      <c r="AL80" s="1953">
        <f>($G$80-AK80)*11475/1000</f>
        <v>573.75</v>
      </c>
      <c r="AM80" s="1954" t="s">
        <v>8</v>
      </c>
      <c r="AN80" s="1955">
        <f t="shared" si="16"/>
        <v>0</v>
      </c>
      <c r="AO80" s="2189" t="str">
        <f>IF('3.XT-C TT(CA2)'!AF8="","",'3.XT-C TT(CA2)'!AF8)</f>
        <v/>
      </c>
      <c r="AP80" s="1957" t="s">
        <v>9</v>
      </c>
      <c r="AQ80" s="1958">
        <f>XM.HN!G49</f>
        <v>7.9</v>
      </c>
      <c r="AR80" s="2067">
        <f>AQ80*6.49</f>
        <v>51.271000000000001</v>
      </c>
      <c r="AS80" s="1953">
        <f>($G$80-AR80)*11475/1000</f>
        <v>-14.584725000000009</v>
      </c>
      <c r="AT80" s="1954" t="s">
        <v>8</v>
      </c>
      <c r="AU80" s="1955">
        <f t="shared" si="17"/>
        <v>0</v>
      </c>
      <c r="AV80" s="2189" t="str">
        <f>IF('3.XT-C TT(CA2)'!AJ8="","",'3.XT-C TT(CA2)'!AJ8)</f>
        <v/>
      </c>
      <c r="AW80" s="1957" t="s">
        <v>9</v>
      </c>
      <c r="AY80" s="3077"/>
      <c r="AZ80" s="3077" t="s">
        <v>1012</v>
      </c>
      <c r="BA80" s="3095"/>
      <c r="BB80" s="1082"/>
      <c r="BC80" s="1082"/>
      <c r="BD80" s="1082"/>
      <c r="BE80" s="1082"/>
      <c r="BF80" s="1082"/>
      <c r="BG80" s="1082"/>
      <c r="BH80" s="1082"/>
      <c r="BI80" s="1082"/>
      <c r="BJ80" s="1082"/>
      <c r="BK80" s="1082"/>
      <c r="BL80" s="1082"/>
      <c r="BM80" s="1082"/>
    </row>
    <row r="81" spans="1:65" ht="39.75" customHeight="1">
      <c r="A81" s="1971"/>
      <c r="B81" s="1972"/>
      <c r="C81" s="1986" t="s">
        <v>232</v>
      </c>
      <c r="D81" s="1974"/>
      <c r="E81" s="1975" t="s">
        <v>1514</v>
      </c>
      <c r="F81" s="2028"/>
      <c r="G81" s="1976"/>
      <c r="H81" s="1977"/>
      <c r="I81" s="1998"/>
      <c r="J81" s="2270"/>
      <c r="K81" s="1979" t="s">
        <v>8</v>
      </c>
      <c r="L81" s="1984">
        <f>L80/25*8.5</f>
        <v>0</v>
      </c>
      <c r="M81" s="2191" t="str">
        <f>IF('3.XT-C TT'!AB9="","",'3.XT-C TT'!AB9)</f>
        <v/>
      </c>
      <c r="N81" s="1981" t="s">
        <v>10</v>
      </c>
      <c r="O81" s="1982"/>
      <c r="P81" s="1998"/>
      <c r="Q81" s="1978"/>
      <c r="R81" s="1979" t="s">
        <v>8</v>
      </c>
      <c r="S81" s="1984">
        <f>S80/25*8.5</f>
        <v>0</v>
      </c>
      <c r="T81" s="2191" t="str">
        <f>IF('3.XT-C TT'!AF9="","",'3.XT-C TT'!AF9)</f>
        <v/>
      </c>
      <c r="U81" s="1981" t="s">
        <v>10</v>
      </c>
      <c r="V81" s="1982"/>
      <c r="W81" s="1998"/>
      <c r="X81" s="1978"/>
      <c r="Y81" s="1979" t="s">
        <v>8</v>
      </c>
      <c r="Z81" s="1984">
        <f>Z80/25*8.5</f>
        <v>0</v>
      </c>
      <c r="AA81" s="2191" t="str">
        <f>IF('3.XT-C TT'!AJ9="","",'3.XT-C TT'!AJ9)</f>
        <v/>
      </c>
      <c r="AB81" s="1981" t="s">
        <v>10</v>
      </c>
      <c r="AC81" s="1982"/>
      <c r="AD81" s="1998"/>
      <c r="AE81" s="1978"/>
      <c r="AF81" s="1979" t="s">
        <v>8</v>
      </c>
      <c r="AG81" s="1984">
        <f>AG80/25*8.5</f>
        <v>0</v>
      </c>
      <c r="AH81" s="2191" t="str">
        <f>IF('3.XT-C TT(CA2)'!AB9="","",'3.XT-C TT(CA2)'!AB9)</f>
        <v/>
      </c>
      <c r="AI81" s="1981" t="s">
        <v>10</v>
      </c>
      <c r="AJ81" s="1982"/>
      <c r="AK81" s="1998"/>
      <c r="AL81" s="1978"/>
      <c r="AM81" s="1979" t="s">
        <v>8</v>
      </c>
      <c r="AN81" s="1984">
        <f>AN80/25*8.5</f>
        <v>0</v>
      </c>
      <c r="AO81" s="2191" t="str">
        <f>IF('3.XT-C TT(CA2)'!AF9="","",'3.XT-C TT(CA2)'!AF9)</f>
        <v/>
      </c>
      <c r="AP81" s="1981" t="s">
        <v>10</v>
      </c>
      <c r="AQ81" s="1982"/>
      <c r="AR81" s="1998"/>
      <c r="AS81" s="1978"/>
      <c r="AT81" s="1979" t="s">
        <v>8</v>
      </c>
      <c r="AU81" s="1984">
        <f>AU80/25*8.5</f>
        <v>0</v>
      </c>
      <c r="AV81" s="2191" t="str">
        <f>IF('3.XT-C TT(CA2)'!AJ9="","",'3.XT-C TT(CA2)'!AJ9)</f>
        <v/>
      </c>
      <c r="AW81" s="1981" t="s">
        <v>10</v>
      </c>
      <c r="AY81" s="3078"/>
      <c r="AZ81" s="3078"/>
      <c r="BA81" s="3095"/>
      <c r="BB81" s="1082"/>
      <c r="BC81" s="1082"/>
      <c r="BD81" s="1082"/>
      <c r="BE81" s="1082"/>
      <c r="BF81" s="1082"/>
      <c r="BG81" s="1082"/>
      <c r="BH81" s="1082"/>
      <c r="BI81" s="1082"/>
      <c r="BJ81" s="1082"/>
      <c r="BK81" s="1082"/>
      <c r="BL81" s="1082"/>
      <c r="BM81" s="1082"/>
    </row>
    <row r="82" spans="1:65" ht="39.75" customHeight="1">
      <c r="A82" s="1946" t="s">
        <v>288</v>
      </c>
      <c r="B82" s="1947" t="s">
        <v>128</v>
      </c>
      <c r="C82" s="1987" t="s">
        <v>1512</v>
      </c>
      <c r="D82" s="1948" t="s">
        <v>4</v>
      </c>
      <c r="E82" s="1949" t="s">
        <v>1358</v>
      </c>
      <c r="F82" s="2027" t="s">
        <v>1339</v>
      </c>
      <c r="G82" s="1950">
        <v>60</v>
      </c>
      <c r="H82" s="1951">
        <f>XM.HN!B51</f>
        <v>13.75</v>
      </c>
      <c r="I82" s="2067">
        <f>H82*4.62</f>
        <v>63.524999999999999</v>
      </c>
      <c r="J82" s="2269">
        <f>($G$82-I82)*8200/1000</f>
        <v>-28.90499999999999</v>
      </c>
      <c r="K82" s="1954" t="s">
        <v>8</v>
      </c>
      <c r="L82" s="1955">
        <f t="shared" si="12"/>
        <v>0</v>
      </c>
      <c r="M82" s="2189" t="str">
        <f>IF('3.XT-C TT'!AB10="","",'3.XT-C TT'!AB10)</f>
        <v/>
      </c>
      <c r="N82" s="1957" t="s">
        <v>9</v>
      </c>
      <c r="O82" s="1958">
        <f>XM.HN!C51</f>
        <v>13.7</v>
      </c>
      <c r="P82" s="2067">
        <f>O82*4.62</f>
        <v>63.293999999999997</v>
      </c>
      <c r="Q82" s="1953">
        <f>($G$82-P82)*8200/1000</f>
        <v>-27.010799999999975</v>
      </c>
      <c r="R82" s="1954" t="s">
        <v>8</v>
      </c>
      <c r="S82" s="1955">
        <f t="shared" si="13"/>
        <v>0</v>
      </c>
      <c r="T82" s="2189" t="str">
        <f>IF('3.XT-C TT'!AF10="","",'3.XT-C TT'!AF10)</f>
        <v/>
      </c>
      <c r="U82" s="1957" t="s">
        <v>9</v>
      </c>
      <c r="V82" s="1958">
        <f>XM.HN!D51</f>
        <v>13.4</v>
      </c>
      <c r="W82" s="2067">
        <f>V82*4.62</f>
        <v>61.908000000000001</v>
      </c>
      <c r="X82" s="1953">
        <f>($G$82-W82)*8200/1000</f>
        <v>-15.645600000000009</v>
      </c>
      <c r="Y82" s="1954" t="s">
        <v>8</v>
      </c>
      <c r="Z82" s="1955">
        <f t="shared" si="14"/>
        <v>0</v>
      </c>
      <c r="AA82" s="2189" t="str">
        <f>IF('3.XT-C TT'!AJ10="","",'3.XT-C TT'!AJ10)</f>
        <v/>
      </c>
      <c r="AB82" s="1957" t="s">
        <v>9</v>
      </c>
      <c r="AC82" s="1958">
        <f>XM.HN!E51</f>
        <v>13.4</v>
      </c>
      <c r="AD82" s="2067">
        <f>AC82*4.62</f>
        <v>61.908000000000001</v>
      </c>
      <c r="AE82" s="1953">
        <f>($G$82-AD82)*8200/1000</f>
        <v>-15.645600000000009</v>
      </c>
      <c r="AF82" s="1954" t="s">
        <v>8</v>
      </c>
      <c r="AG82" s="1955">
        <f t="shared" si="15"/>
        <v>0</v>
      </c>
      <c r="AH82" s="2189" t="str">
        <f>IF('3.XT-C TT(CA2)'!AB10="","",'3.XT-C TT(CA2)'!AB10)</f>
        <v/>
      </c>
      <c r="AI82" s="1957" t="s">
        <v>9</v>
      </c>
      <c r="AJ82" s="1958">
        <f>XM.HN!F51</f>
        <v>0</v>
      </c>
      <c r="AK82" s="2067">
        <f>AJ82*4.62</f>
        <v>0</v>
      </c>
      <c r="AL82" s="1953">
        <f>($G$82-AK82)*8200/1000</f>
        <v>492</v>
      </c>
      <c r="AM82" s="1954" t="s">
        <v>8</v>
      </c>
      <c r="AN82" s="1955">
        <f t="shared" si="16"/>
        <v>0</v>
      </c>
      <c r="AO82" s="2189" t="str">
        <f>IF('3.XT-C TT(CA2)'!AF10="","",'3.XT-C TT(CA2)'!AF10)</f>
        <v/>
      </c>
      <c r="AP82" s="1957" t="s">
        <v>9</v>
      </c>
      <c r="AQ82" s="1958">
        <f>XM.HN!G51</f>
        <v>13.3</v>
      </c>
      <c r="AR82" s="2067">
        <f>AQ82*4.62</f>
        <v>61.446000000000005</v>
      </c>
      <c r="AS82" s="1953">
        <f>($G$82-AR82)*8200/1000</f>
        <v>-11.857200000000041</v>
      </c>
      <c r="AT82" s="1954" t="s">
        <v>8</v>
      </c>
      <c r="AU82" s="1955">
        <f t="shared" si="17"/>
        <v>0</v>
      </c>
      <c r="AV82" s="2189" t="str">
        <f>IF('3.XT-C TT(CA2)'!AJ10="","",'3.XT-C TT(CA2)'!AJ10)</f>
        <v/>
      </c>
      <c r="AW82" s="1957" t="s">
        <v>9</v>
      </c>
      <c r="AY82" s="3077"/>
      <c r="AZ82" s="3077" t="s">
        <v>1012</v>
      </c>
      <c r="BA82" s="3095"/>
      <c r="BB82" s="1082"/>
      <c r="BC82" s="1082"/>
      <c r="BD82" s="1082"/>
      <c r="BE82" s="1082"/>
      <c r="BF82" s="1082"/>
      <c r="BG82" s="1082"/>
      <c r="BH82" s="1082"/>
      <c r="BI82" s="1082"/>
      <c r="BJ82" s="1082"/>
      <c r="BK82" s="1082"/>
      <c r="BL82" s="1082"/>
      <c r="BM82" s="1082"/>
    </row>
    <row r="83" spans="1:65" ht="39.75" customHeight="1">
      <c r="A83" s="1971"/>
      <c r="B83" s="1972"/>
      <c r="C83" s="1986" t="s">
        <v>234</v>
      </c>
      <c r="D83" s="1974"/>
      <c r="E83" s="1975" t="s">
        <v>1518</v>
      </c>
      <c r="F83" s="2028"/>
      <c r="G83" s="1976"/>
      <c r="H83" s="1977"/>
      <c r="I83" s="1998"/>
      <c r="J83" s="2270"/>
      <c r="K83" s="1979" t="s">
        <v>8</v>
      </c>
      <c r="L83" s="1984">
        <f>L82/25*8</f>
        <v>0</v>
      </c>
      <c r="M83" s="2191" t="str">
        <f>IF('3.XT-C TT'!AB11="","",'3.XT-C TT'!AB11)</f>
        <v/>
      </c>
      <c r="N83" s="1981" t="s">
        <v>10</v>
      </c>
      <c r="O83" s="1982"/>
      <c r="P83" s="1998"/>
      <c r="Q83" s="1978"/>
      <c r="R83" s="1979" t="s">
        <v>8</v>
      </c>
      <c r="S83" s="1984">
        <f>S82/25*8</f>
        <v>0</v>
      </c>
      <c r="T83" s="2191" t="str">
        <f>IF('3.XT-C TT'!AF11="","",'3.XT-C TT'!AF11)</f>
        <v/>
      </c>
      <c r="U83" s="1981" t="s">
        <v>10</v>
      </c>
      <c r="V83" s="1982"/>
      <c r="W83" s="1998"/>
      <c r="X83" s="1978"/>
      <c r="Y83" s="1979" t="s">
        <v>8</v>
      </c>
      <c r="Z83" s="1984">
        <f>Z82/25*8</f>
        <v>0</v>
      </c>
      <c r="AA83" s="2191" t="str">
        <f>IF('3.XT-C TT'!AJ11="","",'3.XT-C TT'!AJ11)</f>
        <v/>
      </c>
      <c r="AB83" s="1981" t="s">
        <v>10</v>
      </c>
      <c r="AC83" s="1982"/>
      <c r="AD83" s="1998"/>
      <c r="AE83" s="1978"/>
      <c r="AF83" s="1979" t="s">
        <v>8</v>
      </c>
      <c r="AG83" s="1984">
        <f>AG82/25*8</f>
        <v>0</v>
      </c>
      <c r="AH83" s="2191" t="str">
        <f>IF('3.XT-C TT(CA2)'!AB11="","",'3.XT-C TT(CA2)'!AB11)</f>
        <v/>
      </c>
      <c r="AI83" s="1981" t="s">
        <v>10</v>
      </c>
      <c r="AJ83" s="1982"/>
      <c r="AK83" s="1998"/>
      <c r="AL83" s="1978"/>
      <c r="AM83" s="1979" t="s">
        <v>8</v>
      </c>
      <c r="AN83" s="1984">
        <f>AN82/25*8</f>
        <v>0</v>
      </c>
      <c r="AO83" s="2191" t="str">
        <f>IF('3.XT-C TT(CA2)'!AF11="","",'3.XT-C TT(CA2)'!AF11)</f>
        <v/>
      </c>
      <c r="AP83" s="1981" t="s">
        <v>10</v>
      </c>
      <c r="AQ83" s="1982"/>
      <c r="AR83" s="1998"/>
      <c r="AS83" s="1978"/>
      <c r="AT83" s="1979" t="s">
        <v>8</v>
      </c>
      <c r="AU83" s="1984">
        <f>AU82/25*8</f>
        <v>0</v>
      </c>
      <c r="AV83" s="2191" t="str">
        <f>IF('3.XT-C TT(CA2)'!AJ11="","",'3.XT-C TT(CA2)'!AJ11)</f>
        <v/>
      </c>
      <c r="AW83" s="1981" t="s">
        <v>10</v>
      </c>
      <c r="AY83" s="3078"/>
      <c r="AZ83" s="3078"/>
      <c r="BA83" s="3095"/>
      <c r="BB83" s="1082"/>
      <c r="BC83" s="1082"/>
      <c r="BD83" s="1082"/>
      <c r="BE83" s="1082"/>
      <c r="BF83" s="1082"/>
      <c r="BG83" s="1082"/>
      <c r="BH83" s="1082"/>
      <c r="BI83" s="1082"/>
      <c r="BJ83" s="1082"/>
      <c r="BK83" s="1082"/>
      <c r="BL83" s="1082"/>
      <c r="BM83" s="1082"/>
    </row>
    <row r="84" spans="1:65" ht="39.75" customHeight="1">
      <c r="A84" s="1946" t="s">
        <v>289</v>
      </c>
      <c r="B84" s="1947" t="s">
        <v>128</v>
      </c>
      <c r="C84" s="1987" t="s">
        <v>1513</v>
      </c>
      <c r="D84" s="1948" t="s">
        <v>4</v>
      </c>
      <c r="E84" s="1949" t="s">
        <v>1358</v>
      </c>
      <c r="F84" s="2027" t="s">
        <v>1339</v>
      </c>
      <c r="G84" s="1950">
        <v>60</v>
      </c>
      <c r="H84" s="1951">
        <f>XM.HN!B53</f>
        <v>13.35</v>
      </c>
      <c r="I84" s="2067">
        <f>H84*4.62</f>
        <v>61.677</v>
      </c>
      <c r="J84" s="2269">
        <f>($G$84-I84)*8668/1000</f>
        <v>-14.536235999999997</v>
      </c>
      <c r="K84" s="1954" t="s">
        <v>8</v>
      </c>
      <c r="L84" s="1955">
        <f t="shared" si="12"/>
        <v>0</v>
      </c>
      <c r="M84" s="2189" t="str">
        <f>IF('3.XT-C TT'!AB12="","",'3.XT-C TT'!AB12)</f>
        <v/>
      </c>
      <c r="N84" s="1957" t="s">
        <v>9</v>
      </c>
      <c r="O84" s="1958">
        <f>XM.HN!C53</f>
        <v>13.65</v>
      </c>
      <c r="P84" s="2067">
        <f>O84*4.62</f>
        <v>63.063000000000002</v>
      </c>
      <c r="Q84" s="1953">
        <f>($G$84-P84)*8668/1000</f>
        <v>-26.55008400000002</v>
      </c>
      <c r="R84" s="1954" t="s">
        <v>8</v>
      </c>
      <c r="S84" s="1955">
        <f t="shared" si="13"/>
        <v>0</v>
      </c>
      <c r="T84" s="2189" t="str">
        <f>IF('3.XT-C TT'!AF12="","",'3.XT-C TT'!AF12)</f>
        <v/>
      </c>
      <c r="U84" s="1957" t="s">
        <v>9</v>
      </c>
      <c r="V84" s="1958">
        <f>XM.HN!D53</f>
        <v>13.1</v>
      </c>
      <c r="W84" s="2067">
        <f>V84*4.62</f>
        <v>60.521999999999998</v>
      </c>
      <c r="X84" s="1953">
        <f>($G$84-W84)*8668/1000</f>
        <v>-4.5246959999999863</v>
      </c>
      <c r="Y84" s="1954" t="s">
        <v>8</v>
      </c>
      <c r="Z84" s="1955">
        <f t="shared" si="14"/>
        <v>0</v>
      </c>
      <c r="AA84" s="2189" t="str">
        <f>IF('3.XT-C TT'!AJ12="","",'3.XT-C TT'!AJ12)</f>
        <v/>
      </c>
      <c r="AB84" s="1957" t="s">
        <v>9</v>
      </c>
      <c r="AC84" s="1958">
        <f>XM.HN!E53</f>
        <v>13</v>
      </c>
      <c r="AD84" s="2067">
        <f>AC84*4.62</f>
        <v>60.06</v>
      </c>
      <c r="AE84" s="1953">
        <f>($G$84-AD84)*8668/1000</f>
        <v>-0.52008000000001975</v>
      </c>
      <c r="AF84" s="1954" t="s">
        <v>8</v>
      </c>
      <c r="AG84" s="1955">
        <f t="shared" si="15"/>
        <v>0</v>
      </c>
      <c r="AH84" s="2189" t="str">
        <f>IF('3.XT-C TT(CA2)'!AB12="","",'3.XT-C TT(CA2)'!AB12)</f>
        <v/>
      </c>
      <c r="AI84" s="1957" t="s">
        <v>9</v>
      </c>
      <c r="AJ84" s="1958">
        <f>XM.HN!F53</f>
        <v>0</v>
      </c>
      <c r="AK84" s="2067">
        <f>AJ84*4.62</f>
        <v>0</v>
      </c>
      <c r="AL84" s="1953">
        <f>($G$84-AK84)*8668/1000</f>
        <v>520.08000000000004</v>
      </c>
      <c r="AM84" s="1954" t="s">
        <v>8</v>
      </c>
      <c r="AN84" s="1955">
        <f t="shared" si="16"/>
        <v>0</v>
      </c>
      <c r="AO84" s="2189" t="str">
        <f>IF('3.XT-C TT(CA2)'!AF12="","",'3.XT-C TT(CA2)'!AF12)</f>
        <v/>
      </c>
      <c r="AP84" s="1957" t="s">
        <v>9</v>
      </c>
      <c r="AQ84" s="1958">
        <f>XM.HN!G53</f>
        <v>13</v>
      </c>
      <c r="AR84" s="2067">
        <f>AQ84*4.62</f>
        <v>60.06</v>
      </c>
      <c r="AS84" s="1953">
        <f>($G$84-AR84)*8668/1000</f>
        <v>-0.52008000000001975</v>
      </c>
      <c r="AT84" s="1954" t="s">
        <v>8</v>
      </c>
      <c r="AU84" s="1955">
        <f t="shared" si="17"/>
        <v>0</v>
      </c>
      <c r="AV84" s="2189" t="str">
        <f>IF('3.XT-C TT(CA2)'!AJ12="","",'3.XT-C TT(CA2)'!AJ12)</f>
        <v/>
      </c>
      <c r="AW84" s="1957" t="s">
        <v>9</v>
      </c>
      <c r="AY84" s="3077"/>
      <c r="AZ84" s="3077" t="s">
        <v>1012</v>
      </c>
      <c r="BA84" s="3096"/>
      <c r="BB84" s="1082"/>
      <c r="BC84" s="1082"/>
      <c r="BD84" s="1082"/>
      <c r="BE84" s="1082"/>
      <c r="BF84" s="1082"/>
      <c r="BG84" s="1082"/>
      <c r="BH84" s="1082"/>
      <c r="BI84" s="1082"/>
      <c r="BJ84" s="1082"/>
      <c r="BK84" s="1082"/>
      <c r="BL84" s="1082"/>
      <c r="BM84" s="1082"/>
    </row>
    <row r="85" spans="1:65" ht="39.75" customHeight="1">
      <c r="A85" s="1971"/>
      <c r="B85" s="1972"/>
      <c r="C85" s="1986" t="s">
        <v>234</v>
      </c>
      <c r="D85" s="1974"/>
      <c r="E85" s="1975" t="s">
        <v>1287</v>
      </c>
      <c r="F85" s="2028"/>
      <c r="G85" s="1976"/>
      <c r="H85" s="1977"/>
      <c r="I85" s="1998"/>
      <c r="J85" s="2270"/>
      <c r="K85" s="1979" t="s">
        <v>8</v>
      </c>
      <c r="L85" s="1984">
        <f>L84/25*8</f>
        <v>0</v>
      </c>
      <c r="M85" s="2191" t="str">
        <f>IF('3.XT-C TT'!AB13="","",'3.XT-C TT'!AB13)</f>
        <v/>
      </c>
      <c r="N85" s="1981" t="s">
        <v>10</v>
      </c>
      <c r="O85" s="1982"/>
      <c r="P85" s="1998"/>
      <c r="Q85" s="1978"/>
      <c r="R85" s="1979" t="s">
        <v>8</v>
      </c>
      <c r="S85" s="1984">
        <f>S84/25*8</f>
        <v>0</v>
      </c>
      <c r="T85" s="2191" t="str">
        <f>IF('3.XT-C TT'!AF13="","",'3.XT-C TT'!AF13)</f>
        <v/>
      </c>
      <c r="U85" s="1981" t="s">
        <v>10</v>
      </c>
      <c r="V85" s="1982"/>
      <c r="W85" s="1998"/>
      <c r="X85" s="1978"/>
      <c r="Y85" s="1979" t="s">
        <v>8</v>
      </c>
      <c r="Z85" s="1984">
        <f>Z84/25*8</f>
        <v>0</v>
      </c>
      <c r="AA85" s="2191" t="str">
        <f>IF('3.XT-C TT'!AJ13="","",'3.XT-C TT'!AJ13)</f>
        <v/>
      </c>
      <c r="AB85" s="1981" t="s">
        <v>10</v>
      </c>
      <c r="AC85" s="1982"/>
      <c r="AD85" s="1998"/>
      <c r="AE85" s="1978"/>
      <c r="AF85" s="1979" t="s">
        <v>8</v>
      </c>
      <c r="AG85" s="1984">
        <f>AG84/25*8</f>
        <v>0</v>
      </c>
      <c r="AH85" s="2191" t="str">
        <f>IF('3.XT-C TT(CA2)'!AB13="","",'3.XT-C TT(CA2)'!AB13)</f>
        <v/>
      </c>
      <c r="AI85" s="1981" t="s">
        <v>10</v>
      </c>
      <c r="AJ85" s="1982"/>
      <c r="AK85" s="1998"/>
      <c r="AL85" s="1978"/>
      <c r="AM85" s="1979" t="s">
        <v>8</v>
      </c>
      <c r="AN85" s="1984">
        <f>AN84/25*8</f>
        <v>0</v>
      </c>
      <c r="AO85" s="2191" t="str">
        <f>IF('3.XT-C TT(CA2)'!AF13="","",'3.XT-C TT(CA2)'!AF13)</f>
        <v/>
      </c>
      <c r="AP85" s="1981" t="s">
        <v>10</v>
      </c>
      <c r="AQ85" s="1982"/>
      <c r="AR85" s="1998"/>
      <c r="AS85" s="1978"/>
      <c r="AT85" s="1979" t="s">
        <v>8</v>
      </c>
      <c r="AU85" s="1984">
        <f>AU84/25*8</f>
        <v>0</v>
      </c>
      <c r="AV85" s="2191" t="str">
        <f>IF('3.XT-C TT(CA2)'!AJ13="","",'3.XT-C TT(CA2)'!AJ13)</f>
        <v/>
      </c>
      <c r="AW85" s="1981" t="s">
        <v>10</v>
      </c>
      <c r="AY85" s="3078"/>
      <c r="AZ85" s="3078"/>
      <c r="BA85" s="1698"/>
      <c r="BB85" s="1082"/>
      <c r="BC85" s="1082"/>
      <c r="BD85" s="1082"/>
      <c r="BE85" s="1082"/>
      <c r="BF85" s="1082"/>
      <c r="BG85" s="1082"/>
      <c r="BH85" s="1082"/>
      <c r="BI85" s="1082"/>
      <c r="BJ85" s="1082"/>
      <c r="BK85" s="1082"/>
      <c r="BL85" s="1082"/>
      <c r="BM85" s="1082"/>
    </row>
    <row r="86" spans="1:65" ht="39.75" customHeight="1">
      <c r="A86" s="1818" t="s">
        <v>290</v>
      </c>
      <c r="B86" s="1068" t="s">
        <v>128</v>
      </c>
      <c r="C86" s="107" t="s">
        <v>81</v>
      </c>
      <c r="D86" s="2600" t="s">
        <v>4</v>
      </c>
      <c r="E86" s="48" t="s">
        <v>1363</v>
      </c>
      <c r="F86" s="2029" t="s">
        <v>1340</v>
      </c>
      <c r="G86" s="1395">
        <v>140</v>
      </c>
      <c r="H86" s="92">
        <f>XM.HN!B55</f>
        <v>17.95</v>
      </c>
      <c r="I86" s="1852">
        <f>H86*8</f>
        <v>143.6</v>
      </c>
      <c r="J86" s="1844">
        <f>($G$86-I86)*53066/1000</f>
        <v>-191.03759999999968</v>
      </c>
      <c r="K86" s="1845" t="s">
        <v>8</v>
      </c>
      <c r="L86" s="1865">
        <f t="shared" si="12"/>
        <v>0</v>
      </c>
      <c r="M86" s="2192" t="str">
        <f>IF('3.XT-C TT'!AB14="","",'3.XT-C TT'!AB14)</f>
        <v/>
      </c>
      <c r="N86" s="1847" t="s">
        <v>9</v>
      </c>
      <c r="O86" s="92">
        <f>XM.HN!C55</f>
        <v>18.100000000000001</v>
      </c>
      <c r="P86" s="1852">
        <f>O86*8</f>
        <v>144.80000000000001</v>
      </c>
      <c r="Q86" s="1844">
        <f>($G$86-P86)*53066/1000</f>
        <v>-254.7168000000006</v>
      </c>
      <c r="R86" s="1845" t="s">
        <v>8</v>
      </c>
      <c r="S86" s="1865">
        <f t="shared" si="13"/>
        <v>0</v>
      </c>
      <c r="T86" s="2192" t="str">
        <f>IF('3.XT-C TT'!AF14="","",'3.XT-C TT'!AF14)</f>
        <v/>
      </c>
      <c r="U86" s="1847" t="s">
        <v>9</v>
      </c>
      <c r="V86" s="20">
        <f>XM.HN!D55</f>
        <v>17.899999999999999</v>
      </c>
      <c r="W86" s="1852">
        <f>V86*8</f>
        <v>143.19999999999999</v>
      </c>
      <c r="X86" s="1844">
        <f>($G$86-W86)*53066/1000</f>
        <v>-169.81119999999939</v>
      </c>
      <c r="Y86" s="1845" t="s">
        <v>8</v>
      </c>
      <c r="Z86" s="1865">
        <f t="shared" si="14"/>
        <v>0</v>
      </c>
      <c r="AA86" s="2192" t="str">
        <f>IF('3.XT-C TT'!AJ14="","",'3.XT-C TT'!AJ14)</f>
        <v/>
      </c>
      <c r="AB86" s="1847" t="s">
        <v>9</v>
      </c>
      <c r="AC86" s="89">
        <f>XM.HN!E55</f>
        <v>17.8</v>
      </c>
      <c r="AD86" s="1852">
        <f>AC86*8</f>
        <v>142.4</v>
      </c>
      <c r="AE86" s="1844">
        <f>($G$86-AD86)*53066/1000</f>
        <v>-127.3584000000003</v>
      </c>
      <c r="AF86" s="1845" t="s">
        <v>8</v>
      </c>
      <c r="AG86" s="1865">
        <f t="shared" si="15"/>
        <v>0</v>
      </c>
      <c r="AH86" s="2192" t="str">
        <f>IF('3.XT-C TT(CA2)'!AB14="","",'3.XT-C TT(CA2)'!AB14)</f>
        <v/>
      </c>
      <c r="AI86" s="1847" t="s">
        <v>9</v>
      </c>
      <c r="AJ86" s="89">
        <f>XM.HN!F55</f>
        <v>0</v>
      </c>
      <c r="AK86" s="1852">
        <f>AJ86*8</f>
        <v>0</v>
      </c>
      <c r="AL86" s="1844">
        <f>($G$86-AK86)*53066/1000</f>
        <v>7429.24</v>
      </c>
      <c r="AM86" s="1845" t="s">
        <v>8</v>
      </c>
      <c r="AN86" s="1865">
        <f t="shared" si="16"/>
        <v>0</v>
      </c>
      <c r="AO86" s="2192" t="str">
        <f>IF('3.XT-C TT(CA2)'!AF14="","",'3.XT-C TT(CA2)'!AF14)</f>
        <v/>
      </c>
      <c r="AP86" s="1847" t="s">
        <v>9</v>
      </c>
      <c r="AQ86" s="89">
        <f>XM.HN!G55</f>
        <v>17.8</v>
      </c>
      <c r="AR86" s="1852">
        <f>AQ86*8</f>
        <v>142.4</v>
      </c>
      <c r="AS86" s="1844">
        <f>($G$86-AR86)*53066/1000</f>
        <v>-127.3584000000003</v>
      </c>
      <c r="AT86" s="1845" t="s">
        <v>8</v>
      </c>
      <c r="AU86" s="1865">
        <f t="shared" si="17"/>
        <v>0</v>
      </c>
      <c r="AV86" s="2192" t="str">
        <f>IF('3.XT-C TT(CA2)'!AJ14="","",'3.XT-C TT(CA2)'!AJ14)</f>
        <v/>
      </c>
      <c r="AW86" s="1847" t="s">
        <v>9</v>
      </c>
      <c r="AY86" s="2370"/>
      <c r="AZ86" s="2372" t="s">
        <v>1012</v>
      </c>
      <c r="BA86" s="1449" t="s">
        <v>1314</v>
      </c>
      <c r="BB86" s="1082"/>
      <c r="BC86" s="1082"/>
      <c r="BD86" s="1082"/>
      <c r="BE86" s="1082"/>
      <c r="BF86" s="1082"/>
      <c r="BG86" s="1082"/>
      <c r="BH86" s="1082"/>
      <c r="BI86" s="1082"/>
      <c r="BJ86" s="1082"/>
      <c r="BK86" s="1082"/>
      <c r="BL86" s="1082"/>
      <c r="BM86" s="1082"/>
    </row>
    <row r="87" spans="1:65" ht="39.75" customHeight="1">
      <c r="A87" s="1080" t="s">
        <v>291</v>
      </c>
      <c r="B87" s="1068" t="s">
        <v>128</v>
      </c>
      <c r="C87" s="2594" t="s">
        <v>82</v>
      </c>
      <c r="D87" s="2600" t="s">
        <v>4</v>
      </c>
      <c r="E87" s="48" t="s">
        <v>1569</v>
      </c>
      <c r="F87" s="2029" t="s">
        <v>1546</v>
      </c>
      <c r="G87" s="1395">
        <v>8.5</v>
      </c>
      <c r="H87" s="92">
        <f>XM.HN!B56</f>
        <v>6.6</v>
      </c>
      <c r="I87" s="2067">
        <f>H87*1.3</f>
        <v>8.58</v>
      </c>
      <c r="J87" s="1844">
        <f>($G$87-I87)*53066/1000</f>
        <v>-4.2452800000000037</v>
      </c>
      <c r="K87" s="1845" t="s">
        <v>8</v>
      </c>
      <c r="L87" s="1865">
        <f t="shared" si="12"/>
        <v>0</v>
      </c>
      <c r="M87" s="2192" t="str">
        <f>IF('3.XT-C TT'!AB15="","",'3.XT-C TT'!AB15)</f>
        <v/>
      </c>
      <c r="N87" s="1847" t="s">
        <v>9</v>
      </c>
      <c r="O87" s="92">
        <f>XM.HN!C56</f>
        <v>6.4</v>
      </c>
      <c r="P87" s="2067">
        <f>O87*1.3</f>
        <v>8.32</v>
      </c>
      <c r="Q87" s="1844">
        <f>($G$87-P87)*53066/1000</f>
        <v>9.5518799999999846</v>
      </c>
      <c r="R87" s="1845" t="s">
        <v>8</v>
      </c>
      <c r="S87" s="1865">
        <f t="shared" si="13"/>
        <v>9.5518799999999846</v>
      </c>
      <c r="T87" s="2192" t="str">
        <f>IF('3.XT-C TT'!AF15="","",'3.XT-C TT'!AF15)</f>
        <v/>
      </c>
      <c r="U87" s="1847" t="s">
        <v>9</v>
      </c>
      <c r="V87" s="20">
        <f>XM.HN!D56</f>
        <v>6.45</v>
      </c>
      <c r="W87" s="2067">
        <f>V87*1.3</f>
        <v>8.3849999999999998</v>
      </c>
      <c r="X87" s="1844">
        <f>($G$87-W87)*53066/1000</f>
        <v>6.1025900000000108</v>
      </c>
      <c r="Y87" s="1845" t="s">
        <v>8</v>
      </c>
      <c r="Z87" s="1865">
        <f t="shared" si="14"/>
        <v>6.1025900000000108</v>
      </c>
      <c r="AA87" s="2192" t="str">
        <f>IF('3.XT-C TT'!AJ15="","",'3.XT-C TT'!AJ15)</f>
        <v/>
      </c>
      <c r="AB87" s="1847" t="s">
        <v>9</v>
      </c>
      <c r="AC87" s="89">
        <f>XM.HN!E56</f>
        <v>6.5</v>
      </c>
      <c r="AD87" s="2067">
        <f>AC87*1.3</f>
        <v>8.4500000000000011</v>
      </c>
      <c r="AE87" s="1844">
        <f>($G$87-AD87)*53066/1000</f>
        <v>2.6532999999999434</v>
      </c>
      <c r="AF87" s="1845" t="s">
        <v>8</v>
      </c>
      <c r="AG87" s="1865">
        <f t="shared" si="15"/>
        <v>2.6532999999999434</v>
      </c>
      <c r="AH87" s="2192" t="str">
        <f>IF('3.XT-C TT(CA2)'!AB15="","",'3.XT-C TT(CA2)'!AB15)</f>
        <v/>
      </c>
      <c r="AI87" s="1847" t="s">
        <v>9</v>
      </c>
      <c r="AJ87" s="89">
        <f>XM.HN!F56</f>
        <v>0</v>
      </c>
      <c r="AK87" s="2067">
        <f>AJ87*1.3</f>
        <v>0</v>
      </c>
      <c r="AL87" s="1844">
        <f>($G$87-AK87)*53066/1000</f>
        <v>451.06099999999998</v>
      </c>
      <c r="AM87" s="1845" t="s">
        <v>8</v>
      </c>
      <c r="AN87" s="1865">
        <f t="shared" si="16"/>
        <v>0</v>
      </c>
      <c r="AO87" s="2192" t="str">
        <f>IF('3.XT-C TT(CA2)'!AF15="","",'3.XT-C TT(CA2)'!AF15)</f>
        <v/>
      </c>
      <c r="AP87" s="1847" t="s">
        <v>9</v>
      </c>
      <c r="AQ87" s="89">
        <f>XM.HN!G56</f>
        <v>6.5</v>
      </c>
      <c r="AR87" s="2067">
        <f>AQ87*1.3</f>
        <v>8.4500000000000011</v>
      </c>
      <c r="AS87" s="1844">
        <f>($G$87-AR87)*53066/1000</f>
        <v>2.6532999999999434</v>
      </c>
      <c r="AT87" s="1845" t="s">
        <v>8</v>
      </c>
      <c r="AU87" s="1865">
        <f t="shared" si="17"/>
        <v>2.6532999999999434</v>
      </c>
      <c r="AV87" s="2192" t="str">
        <f>IF('3.XT-C TT(CA2)'!AJ15="","",'3.XT-C TT(CA2)'!AJ15)</f>
        <v/>
      </c>
      <c r="AW87" s="1837" t="s">
        <v>9</v>
      </c>
      <c r="AY87" s="2376" t="s">
        <v>1547</v>
      </c>
      <c r="AZ87" s="2372" t="s">
        <v>1012</v>
      </c>
      <c r="BA87" s="1094" t="s">
        <v>1030</v>
      </c>
      <c r="BB87" s="1082"/>
      <c r="BC87" s="1082"/>
      <c r="BD87" s="1082"/>
      <c r="BE87" s="1082"/>
      <c r="BF87" s="1082"/>
      <c r="BG87" s="1082"/>
      <c r="BH87" s="1082"/>
      <c r="BI87" s="1082"/>
      <c r="BJ87" s="1082"/>
      <c r="BK87" s="1082"/>
      <c r="BL87" s="1082"/>
      <c r="BM87" s="1082"/>
    </row>
    <row r="88" spans="1:65" ht="39.75" customHeight="1">
      <c r="A88" s="1819" t="s">
        <v>292</v>
      </c>
      <c r="B88" s="1068" t="s">
        <v>128</v>
      </c>
      <c r="C88" s="2612" t="s">
        <v>1616</v>
      </c>
      <c r="D88" s="2591" t="s">
        <v>3</v>
      </c>
      <c r="E88" s="48" t="s">
        <v>1360</v>
      </c>
      <c r="F88" s="2029" t="s">
        <v>1344</v>
      </c>
      <c r="G88" s="1395">
        <v>6</v>
      </c>
      <c r="H88" s="92">
        <f>XM.HN!B57</f>
        <v>17.7</v>
      </c>
      <c r="I88" s="1838">
        <f>(H88*0.4237)-1.0461</f>
        <v>6.4533899999999997</v>
      </c>
      <c r="J88" s="1844">
        <f>($G$88-I88)*3360/100</f>
        <v>-15.23390399999999</v>
      </c>
      <c r="K88" s="1845" t="s">
        <v>8</v>
      </c>
      <c r="L88" s="1865">
        <f>IF(I88=-1.0461,0,IF(J88&lt;0,0,J88))</f>
        <v>0</v>
      </c>
      <c r="M88" s="2192" t="str">
        <f>IF('3.XT-C TT'!AB16="","",'3.XT-C TT'!AB16)</f>
        <v/>
      </c>
      <c r="N88" s="1847" t="s">
        <v>10</v>
      </c>
      <c r="O88" s="89">
        <f>XM.HN!C57</f>
        <v>17.649999999999999</v>
      </c>
      <c r="P88" s="1838">
        <f>(O88*0.4237)-1.0461</f>
        <v>6.4322049999999997</v>
      </c>
      <c r="Q88" s="1844">
        <f>($G$88-P88)*3360/100</f>
        <v>-14.522087999999989</v>
      </c>
      <c r="R88" s="1845" t="s">
        <v>8</v>
      </c>
      <c r="S88" s="1865">
        <f>IF(P88=-1.0461,0,IF(Q88&lt;0,0,Q88))</f>
        <v>0</v>
      </c>
      <c r="T88" s="2192" t="str">
        <f>IF('3.XT-C TT'!AF16="","",'3.XT-C TT'!AF16)</f>
        <v/>
      </c>
      <c r="U88" s="1847" t="s">
        <v>10</v>
      </c>
      <c r="V88" s="20">
        <f>XM.HN!D57</f>
        <v>17</v>
      </c>
      <c r="W88" s="1838">
        <f>(V88*0.4237)-1.0461</f>
        <v>6.1568000000000005</v>
      </c>
      <c r="X88" s="1844">
        <f>($G$88-W88)*3360/100</f>
        <v>-5.2684800000000163</v>
      </c>
      <c r="Y88" s="1845" t="s">
        <v>8</v>
      </c>
      <c r="Z88" s="1865">
        <f>IF(W88=-1.0461,0,IF(X88&lt;0,0,X88))</f>
        <v>0</v>
      </c>
      <c r="AA88" s="2192" t="str">
        <f>IF('3.XT-C TT'!AJ16="","",'3.XT-C TT'!AJ16)</f>
        <v/>
      </c>
      <c r="AB88" s="1847" t="s">
        <v>10</v>
      </c>
      <c r="AC88" s="89">
        <f>XM.HN!E57</f>
        <v>18.3</v>
      </c>
      <c r="AD88" s="1838">
        <f>(AC88*0.4237)-1.0461</f>
        <v>6.7076100000000007</v>
      </c>
      <c r="AE88" s="1844">
        <f>($G$88-AD88)*3360/100</f>
        <v>-23.775696000000025</v>
      </c>
      <c r="AF88" s="1845" t="s">
        <v>8</v>
      </c>
      <c r="AG88" s="1865">
        <f>IF(AD88=-1.0461,0,IF(AE88&lt;0,0,AE88))</f>
        <v>0</v>
      </c>
      <c r="AH88" s="2192" t="str">
        <f>IF('3.XT-C TT(CA2)'!AB16="","",'3.XT-C TT(CA2)'!AB16)</f>
        <v/>
      </c>
      <c r="AI88" s="1847" t="s">
        <v>10</v>
      </c>
      <c r="AJ88" s="89">
        <f>XM.HN!F57</f>
        <v>0</v>
      </c>
      <c r="AK88" s="1838">
        <f>(AJ88*0.4237)-1.0461</f>
        <v>-1.0461</v>
      </c>
      <c r="AL88" s="1844">
        <f>($G$88-AK88)*3360/100</f>
        <v>236.74896000000001</v>
      </c>
      <c r="AM88" s="1845" t="s">
        <v>8</v>
      </c>
      <c r="AN88" s="1865">
        <f>IF(AK88=-1.0461,0,IF(AL88&lt;0,0,AL88))</f>
        <v>0</v>
      </c>
      <c r="AO88" s="2192" t="str">
        <f>IF('3.XT-C TT(CA2)'!AF16="","",'3.XT-C TT(CA2)'!AF16)</f>
        <v/>
      </c>
      <c r="AP88" s="1847" t="s">
        <v>10</v>
      </c>
      <c r="AQ88" s="89">
        <f>XM.HN!G57</f>
        <v>17.899999999999999</v>
      </c>
      <c r="AR88" s="1838">
        <f>(AQ88*0.4237)-1.0461</f>
        <v>6.5381299999999998</v>
      </c>
      <c r="AS88" s="1844">
        <f>($G$88-AR88)*3360/100</f>
        <v>-18.081167999999995</v>
      </c>
      <c r="AT88" s="1845" t="s">
        <v>8</v>
      </c>
      <c r="AU88" s="1865">
        <f>IF(AR88=-1.0461,0,IF(AS88&lt;0,0,AS88))</f>
        <v>0</v>
      </c>
      <c r="AV88" s="2192" t="str">
        <f>IF('3.XT-C TT(CA2)'!AJ16="","",'3.XT-C TT(CA2)'!AJ16)</f>
        <v/>
      </c>
      <c r="AW88" s="1847" t="s">
        <v>10</v>
      </c>
      <c r="AY88" s="2370"/>
      <c r="AZ88" s="2372" t="s">
        <v>1012</v>
      </c>
      <c r="BA88" s="1449" t="s">
        <v>1316</v>
      </c>
      <c r="BB88" s="1082"/>
      <c r="BC88" s="1082"/>
      <c r="BD88" s="1082"/>
      <c r="BE88" s="1082"/>
      <c r="BF88" s="1082"/>
      <c r="BG88" s="1082"/>
      <c r="BH88" s="1082"/>
      <c r="BI88" s="1082"/>
      <c r="BJ88" s="1082"/>
      <c r="BK88" s="1082"/>
      <c r="BL88" s="1082"/>
      <c r="BM88" s="1082"/>
    </row>
    <row r="89" spans="1:65" ht="39.75" customHeight="1">
      <c r="A89" s="1080" t="s">
        <v>293</v>
      </c>
      <c r="B89" s="1068" t="s">
        <v>128</v>
      </c>
      <c r="C89" s="2501" t="str">
        <f>MENU!AE44</f>
        <v>Pha mới: 2023/12/08</v>
      </c>
      <c r="D89" s="2591" t="s">
        <v>5</v>
      </c>
      <c r="E89" s="48" t="s">
        <v>1331</v>
      </c>
      <c r="F89" s="2019" t="s">
        <v>1571</v>
      </c>
      <c r="G89" s="1397"/>
      <c r="H89" s="92"/>
      <c r="I89" s="2456">
        <f>XM.HN!B66</f>
        <v>2.2999999999999998</v>
      </c>
      <c r="J89" s="1840"/>
      <c r="K89" s="1841"/>
      <c r="L89" s="1865">
        <f t="shared" si="12"/>
        <v>0</v>
      </c>
      <c r="M89" s="2192" t="str">
        <f>IF('3.XT-C TT'!AB17="","",'3.XT-C TT'!AB17)</f>
        <v/>
      </c>
      <c r="N89" s="1842"/>
      <c r="O89" s="92"/>
      <c r="P89" s="2456">
        <f>XM.HN!C66</f>
        <v>2.2400000000000002</v>
      </c>
      <c r="Q89" s="1848"/>
      <c r="R89" s="1848"/>
      <c r="S89" s="1865">
        <f t="shared" si="13"/>
        <v>0</v>
      </c>
      <c r="T89" s="2192" t="str">
        <f>IF('3.XT-C TT'!AF17="","",'3.XT-C TT'!AF17)</f>
        <v/>
      </c>
      <c r="U89" s="1853"/>
      <c r="V89" s="20"/>
      <c r="W89" s="2456">
        <f>XM.HN!D66</f>
        <v>2.2999999999999998</v>
      </c>
      <c r="X89" s="1848"/>
      <c r="Y89" s="1848"/>
      <c r="Z89" s="1865">
        <f t="shared" si="14"/>
        <v>0</v>
      </c>
      <c r="AA89" s="2192" t="str">
        <f>IF('3.XT-C TT'!AJ17="","",'3.XT-C TT'!AJ17)</f>
        <v/>
      </c>
      <c r="AB89" s="1853"/>
      <c r="AC89" s="89"/>
      <c r="AD89" s="2456">
        <f>XM.HN!E66</f>
        <v>2.2000000000000002</v>
      </c>
      <c r="AE89" s="1848"/>
      <c r="AF89" s="1848"/>
      <c r="AG89" s="1865">
        <f t="shared" si="15"/>
        <v>0</v>
      </c>
      <c r="AH89" s="2192" t="str">
        <f>IF('3.XT-C TT(CA2)'!AB17="","",'3.XT-C TT(CA2)'!AB17)</f>
        <v/>
      </c>
      <c r="AI89" s="1853"/>
      <c r="AJ89" s="89"/>
      <c r="AK89" s="2456">
        <f>XM.HN!F66</f>
        <v>0</v>
      </c>
      <c r="AL89" s="1848"/>
      <c r="AM89" s="1848"/>
      <c r="AN89" s="1865">
        <f t="shared" si="16"/>
        <v>0</v>
      </c>
      <c r="AO89" s="2192" t="str">
        <f>IF('3.XT-C TT(CA2)'!AF17="","",'3.XT-C TT(CA2)'!AF17)</f>
        <v/>
      </c>
      <c r="AP89" s="1853"/>
      <c r="AQ89" s="89"/>
      <c r="AR89" s="2456">
        <f>XM.HN!G66</f>
        <v>2.2000000000000002</v>
      </c>
      <c r="AS89" s="1870"/>
      <c r="AT89" s="1841"/>
      <c r="AU89" s="1865">
        <f t="shared" si="17"/>
        <v>0</v>
      </c>
      <c r="AV89" s="2192" t="str">
        <f>IF('3.XT-C TT(CA2)'!AJ17="","",'3.XT-C TT(CA2)'!AJ17)</f>
        <v/>
      </c>
      <c r="AW89" s="1880"/>
      <c r="AY89" s="2370"/>
      <c r="AZ89" s="2373"/>
      <c r="BA89" s="1080"/>
      <c r="BB89" s="1082"/>
      <c r="BC89" s="1082"/>
      <c r="BD89" s="1082"/>
      <c r="BE89" s="1082"/>
      <c r="BF89" s="1082"/>
      <c r="BG89" s="1082"/>
      <c r="BH89" s="1082"/>
      <c r="BI89" s="1082"/>
      <c r="BJ89" s="1082"/>
      <c r="BK89" s="1082"/>
      <c r="BL89" s="1082"/>
      <c r="BM89" s="1082"/>
    </row>
    <row r="90" spans="1:65" ht="39.75" customHeight="1">
      <c r="A90" s="1820" t="s">
        <v>294</v>
      </c>
      <c r="B90" s="1068" t="s">
        <v>128</v>
      </c>
      <c r="C90" s="107" t="s">
        <v>1601</v>
      </c>
      <c r="D90" s="2600" t="s">
        <v>6</v>
      </c>
      <c r="E90" s="13" t="s">
        <v>1364</v>
      </c>
      <c r="F90" s="2029" t="s">
        <v>1342</v>
      </c>
      <c r="G90" s="1398">
        <v>0.45</v>
      </c>
      <c r="H90" s="92">
        <f>XM.HN!B59</f>
        <v>2.1800000000000002</v>
      </c>
      <c r="I90" s="1854">
        <f>(1*H90*36.5)/(0.5*10)/32%/100</f>
        <v>0.49731250000000005</v>
      </c>
      <c r="J90" s="1844">
        <f>($G$90-I90)*3361</f>
        <v>-159.01731250000012</v>
      </c>
      <c r="K90" s="1845" t="s">
        <v>8</v>
      </c>
      <c r="L90" s="1865">
        <f t="shared" si="12"/>
        <v>0</v>
      </c>
      <c r="M90" s="2192" t="str">
        <f>IF('3.XT-C TT'!AB18="","",'3.XT-C TT'!AB18)</f>
        <v/>
      </c>
      <c r="N90" s="1851" t="s">
        <v>10</v>
      </c>
      <c r="O90" s="104">
        <f>XM.HN!C59</f>
        <v>2.14</v>
      </c>
      <c r="P90" s="1854">
        <f>(1*O90*36.5)/(0.5*10)/32%/100</f>
        <v>0.4881875</v>
      </c>
      <c r="Q90" s="1874">
        <f>($G$90-P90)*6723</f>
        <v>-256.73456249999992</v>
      </c>
      <c r="R90" s="1875" t="s">
        <v>8</v>
      </c>
      <c r="S90" s="1865">
        <f t="shared" si="13"/>
        <v>0</v>
      </c>
      <c r="T90" s="2192" t="str">
        <f>IF('3.XT-C TT'!AF18="","",'3.XT-C TT'!AF18)</f>
        <v/>
      </c>
      <c r="U90" s="1866" t="s">
        <v>10</v>
      </c>
      <c r="V90" s="1037">
        <f>XM.HN!D59</f>
        <v>2.1</v>
      </c>
      <c r="W90" s="1854">
        <f>(1*V90*36.5)/(0.5*10)/32%/100</f>
        <v>0.47906250000000006</v>
      </c>
      <c r="X90" s="1874">
        <f>($G$90-W90)*6723</f>
        <v>-195.38718750000032</v>
      </c>
      <c r="Y90" s="1875" t="s">
        <v>8</v>
      </c>
      <c r="Z90" s="1865">
        <f t="shared" si="14"/>
        <v>0</v>
      </c>
      <c r="AA90" s="2192" t="str">
        <f>IF('3.XT-C TT'!AJ18="","",'3.XT-C TT'!AJ18)</f>
        <v/>
      </c>
      <c r="AB90" s="1866" t="s">
        <v>10</v>
      </c>
      <c r="AC90" s="1037">
        <f>XM.HN!E59</f>
        <v>2.1800000000000002</v>
      </c>
      <c r="AD90" s="1854">
        <f>(1*AC90*36.5)/(0.5*10)/32%/100</f>
        <v>0.49731250000000005</v>
      </c>
      <c r="AE90" s="1874">
        <f>($G$90-AD90)*6723</f>
        <v>-318.08193750000021</v>
      </c>
      <c r="AF90" s="1875" t="s">
        <v>8</v>
      </c>
      <c r="AG90" s="1865">
        <f t="shared" si="15"/>
        <v>0</v>
      </c>
      <c r="AH90" s="2192" t="str">
        <f>IF('3.XT-C TT(CA2)'!AB18="","",'3.XT-C TT(CA2)'!AB18)</f>
        <v/>
      </c>
      <c r="AI90" s="1866" t="s">
        <v>10</v>
      </c>
      <c r="AJ90" s="1502">
        <f>XM.HN!F59</f>
        <v>0</v>
      </c>
      <c r="AK90" s="1854">
        <f>(1*AJ90*36.5)/(0.5*10)/32%/100</f>
        <v>0</v>
      </c>
      <c r="AL90" s="1874">
        <f>($G$90-AK90)*6723</f>
        <v>3025.35</v>
      </c>
      <c r="AM90" s="1875" t="s">
        <v>8</v>
      </c>
      <c r="AN90" s="1865">
        <f t="shared" si="16"/>
        <v>0</v>
      </c>
      <c r="AO90" s="2192" t="str">
        <f>IF('3.XT-C TT(CA2)'!AF18="","",'3.XT-C TT(CA2)'!AF18)</f>
        <v/>
      </c>
      <c r="AP90" s="1866" t="s">
        <v>10</v>
      </c>
      <c r="AQ90" s="1502">
        <f>XM.HN!G59</f>
        <v>2.14</v>
      </c>
      <c r="AR90" s="1854">
        <f>(1*AQ90*36.5)/(0.5*10)/32%/100</f>
        <v>0.4881875</v>
      </c>
      <c r="AS90" s="1830">
        <f>($G$90-AR90)*6723</f>
        <v>-256.73456249999992</v>
      </c>
      <c r="AT90" s="1831" t="s">
        <v>8</v>
      </c>
      <c r="AU90" s="1865">
        <f t="shared" si="17"/>
        <v>0</v>
      </c>
      <c r="AV90" s="2192" t="str">
        <f>IF('3.XT-C TT(CA2)'!AJ18="","",'3.XT-C TT(CA2)'!AJ18)</f>
        <v/>
      </c>
      <c r="AW90" s="1832" t="s">
        <v>10</v>
      </c>
      <c r="AY90" s="2370"/>
      <c r="AZ90" s="2371" t="s">
        <v>1015</v>
      </c>
      <c r="BA90" s="3102" t="s">
        <v>1019</v>
      </c>
      <c r="BB90" s="1082"/>
      <c r="BC90" s="1082"/>
      <c r="BD90" s="1082"/>
      <c r="BE90" s="1082"/>
      <c r="BF90" s="1082"/>
      <c r="BG90" s="1082"/>
      <c r="BH90" s="1082"/>
      <c r="BI90" s="1082"/>
      <c r="BJ90" s="1082"/>
      <c r="BK90" s="1082"/>
      <c r="BL90" s="1082"/>
      <c r="BM90" s="1082"/>
    </row>
    <row r="91" spans="1:65" ht="39.75" customHeight="1">
      <c r="A91" s="2495"/>
      <c r="B91" s="2489"/>
      <c r="C91" s="107" t="s">
        <v>1602</v>
      </c>
      <c r="D91" s="2600" t="s">
        <v>6</v>
      </c>
      <c r="E91" s="13" t="s">
        <v>1364</v>
      </c>
      <c r="F91" s="2029" t="s">
        <v>1342</v>
      </c>
      <c r="G91" s="1398">
        <v>0.45</v>
      </c>
      <c r="H91" s="92">
        <f>XM.HN!B60</f>
        <v>2.02</v>
      </c>
      <c r="I91" s="1854">
        <f>(1*H91*36.5)/(0.5*10)/32%/100</f>
        <v>0.46081249999999996</v>
      </c>
      <c r="J91" s="1844">
        <f>($G$90-I91)*3361</f>
        <v>-36.340812499999821</v>
      </c>
      <c r="K91" s="1845" t="s">
        <v>8</v>
      </c>
      <c r="L91" s="1865">
        <f t="shared" ref="L91" si="18">IF(I91=0,0,IF(J91&lt;0,0,J91))</f>
        <v>0</v>
      </c>
      <c r="M91" s="2192" t="str">
        <f>IF('3.XT-C TT'!AB20="","",'3.XT-C TT'!AB20)</f>
        <v/>
      </c>
      <c r="N91" s="1851" t="s">
        <v>10</v>
      </c>
      <c r="O91" s="104">
        <f>XM.HN!C60</f>
        <v>1.98</v>
      </c>
      <c r="P91" s="1854">
        <f>(1*O91*36.5)/(0.5*10)/32%/100</f>
        <v>0.45168749999999996</v>
      </c>
      <c r="Q91" s="1874">
        <f>($G$90-P91)*6723</f>
        <v>-11.345062499999683</v>
      </c>
      <c r="R91" s="1875" t="s">
        <v>8</v>
      </c>
      <c r="S91" s="1865">
        <f t="shared" ref="S91" si="19">IF(P91=0,0,IF(Q91&lt;0,0,Q91))</f>
        <v>0</v>
      </c>
      <c r="T91" s="2192" t="str">
        <f>IF('3.XT-C TT'!AF20="","",'3.XT-C TT'!AF20)</f>
        <v/>
      </c>
      <c r="U91" s="1866" t="s">
        <v>10</v>
      </c>
      <c r="V91" s="1037">
        <f>XM.HN!D60</f>
        <v>2</v>
      </c>
      <c r="W91" s="1854">
        <f>(1*V91*36.5)/(0.5*10)/32%/100</f>
        <v>0.45624999999999999</v>
      </c>
      <c r="X91" s="1874">
        <f>($G$90-W91)*6723</f>
        <v>-42.018749999999848</v>
      </c>
      <c r="Y91" s="1875" t="s">
        <v>8</v>
      </c>
      <c r="Z91" s="1865">
        <f t="shared" ref="Z91" si="20">IF(W91=0,0,IF(X91&lt;0,0,X91))</f>
        <v>0</v>
      </c>
      <c r="AA91" s="2192" t="str">
        <f>IF('3.XT-C TT'!AJ20="","",'3.XT-C TT'!AJ20)</f>
        <v/>
      </c>
      <c r="AB91" s="1866" t="s">
        <v>10</v>
      </c>
      <c r="AC91" s="1037">
        <f>XM.HN!E60</f>
        <v>2.04</v>
      </c>
      <c r="AD91" s="1854">
        <f>(1*AC91*36.5)/(0.5*10)/32%/100</f>
        <v>0.46537500000000004</v>
      </c>
      <c r="AE91" s="1874">
        <f>($G$90-AD91)*6723</f>
        <v>-103.36612500000018</v>
      </c>
      <c r="AF91" s="1875" t="s">
        <v>8</v>
      </c>
      <c r="AG91" s="1865">
        <f t="shared" ref="AG91" si="21">IF(AD91=0,0,IF(AE91&lt;0,0,AE91))</f>
        <v>0</v>
      </c>
      <c r="AH91" s="2192" t="str">
        <f>IF('3.XT-C TT(CA2)'!AB20="","",'3.XT-C TT(CA2)'!AB20)</f>
        <v/>
      </c>
      <c r="AI91" s="1866" t="s">
        <v>10</v>
      </c>
      <c r="AJ91" s="1502">
        <f>XM.HN!F60</f>
        <v>0</v>
      </c>
      <c r="AK91" s="1854">
        <f>(1*AJ91*36.5)/(0.5*10)/32%/100</f>
        <v>0</v>
      </c>
      <c r="AL91" s="1874">
        <f>($G$90-AK91)*6723</f>
        <v>3025.35</v>
      </c>
      <c r="AM91" s="1875" t="s">
        <v>8</v>
      </c>
      <c r="AN91" s="1865">
        <f t="shared" ref="AN91" si="22">IF(AK91=0,0,IF(AL91&lt;0,0,AL91))</f>
        <v>0</v>
      </c>
      <c r="AO91" s="2192" t="str">
        <f>IF('3.XT-C TT(CA2)'!AF20="","",'3.XT-C TT(CA2)'!AF20)</f>
        <v/>
      </c>
      <c r="AP91" s="1866" t="s">
        <v>10</v>
      </c>
      <c r="AQ91" s="1502">
        <f>XM.HN!G60</f>
        <v>1.96</v>
      </c>
      <c r="AR91" s="1854">
        <f>(1*AQ91*36.5)/(0.5*10)/32%/100</f>
        <v>0.44712499999999994</v>
      </c>
      <c r="AS91" s="1830">
        <f>($G$90-AR91)*6723</f>
        <v>19.328625000000482</v>
      </c>
      <c r="AT91" s="1831" t="s">
        <v>8</v>
      </c>
      <c r="AU91" s="1865">
        <f t="shared" ref="AU91" si="23">IF(AR91=0,0,IF(AS91&lt;0,0,AS91))</f>
        <v>19.328625000000482</v>
      </c>
      <c r="AV91" s="2192" t="str">
        <f>IF('3.XT-C TT(CA2)'!AJ20="","",'3.XT-C TT(CA2)'!AJ20)</f>
        <v/>
      </c>
      <c r="AW91" s="1832" t="s">
        <v>10</v>
      </c>
      <c r="AY91" s="2488"/>
      <c r="AZ91" s="2490"/>
      <c r="BA91" s="3103"/>
      <c r="BB91" s="1082"/>
      <c r="BC91" s="1082"/>
      <c r="BD91" s="1082"/>
      <c r="BE91" s="1082"/>
      <c r="BF91" s="1082"/>
      <c r="BG91" s="1082"/>
      <c r="BH91" s="1082"/>
      <c r="BI91" s="1082"/>
      <c r="BJ91" s="1082"/>
      <c r="BK91" s="1082"/>
      <c r="BL91" s="1082"/>
      <c r="BM91" s="1082"/>
    </row>
    <row r="92" spans="1:65" ht="39.75" customHeight="1">
      <c r="A92" s="1820" t="s">
        <v>295</v>
      </c>
      <c r="B92" s="1068" t="s">
        <v>128</v>
      </c>
      <c r="C92" s="107" t="s">
        <v>84</v>
      </c>
      <c r="D92" s="2600" t="s">
        <v>6</v>
      </c>
      <c r="E92" s="13" t="s">
        <v>1364</v>
      </c>
      <c r="F92" s="2029" t="s">
        <v>1342</v>
      </c>
      <c r="G92" s="1398">
        <v>0.45</v>
      </c>
      <c r="H92" s="92">
        <f>XM.HN!B61</f>
        <v>1.98</v>
      </c>
      <c r="I92" s="1854">
        <f>(1*H92*36.5)/(0.5*10)/32%/100</f>
        <v>0.45168749999999996</v>
      </c>
      <c r="J92" s="1844">
        <f>($G$90-I92)*10509</f>
        <v>-17.733937499999506</v>
      </c>
      <c r="K92" s="1845" t="s">
        <v>8</v>
      </c>
      <c r="L92" s="1865">
        <f t="shared" si="12"/>
        <v>0</v>
      </c>
      <c r="M92" s="2192" t="str">
        <f>IF('3.XT-C TT'!AB20="","",'3.XT-C TT'!AB20)</f>
        <v/>
      </c>
      <c r="N92" s="1851" t="s">
        <v>10</v>
      </c>
      <c r="O92" s="104">
        <f>XM.HN!C61</f>
        <v>1.92</v>
      </c>
      <c r="P92" s="1854">
        <f>(1*O92*36.5)/(0.5*10)/32%/100</f>
        <v>0.43799999999999994</v>
      </c>
      <c r="Q92" s="1874">
        <f>($G$90-P92)*10509</f>
        <v>126.1080000000007</v>
      </c>
      <c r="R92" s="1875" t="s">
        <v>8</v>
      </c>
      <c r="S92" s="1865">
        <f t="shared" si="13"/>
        <v>126.1080000000007</v>
      </c>
      <c r="T92" s="2192" t="str">
        <f>IF('3.XT-C TT'!AF20="","",'3.XT-C TT'!AF20)</f>
        <v/>
      </c>
      <c r="U92" s="1866" t="s">
        <v>10</v>
      </c>
      <c r="V92" s="1037">
        <f>XM.HN!D61</f>
        <v>1.9</v>
      </c>
      <c r="W92" s="1854">
        <f>(1*V92*36.5)/(0.5*10)/32%/100</f>
        <v>0.43343749999999998</v>
      </c>
      <c r="X92" s="1874">
        <f>($G$90-W92)*10509</f>
        <v>174.05531250000038</v>
      </c>
      <c r="Y92" s="1875" t="s">
        <v>8</v>
      </c>
      <c r="Z92" s="1865">
        <f t="shared" si="14"/>
        <v>174.05531250000038</v>
      </c>
      <c r="AA92" s="2192" t="str">
        <f>IF('3.XT-C TT'!AJ20="","",'3.XT-C TT'!AJ20)</f>
        <v/>
      </c>
      <c r="AB92" s="1866" t="s">
        <v>10</v>
      </c>
      <c r="AC92" s="1037">
        <f>XM.HN!E61</f>
        <v>1.98</v>
      </c>
      <c r="AD92" s="1854">
        <f>(1*AC92*36.5)/(0.5*10)/32%/100</f>
        <v>0.45168749999999996</v>
      </c>
      <c r="AE92" s="1874">
        <f>($G$90-AD92)*10509</f>
        <v>-17.733937499999506</v>
      </c>
      <c r="AF92" s="1875" t="s">
        <v>8</v>
      </c>
      <c r="AG92" s="1865">
        <f t="shared" si="15"/>
        <v>0</v>
      </c>
      <c r="AH92" s="2192" t="str">
        <f>IF('3.XT-C TT(CA2)'!AB20="","",'3.XT-C TT(CA2)'!AB20)</f>
        <v/>
      </c>
      <c r="AI92" s="1866" t="s">
        <v>10</v>
      </c>
      <c r="AJ92" s="1502">
        <f>XM.HN!F61</f>
        <v>0</v>
      </c>
      <c r="AK92" s="1854">
        <f>(1*AJ92*36.5)/(0.5*10)/32%/100</f>
        <v>0</v>
      </c>
      <c r="AL92" s="1874">
        <f>($G$90-AK92)*10509</f>
        <v>4729.05</v>
      </c>
      <c r="AM92" s="1875" t="s">
        <v>8</v>
      </c>
      <c r="AN92" s="1865">
        <f t="shared" si="16"/>
        <v>0</v>
      </c>
      <c r="AO92" s="2192" t="str">
        <f>IF('3.XT-C TT(CA2)'!AF20="","",'3.XT-C TT(CA2)'!AF20)</f>
        <v/>
      </c>
      <c r="AP92" s="1866" t="s">
        <v>10</v>
      </c>
      <c r="AQ92" s="1502">
        <f>XM.HN!G61</f>
        <v>1.94</v>
      </c>
      <c r="AR92" s="1854">
        <f>(1*AQ92*36.5)/(0.5*10)/32%/100</f>
        <v>0.44256250000000003</v>
      </c>
      <c r="AS92" s="1830">
        <f>($G$90-AR92)*10509</f>
        <v>78.160687499999852</v>
      </c>
      <c r="AT92" s="1831" t="s">
        <v>8</v>
      </c>
      <c r="AU92" s="1865">
        <f t="shared" si="17"/>
        <v>78.160687499999852</v>
      </c>
      <c r="AV92" s="2192" t="str">
        <f>IF('3.XT-C TT(CA2)'!AJ20="","",'3.XT-C TT(CA2)'!AJ20)</f>
        <v/>
      </c>
      <c r="AW92" s="1832" t="s">
        <v>10</v>
      </c>
      <c r="AY92" s="2370"/>
      <c r="AZ92" s="2371" t="s">
        <v>1015</v>
      </c>
      <c r="BA92" s="3103"/>
      <c r="BB92" s="1082"/>
      <c r="BC92" s="1082"/>
      <c r="BD92" s="1082"/>
      <c r="BE92" s="1082"/>
      <c r="BF92" s="1082"/>
      <c r="BG92" s="1082"/>
      <c r="BH92" s="1082"/>
      <c r="BI92" s="1082"/>
      <c r="BJ92" s="1082"/>
      <c r="BK92" s="1082"/>
      <c r="BL92" s="1082"/>
      <c r="BM92" s="1082"/>
    </row>
    <row r="93" spans="1:65" ht="39.75" customHeight="1">
      <c r="A93" s="1820" t="s">
        <v>296</v>
      </c>
      <c r="B93" s="1068" t="s">
        <v>128</v>
      </c>
      <c r="C93" s="107" t="s">
        <v>83</v>
      </c>
      <c r="D93" s="2600" t="s">
        <v>6</v>
      </c>
      <c r="E93" s="48" t="s">
        <v>1542</v>
      </c>
      <c r="F93" s="2029" t="s">
        <v>1541</v>
      </c>
      <c r="G93" s="1398">
        <v>0.15</v>
      </c>
      <c r="H93" s="92">
        <f>XM.HN!B62</f>
        <v>0.57999999999999996</v>
      </c>
      <c r="I93" s="1843">
        <f>(1*H93*36.5)/(0.5*10)/32%/100</f>
        <v>0.1323125</v>
      </c>
      <c r="J93" s="1848">
        <f>($G$93-I93)*3234</f>
        <v>57.201374999999985</v>
      </c>
      <c r="K93" s="1848" t="s">
        <v>8</v>
      </c>
      <c r="L93" s="1865">
        <f t="shared" si="12"/>
        <v>57.201374999999985</v>
      </c>
      <c r="M93" s="2192" t="str">
        <f>IF('3.XT-C TT'!AB21="","",'3.XT-C TT'!AB21)</f>
        <v/>
      </c>
      <c r="N93" s="1851" t="s">
        <v>10</v>
      </c>
      <c r="O93" s="89">
        <f>XM.HN!C62</f>
        <v>0.56000000000000005</v>
      </c>
      <c r="P93" s="1843">
        <f>(1*O93*36.5)/(0.5*10)/32%/100</f>
        <v>0.12775</v>
      </c>
      <c r="Q93" s="1848">
        <f>($G$93-P93)*3234</f>
        <v>71.956499999999977</v>
      </c>
      <c r="R93" s="1848" t="s">
        <v>8</v>
      </c>
      <c r="S93" s="1865">
        <f t="shared" si="13"/>
        <v>71.956499999999977</v>
      </c>
      <c r="T93" s="2192" t="str">
        <f>IF('3.XT-C TT'!AF21="","",'3.XT-C TT'!AF21)</f>
        <v/>
      </c>
      <c r="U93" s="1847" t="s">
        <v>10</v>
      </c>
      <c r="V93" s="20">
        <f>XM.HN!D62</f>
        <v>0.57999999999999996</v>
      </c>
      <c r="W93" s="1843">
        <f>(1*V93*36.5)/(0.5*10)/32%/100</f>
        <v>0.1323125</v>
      </c>
      <c r="X93" s="1848">
        <f>($G$93-W93)*3234</f>
        <v>57.201374999999985</v>
      </c>
      <c r="Y93" s="1848" t="s">
        <v>8</v>
      </c>
      <c r="Z93" s="1865">
        <f t="shared" si="14"/>
        <v>57.201374999999985</v>
      </c>
      <c r="AA93" s="2192" t="str">
        <f>IF('3.XT-C TT'!AJ21="","",'3.XT-C TT'!AJ21)</f>
        <v/>
      </c>
      <c r="AB93" s="1851" t="s">
        <v>10</v>
      </c>
      <c r="AC93" s="89">
        <f>XM.HN!E62</f>
        <v>0.57999999999999996</v>
      </c>
      <c r="AD93" s="1843">
        <f>(1*AC93*36.5)/(0.5*10)/32%/100</f>
        <v>0.1323125</v>
      </c>
      <c r="AE93" s="1848">
        <f>($G$93-AD93)*3234</f>
        <v>57.201374999999985</v>
      </c>
      <c r="AF93" s="1848" t="s">
        <v>8</v>
      </c>
      <c r="AG93" s="1865">
        <f t="shared" si="15"/>
        <v>57.201374999999985</v>
      </c>
      <c r="AH93" s="2192" t="str">
        <f>IF('3.XT-C TT(CA2)'!AB21="","",'3.XT-C TT(CA2)'!AB21)</f>
        <v/>
      </c>
      <c r="AI93" s="1851" t="s">
        <v>10</v>
      </c>
      <c r="AJ93" s="89">
        <f>XM.HN!F62</f>
        <v>0</v>
      </c>
      <c r="AK93" s="1843">
        <f>(1*AJ93*36.5)/(0.5*10)/32%/100</f>
        <v>0</v>
      </c>
      <c r="AL93" s="1848">
        <f>($G$93-AK93)*3234</f>
        <v>485.09999999999997</v>
      </c>
      <c r="AM93" s="1848" t="s">
        <v>8</v>
      </c>
      <c r="AN93" s="1865">
        <f t="shared" si="16"/>
        <v>0</v>
      </c>
      <c r="AO93" s="2192" t="str">
        <f>IF('3.XT-C TT(CA2)'!AF21="","",'3.XT-C TT(CA2)'!AF21)</f>
        <v/>
      </c>
      <c r="AP93" s="1851" t="s">
        <v>10</v>
      </c>
      <c r="AQ93" s="89">
        <f>XM.HN!G62</f>
        <v>0.57999999999999996</v>
      </c>
      <c r="AR93" s="1843">
        <f>(1*AQ93*36.5)/(0.5*10)/32%/100</f>
        <v>0.1323125</v>
      </c>
      <c r="AS93" s="1830">
        <f>($G$93-AR93)*3234</f>
        <v>57.201374999999985</v>
      </c>
      <c r="AT93" s="1831" t="s">
        <v>8</v>
      </c>
      <c r="AU93" s="1865">
        <f t="shared" si="17"/>
        <v>57.201374999999985</v>
      </c>
      <c r="AV93" s="2192" t="str">
        <f>IF('3.XT-C TT(CA2)'!AJ21="","",'3.XT-C TT(CA2)'!AJ21)</f>
        <v/>
      </c>
      <c r="AW93" s="1832" t="s">
        <v>10</v>
      </c>
      <c r="AY93" s="2370"/>
      <c r="AZ93" s="2371" t="s">
        <v>1015</v>
      </c>
      <c r="BA93" s="3104"/>
      <c r="BB93" s="1082"/>
      <c r="BC93" s="1082"/>
      <c r="BD93" s="1082"/>
      <c r="BE93" s="1082"/>
      <c r="BF93" s="1082"/>
      <c r="BG93" s="1082"/>
      <c r="BH93" s="1082"/>
      <c r="BI93" s="1082"/>
      <c r="BJ93" s="1082"/>
      <c r="BK93" s="1082"/>
      <c r="BL93" s="1082"/>
      <c r="BM93" s="1082"/>
    </row>
    <row r="94" spans="1:65" ht="39.75" customHeight="1">
      <c r="A94" s="1820" t="s">
        <v>297</v>
      </c>
      <c r="B94" s="1068" t="s">
        <v>128</v>
      </c>
      <c r="C94" s="107" t="s">
        <v>149</v>
      </c>
      <c r="D94" s="2600" t="s">
        <v>6</v>
      </c>
      <c r="E94" s="2411" t="s">
        <v>1570</v>
      </c>
      <c r="F94" s="2029" t="s">
        <v>1561</v>
      </c>
      <c r="G94" s="2363">
        <v>0.01</v>
      </c>
      <c r="H94" s="92">
        <f>XM.HN!B63</f>
        <v>6</v>
      </c>
      <c r="I94" s="1876">
        <f>(H94*0.126)/100</f>
        <v>7.5599999999999999E-3</v>
      </c>
      <c r="J94" s="1844">
        <f>($G$94-I94)*2808/65%/1.51</f>
        <v>6.9806622516556294</v>
      </c>
      <c r="K94" s="1845" t="s">
        <v>8</v>
      </c>
      <c r="L94" s="1877">
        <f t="shared" si="12"/>
        <v>6.9806622516556294</v>
      </c>
      <c r="M94" s="2192" t="str">
        <f>IF('3.XT-C TT'!AB22="","",'3.XT-C TT'!AB22)</f>
        <v/>
      </c>
      <c r="N94" s="1851" t="s">
        <v>10</v>
      </c>
      <c r="O94" s="92">
        <f>XM.HN!C63</f>
        <v>6</v>
      </c>
      <c r="P94" s="1876">
        <f>(O94*0.126)/100</f>
        <v>7.5599999999999999E-3</v>
      </c>
      <c r="Q94" s="1844">
        <f>($G$94-P94)*2808/65%/1.51</f>
        <v>6.9806622516556294</v>
      </c>
      <c r="R94" s="1845" t="s">
        <v>8</v>
      </c>
      <c r="S94" s="1877">
        <f t="shared" si="13"/>
        <v>6.9806622516556294</v>
      </c>
      <c r="T94" s="2192" t="str">
        <f>IF('3.XT-C TT'!AF22="","",'3.XT-C TT'!AF22)</f>
        <v/>
      </c>
      <c r="U94" s="1847" t="s">
        <v>10</v>
      </c>
      <c r="V94" s="92">
        <f>XM.HN!D63</f>
        <v>5.9</v>
      </c>
      <c r="W94" s="1876">
        <f>(V94*0.126)/100</f>
        <v>7.4340000000000005E-3</v>
      </c>
      <c r="X94" s="1844">
        <f>($G$94-W94)*2808/65%/1.51</f>
        <v>7.3411390728476809</v>
      </c>
      <c r="Y94" s="1845" t="s">
        <v>8</v>
      </c>
      <c r="Z94" s="1877">
        <f t="shared" si="14"/>
        <v>7.3411390728476809</v>
      </c>
      <c r="AA94" s="2192" t="str">
        <f>IF('3.XT-C TT'!AJ22="","",'3.XT-C TT'!AJ22)</f>
        <v/>
      </c>
      <c r="AB94" s="1851" t="s">
        <v>10</v>
      </c>
      <c r="AC94" s="92">
        <f>XM.HN!E63</f>
        <v>5.7</v>
      </c>
      <c r="AD94" s="1876">
        <f>(AC94*0.126)/100</f>
        <v>7.1820000000000009E-3</v>
      </c>
      <c r="AE94" s="1844">
        <f>($G$94-AD94)*2808/65%/1.51</f>
        <v>8.0620927152317847</v>
      </c>
      <c r="AF94" s="1845" t="s">
        <v>8</v>
      </c>
      <c r="AG94" s="1877">
        <f t="shared" si="15"/>
        <v>8.0620927152317847</v>
      </c>
      <c r="AH94" s="2192" t="str">
        <f>IF('3.XT-C TT(CA2)'!AB22="","",'3.XT-C TT(CA2)'!AB22)</f>
        <v/>
      </c>
      <c r="AI94" s="1851" t="s">
        <v>10</v>
      </c>
      <c r="AJ94" s="92">
        <f>XM.HN!F63</f>
        <v>0</v>
      </c>
      <c r="AK94" s="1876">
        <f>(AJ94*0.126)/100</f>
        <v>0</v>
      </c>
      <c r="AL94" s="1844">
        <f>($G$94-AK94)*2808/65%/1.51</f>
        <v>28.609271523178808</v>
      </c>
      <c r="AM94" s="1845" t="s">
        <v>8</v>
      </c>
      <c r="AN94" s="1877">
        <f t="shared" si="16"/>
        <v>0</v>
      </c>
      <c r="AO94" s="2192" t="str">
        <f>IF('3.XT-C TT(CA2)'!AF22="","",'3.XT-C TT(CA2)'!AF22)</f>
        <v/>
      </c>
      <c r="AP94" s="1851" t="s">
        <v>10</v>
      </c>
      <c r="AQ94" s="92">
        <f>XM.HN!G63</f>
        <v>5.5</v>
      </c>
      <c r="AR94" s="1876">
        <f>(AQ94*0.126)/100</f>
        <v>6.9300000000000004E-3</v>
      </c>
      <c r="AS94" s="1844">
        <f>($G$94-AR94)*2808/65%/1.51</f>
        <v>8.783046357615893</v>
      </c>
      <c r="AT94" s="1845" t="s">
        <v>8</v>
      </c>
      <c r="AU94" s="1877">
        <f t="shared" si="17"/>
        <v>8.783046357615893</v>
      </c>
      <c r="AV94" s="2192" t="str">
        <f>IF('3.XT-C TT(CA2)'!AJ22="","",'3.XT-C TT(CA2)'!AJ22)</f>
        <v/>
      </c>
      <c r="AW94" s="1847" t="s">
        <v>10</v>
      </c>
      <c r="AY94" s="2370"/>
      <c r="AZ94" s="2371" t="s">
        <v>1015</v>
      </c>
      <c r="BA94" s="1078" t="s">
        <v>1018</v>
      </c>
      <c r="BB94" s="1082"/>
      <c r="BC94" s="1082"/>
      <c r="BD94" s="1082"/>
      <c r="BE94" s="1082"/>
      <c r="BF94" s="1082"/>
      <c r="BG94" s="1082"/>
      <c r="BH94" s="1082"/>
      <c r="BI94" s="1082"/>
      <c r="BJ94" s="1082"/>
      <c r="BK94" s="1082"/>
      <c r="BL94" s="1082"/>
      <c r="BM94" s="1082"/>
    </row>
    <row r="95" spans="1:65" ht="39.75" customHeight="1">
      <c r="A95" s="1819" t="s">
        <v>298</v>
      </c>
      <c r="B95" s="1068" t="s">
        <v>128</v>
      </c>
      <c r="C95" s="302" t="s">
        <v>1592</v>
      </c>
      <c r="D95" s="2600" t="s">
        <v>3</v>
      </c>
      <c r="E95" s="2391" t="s">
        <v>1360</v>
      </c>
      <c r="F95" s="2029" t="s">
        <v>1341</v>
      </c>
      <c r="G95" s="1397">
        <v>6</v>
      </c>
      <c r="H95" s="92">
        <f>XM.HN!B64</f>
        <v>5.45</v>
      </c>
      <c r="I95" s="1952">
        <f>IF(XM.HN!B64="","",H95*0.8+1.4)</f>
        <v>5.76</v>
      </c>
      <c r="J95" s="1835">
        <f>($G$95-I95)*4042/95*0.88</f>
        <v>8.9860042105263229</v>
      </c>
      <c r="K95" s="1845" t="s">
        <v>8</v>
      </c>
      <c r="L95" s="1988">
        <f>IF(I95="","",(IF(J95&lt;0,0,J95)))</f>
        <v>8.9860042105263229</v>
      </c>
      <c r="M95" s="2192" t="str">
        <f>IF('3.XT-C TT'!AB23="","",'3.XT-C TT'!AB23)</f>
        <v/>
      </c>
      <c r="N95" s="1851" t="s">
        <v>10</v>
      </c>
      <c r="O95" s="92">
        <f>XM.HN!C64</f>
        <v>5.4</v>
      </c>
      <c r="P95" s="2398">
        <f>IF(XM.HN!C64="","",O95*0.8+1.4)</f>
        <v>5.7200000000000006</v>
      </c>
      <c r="Q95" s="1835">
        <f>($G$95-P95)*4042/95*0.88</f>
        <v>10.483671578947346</v>
      </c>
      <c r="R95" s="1845" t="s">
        <v>8</v>
      </c>
      <c r="S95" s="1988">
        <f>IF(P95="","",(IF(Q95&lt;0,0,Q95)))</f>
        <v>10.483671578947346</v>
      </c>
      <c r="T95" s="2192" t="str">
        <f>IF('3.XT-C TT'!AF23="","",'3.XT-C TT'!AF23)</f>
        <v/>
      </c>
      <c r="U95" s="1851" t="s">
        <v>10</v>
      </c>
      <c r="V95" s="92">
        <f>XM.HN!D64</f>
        <v>5.4</v>
      </c>
      <c r="W95" s="2398">
        <f>IF(XM.HN!D64="","",V95*0.8+1.4)</f>
        <v>5.7200000000000006</v>
      </c>
      <c r="X95" s="1835">
        <f>($G$95-W95)*4042/95*0.88</f>
        <v>10.483671578947346</v>
      </c>
      <c r="Y95" s="1845" t="s">
        <v>8</v>
      </c>
      <c r="Z95" s="1988">
        <f>IF(W95="","",(IF(X95&lt;0,0,X95)))</f>
        <v>10.483671578947346</v>
      </c>
      <c r="AA95" s="2192" t="str">
        <f>IF('3.XT-C TT'!AJ23="","",'3.XT-C TT'!AJ23)</f>
        <v/>
      </c>
      <c r="AB95" s="1847" t="s">
        <v>10</v>
      </c>
      <c r="AC95" s="92">
        <f>XM.HN!E64</f>
        <v>5.7</v>
      </c>
      <c r="AD95" s="2398">
        <f>IF(XM.HN!E64="","",AC95*0.8+1.4)</f>
        <v>5.9600000000000009</v>
      </c>
      <c r="AE95" s="1835">
        <f>($G$95-AD95)*4042/95*0.88</f>
        <v>1.4976673684210207</v>
      </c>
      <c r="AF95" s="1845" t="s">
        <v>8</v>
      </c>
      <c r="AG95" s="1988">
        <f>IF(AD95="","",(IF(AE95&lt;0,0,AE95)))</f>
        <v>1.4976673684210207</v>
      </c>
      <c r="AH95" s="2192" t="str">
        <f>IF('3.XT-C TT(CA2)'!AB23="","",'3.XT-C TT(CA2)'!AB23)</f>
        <v/>
      </c>
      <c r="AI95" s="1851" t="s">
        <v>10</v>
      </c>
      <c r="AJ95" s="92">
        <f>XM.HN!F64</f>
        <v>0</v>
      </c>
      <c r="AK95" s="2398" t="str">
        <f>IF(XM.HN!F64="","",AJ95*0.8+1.4)</f>
        <v/>
      </c>
      <c r="AL95" s="1835" t="e">
        <f>($G$95-AK95)*4042/95*0.88</f>
        <v>#VALUE!</v>
      </c>
      <c r="AM95" s="1845" t="s">
        <v>8</v>
      </c>
      <c r="AN95" s="1988" t="str">
        <f>IF(AK95="","",(IF(AL95&lt;0,0,AL95)))</f>
        <v/>
      </c>
      <c r="AO95" s="2192" t="str">
        <f>IF('3.XT-C TT(CA2)'!AF23="","",'3.XT-C TT(CA2)'!AF23)</f>
        <v/>
      </c>
      <c r="AP95" s="1851" t="s">
        <v>10</v>
      </c>
      <c r="AQ95" s="92">
        <f>XM.HN!G64</f>
        <v>5.6</v>
      </c>
      <c r="AR95" s="2398">
        <f>IF(XM.HN!G64="","",AQ95*0.8+1.4)</f>
        <v>5.879999999999999</v>
      </c>
      <c r="AS95" s="1835">
        <f>($G$95-AR95)*4042/95*0.88</f>
        <v>4.4930021052631952</v>
      </c>
      <c r="AT95" s="1845" t="s">
        <v>8</v>
      </c>
      <c r="AU95" s="1988">
        <f>IF(AR95="","",(IF(AS95&lt;0,0,AS95)))</f>
        <v>4.4930021052631952</v>
      </c>
      <c r="AV95" s="2192" t="str">
        <f>IF('3.XT-C TT(CA2)'!AJ23="","",'3.XT-C TT(CA2)'!AJ23)</f>
        <v/>
      </c>
      <c r="AW95" s="1847" t="s">
        <v>10</v>
      </c>
      <c r="AY95" s="3077"/>
      <c r="AZ95" s="1082" t="s">
        <v>1574</v>
      </c>
      <c r="BA95" s="1083" t="s">
        <v>1575</v>
      </c>
      <c r="BB95" s="1082"/>
      <c r="BC95" s="1082"/>
      <c r="BD95" s="1082"/>
      <c r="BE95" s="1082"/>
      <c r="BF95" s="1082"/>
      <c r="BG95" s="1082"/>
      <c r="BH95" s="1082"/>
      <c r="BI95" s="1082"/>
      <c r="BJ95" s="1082"/>
      <c r="BK95" s="1082"/>
      <c r="BL95" s="1082"/>
      <c r="BM95" s="1082"/>
    </row>
    <row r="96" spans="1:65" ht="39.75" customHeight="1">
      <c r="A96" s="1819" t="s">
        <v>299</v>
      </c>
      <c r="B96" s="1068" t="s">
        <v>128</v>
      </c>
      <c r="C96" s="2501" t="str">
        <f>MENU!AE45</f>
        <v xml:space="preserve">Pha mới: 2023/12/02 </v>
      </c>
      <c r="D96" s="2600" t="s">
        <v>5</v>
      </c>
      <c r="E96" s="2391" t="s">
        <v>1330</v>
      </c>
      <c r="F96" s="2029" t="s">
        <v>1591</v>
      </c>
      <c r="G96" s="1397"/>
      <c r="H96" s="91"/>
      <c r="I96" s="1869">
        <f>XM.HN!B65</f>
        <v>2.1</v>
      </c>
      <c r="J96" s="1835"/>
      <c r="K96" s="1845"/>
      <c r="L96" s="1846"/>
      <c r="M96" s="2192" t="str">
        <f>IF('3.XT-C TT'!AB24="","",'3.XT-C TT'!AB24)</f>
        <v/>
      </c>
      <c r="N96" s="1851"/>
      <c r="O96" s="92"/>
      <c r="P96" s="1869">
        <f>XM.HN!C65</f>
        <v>2</v>
      </c>
      <c r="Q96" s="1835"/>
      <c r="R96" s="1845"/>
      <c r="S96" s="1846"/>
      <c r="T96" s="2192" t="str">
        <f>IF('3.XT-C TT'!AF24="","",'3.XT-C TT'!AF24)</f>
        <v/>
      </c>
      <c r="U96" s="1847"/>
      <c r="V96" s="92"/>
      <c r="W96" s="1869">
        <f>XM.HN!D65</f>
        <v>2.08</v>
      </c>
      <c r="X96" s="1835"/>
      <c r="Y96" s="1845"/>
      <c r="Z96" s="1846"/>
      <c r="AA96" s="2192" t="str">
        <f>IF('3.XT-C TT'!AJ24="","",'3.XT-C TT'!AJ24)</f>
        <v/>
      </c>
      <c r="AB96" s="1851"/>
      <c r="AC96" s="92"/>
      <c r="AD96" s="1869">
        <f>XM.HN!E65</f>
        <v>2</v>
      </c>
      <c r="AE96" s="1835"/>
      <c r="AF96" s="1845"/>
      <c r="AG96" s="1846"/>
      <c r="AH96" s="2192" t="str">
        <f>IF('3.XT-C TT(CA2)'!AB24="","",'3.XT-C TT(CA2)'!AB24)</f>
        <v/>
      </c>
      <c r="AI96" s="1851"/>
      <c r="AJ96" s="92"/>
      <c r="AK96" s="1869">
        <f>XM.HN!F65</f>
        <v>0</v>
      </c>
      <c r="AL96" s="1869"/>
      <c r="AM96" s="1835"/>
      <c r="AN96" s="1845"/>
      <c r="AO96" s="1846" t="str">
        <f>IF('3.XT-C TT(CA2)'!AF24="","",'3.XT-C TT(CA2)'!AF24)</f>
        <v/>
      </c>
      <c r="AP96" s="2192"/>
      <c r="AQ96" s="1851"/>
      <c r="AR96" s="1869">
        <f>XM.HN!G65</f>
        <v>2.0299999999999998</v>
      </c>
      <c r="AS96" s="1840"/>
      <c r="AT96" s="1835"/>
      <c r="AU96" s="1836"/>
      <c r="AV96" s="1836"/>
      <c r="AW96" s="1880"/>
      <c r="AY96" s="3078"/>
      <c r="AZ96" s="1082"/>
      <c r="BA96" s="1082"/>
      <c r="BB96" s="1082"/>
      <c r="BC96" s="1082"/>
      <c r="BD96" s="1082"/>
      <c r="BE96" s="1082"/>
      <c r="BF96" s="1082"/>
      <c r="BG96" s="1082"/>
      <c r="BH96" s="1082"/>
      <c r="BI96" s="1082"/>
      <c r="BJ96" s="1082"/>
      <c r="BK96" s="1082"/>
      <c r="BL96" s="1082"/>
      <c r="BM96" s="1082"/>
    </row>
    <row r="97" spans="1:65" ht="39.75" hidden="1" customHeight="1">
      <c r="A97" s="1819"/>
      <c r="B97" s="1229"/>
      <c r="C97" s="1417" t="s">
        <v>1285</v>
      </c>
      <c r="D97" s="283" t="s">
        <v>3</v>
      </c>
      <c r="E97" s="48" t="s">
        <v>1332</v>
      </c>
      <c r="F97" s="2029" t="s">
        <v>1321</v>
      </c>
      <c r="G97" s="1397">
        <v>12</v>
      </c>
      <c r="H97" s="92">
        <f>XM.HN!B67</f>
        <v>0</v>
      </c>
      <c r="I97" s="1833" t="str">
        <f>IF(XM.HN!B67="","",(H97*10/6.95))</f>
        <v/>
      </c>
      <c r="J97" s="1844" t="e">
        <f>($G$97-I97)*3360/100</f>
        <v>#VALUE!</v>
      </c>
      <c r="K97" s="1845" t="s">
        <v>8</v>
      </c>
      <c r="L97" s="1846" t="str">
        <f>IF(I97="","",(IF(J97&lt;0,0,J97)))</f>
        <v/>
      </c>
      <c r="M97" s="1878"/>
      <c r="N97" s="1847" t="s">
        <v>10</v>
      </c>
      <c r="O97" s="89">
        <f>XM.HN!C67</f>
        <v>0</v>
      </c>
      <c r="P97" s="1473" t="str">
        <f>IF(XM.HN!C67="","",(O97*10/6.95))</f>
        <v/>
      </c>
      <c r="Q97" s="35" t="e">
        <f>($G$97-P97)*3360/100</f>
        <v>#VALUE!</v>
      </c>
      <c r="R97" s="1845" t="s">
        <v>8</v>
      </c>
      <c r="S97" s="1846" t="str">
        <f>IF(P97="","",(IF(Q97&lt;0,0,Q97)))</f>
        <v/>
      </c>
      <c r="T97" s="1878"/>
      <c r="U97" s="1847" t="s">
        <v>10</v>
      </c>
      <c r="V97" s="20">
        <f>XM.HN!D67</f>
        <v>0</v>
      </c>
      <c r="W97" s="1833" t="str">
        <f>IF(XM.HN!D67="","",(V97*10/6.95))</f>
        <v/>
      </c>
      <c r="X97" s="1844" t="e">
        <f>($G$97-W97)*3360/100</f>
        <v>#VALUE!</v>
      </c>
      <c r="Y97" s="1845" t="s">
        <v>8</v>
      </c>
      <c r="Z97" s="1846" t="str">
        <f>IF(W97="","",(IF(X97&lt;0,0,X97)))</f>
        <v/>
      </c>
      <c r="AA97" s="1878"/>
      <c r="AB97" s="1847" t="s">
        <v>10</v>
      </c>
      <c r="AC97" s="89">
        <f>XM.HN!E67</f>
        <v>0</v>
      </c>
      <c r="AD97" s="1833" t="str">
        <f>IF(XM.HN!E67="","",(AC97*10/6.95))</f>
        <v/>
      </c>
      <c r="AE97" s="1844" t="e">
        <f>($G$97-AD97)*3360/100</f>
        <v>#VALUE!</v>
      </c>
      <c r="AF97" s="1845" t="s">
        <v>8</v>
      </c>
      <c r="AG97" s="1846" t="str">
        <f>IF(AD97="","",(IF(AE97&lt;0,0,AE97)))</f>
        <v/>
      </c>
      <c r="AH97" s="1878"/>
      <c r="AI97" s="1847" t="s">
        <v>10</v>
      </c>
      <c r="AJ97" s="89">
        <f>XM.HN!F67</f>
        <v>0</v>
      </c>
      <c r="AK97" s="1473" t="str">
        <f>IF(XM.HN!F67="","",(AJ97*10/6.95))</f>
        <v/>
      </c>
      <c r="AL97" s="35" t="e">
        <f>($G$97-AK97)*3360/100</f>
        <v>#VALUE!</v>
      </c>
      <c r="AM97" s="1845" t="s">
        <v>8</v>
      </c>
      <c r="AN97" s="1846" t="str">
        <f>IF(AK97="","",(IF(AL97&lt;0,0,AL97)))</f>
        <v/>
      </c>
      <c r="AO97" s="1878"/>
      <c r="AP97" s="1847" t="s">
        <v>10</v>
      </c>
      <c r="AQ97" s="89">
        <f>XM.HN!G67</f>
        <v>0</v>
      </c>
      <c r="AR97" s="1833" t="str">
        <f>IF(XM.HN!G67="","",(AQ97*10/6.95))</f>
        <v/>
      </c>
      <c r="AS97" s="1844" t="e">
        <f>($G$97-AR97)*3360/100</f>
        <v>#VALUE!</v>
      </c>
      <c r="AT97" s="1845" t="s">
        <v>8</v>
      </c>
      <c r="AU97" s="1846" t="str">
        <f>IF(AR97="","",(IF(AS97&lt;0,0,AS97)))</f>
        <v/>
      </c>
      <c r="AV97" s="1878"/>
      <c r="AW97" s="1847" t="s">
        <v>10</v>
      </c>
      <c r="AY97" s="2370"/>
      <c r="AZ97" s="1082"/>
      <c r="BA97" s="1082"/>
      <c r="BB97" s="1082"/>
      <c r="BC97" s="1082"/>
      <c r="BD97" s="1082"/>
      <c r="BE97" s="1082"/>
      <c r="BF97" s="1082"/>
      <c r="BG97" s="1082"/>
      <c r="BH97" s="1082"/>
      <c r="BI97" s="1082"/>
      <c r="BJ97" s="1082"/>
      <c r="BK97" s="1082"/>
      <c r="BL97" s="1082"/>
      <c r="BM97" s="1082"/>
    </row>
    <row r="98" spans="1:65" ht="39.75" hidden="1" customHeight="1">
      <c r="A98" s="1819"/>
      <c r="B98" s="1229"/>
      <c r="C98" s="1418" t="s">
        <v>121</v>
      </c>
      <c r="D98" s="283" t="s">
        <v>5</v>
      </c>
      <c r="E98" s="48" t="s">
        <v>1330</v>
      </c>
      <c r="F98" s="2029" t="s">
        <v>1322</v>
      </c>
      <c r="G98" s="1397"/>
      <c r="H98" s="91"/>
      <c r="I98" s="1838">
        <f>XM.HN!B68</f>
        <v>0</v>
      </c>
      <c r="J98" s="1840"/>
      <c r="K98" s="1841"/>
      <c r="L98" s="1841"/>
      <c r="M98" s="1885"/>
      <c r="N98" s="1842"/>
      <c r="O98" s="92"/>
      <c r="P98" s="1710">
        <f>XM.HN!C68</f>
        <v>0</v>
      </c>
      <c r="Q98" s="437"/>
      <c r="R98" s="1841"/>
      <c r="S98" s="1841"/>
      <c r="T98" s="1885"/>
      <c r="U98" s="1842"/>
      <c r="V98" s="20"/>
      <c r="W98" s="1838">
        <f>XM.HN!D68</f>
        <v>0</v>
      </c>
      <c r="X98" s="1848"/>
      <c r="Y98" s="1848"/>
      <c r="Z98" s="1841"/>
      <c r="AA98" s="1885"/>
      <c r="AB98" s="1847"/>
      <c r="AC98" s="89"/>
      <c r="AD98" s="1838">
        <f>XM.HN!E68</f>
        <v>0</v>
      </c>
      <c r="AE98" s="1848"/>
      <c r="AF98" s="1848"/>
      <c r="AG98" s="1841"/>
      <c r="AH98" s="1885"/>
      <c r="AI98" s="1847"/>
      <c r="AJ98" s="89"/>
      <c r="AK98" s="1710">
        <f>XM.HN!F68</f>
        <v>0</v>
      </c>
      <c r="AL98" s="437"/>
      <c r="AM98" s="1841"/>
      <c r="AN98" s="1841"/>
      <c r="AO98" s="1885"/>
      <c r="AP98" s="1842"/>
      <c r="AQ98" s="89"/>
      <c r="AR98" s="1838">
        <f>XM.HN!G68</f>
        <v>0</v>
      </c>
      <c r="AS98" s="1870"/>
      <c r="AT98" s="1841"/>
      <c r="AU98" s="1841"/>
      <c r="AV98" s="1885"/>
      <c r="AW98" s="1880"/>
      <c r="AY98" s="2370"/>
      <c r="AZ98" s="1082"/>
      <c r="BA98" s="1082"/>
      <c r="BB98" s="1082"/>
      <c r="BC98" s="1082"/>
      <c r="BD98" s="1082"/>
      <c r="BE98" s="1082"/>
      <c r="BF98" s="1082"/>
      <c r="BG98" s="1082"/>
      <c r="BH98" s="1082"/>
      <c r="BI98" s="1082"/>
      <c r="BJ98" s="1082"/>
      <c r="BK98" s="1082"/>
      <c r="BL98" s="1082"/>
      <c r="BM98" s="1082"/>
    </row>
    <row r="99" spans="1:65" ht="39.75" hidden="1" customHeight="1">
      <c r="A99" s="1826" t="s">
        <v>309</v>
      </c>
      <c r="B99" s="1068" t="s">
        <v>128</v>
      </c>
      <c r="C99" s="218" t="s">
        <v>194</v>
      </c>
      <c r="D99" s="213" t="s">
        <v>4</v>
      </c>
      <c r="E99" s="48" t="s">
        <v>1366</v>
      </c>
      <c r="F99" s="2029" t="s">
        <v>1537</v>
      </c>
      <c r="G99" s="1396">
        <v>5.5</v>
      </c>
      <c r="H99" s="214">
        <f>XM.HN!B71</f>
        <v>4.3</v>
      </c>
      <c r="I99" s="1833">
        <f>IF(XM.HN!B71="","",H99*1.3)</f>
        <v>5.59</v>
      </c>
      <c r="J99" s="1858">
        <f>($G$99-I99)*8000/1000</f>
        <v>-0.71999999999999886</v>
      </c>
      <c r="K99" s="1845" t="s">
        <v>8</v>
      </c>
      <c r="L99" s="1846">
        <f>IF($I$99="","",IF(J99&lt;0,0,J99))</f>
        <v>0</v>
      </c>
      <c r="M99" s="1878"/>
      <c r="N99" s="1847" t="s">
        <v>9</v>
      </c>
      <c r="O99" s="251">
        <f>XM.HN!C71</f>
        <v>4.1500000000000004</v>
      </c>
      <c r="P99" s="1833">
        <f>IF(XM.HN!C71="","",O99*1.3)</f>
        <v>5.3950000000000005</v>
      </c>
      <c r="Q99" s="1858">
        <f>($G$99-P99)*8000/1000</f>
        <v>0.83999999999999642</v>
      </c>
      <c r="R99" s="1845" t="s">
        <v>8</v>
      </c>
      <c r="S99" s="1846">
        <f>IF($P$99="","",IF(Q99&lt;0,0,Q99))</f>
        <v>0.83999999999999642</v>
      </c>
      <c r="T99" s="1878"/>
      <c r="U99" s="1847" t="s">
        <v>9</v>
      </c>
      <c r="V99" s="1711">
        <f>XM.HN!D71</f>
        <v>4.2</v>
      </c>
      <c r="W99" s="1833">
        <f>IF(XM.HN!D71="","",V99*1.3)</f>
        <v>5.4600000000000009</v>
      </c>
      <c r="X99" s="1858">
        <f>($G$99-W99)*8000/1000</f>
        <v>0.31999999999999318</v>
      </c>
      <c r="Y99" s="1845" t="s">
        <v>8</v>
      </c>
      <c r="Z99" s="1846">
        <f>IF($W$99="","",IF(X99&lt;0,0,X99))</f>
        <v>0.31999999999999318</v>
      </c>
      <c r="AA99" s="1878"/>
      <c r="AB99" s="1847" t="s">
        <v>9</v>
      </c>
      <c r="AC99" s="215">
        <f>XM.HN!E71</f>
        <v>4.5</v>
      </c>
      <c r="AD99" s="1833">
        <f>IF(XM.HN!E71="","",AC99*1.3)</f>
        <v>5.8500000000000005</v>
      </c>
      <c r="AE99" s="1858">
        <f>($G$99-AD99)*8000/1000</f>
        <v>-2.8000000000000043</v>
      </c>
      <c r="AF99" s="1845" t="s">
        <v>8</v>
      </c>
      <c r="AG99" s="1846">
        <f>IF($AD$99="","",IF(AE99&lt;0,0,AE99))</f>
        <v>0</v>
      </c>
      <c r="AH99" s="1878"/>
      <c r="AI99" s="1847" t="s">
        <v>9</v>
      </c>
      <c r="AJ99" s="92">
        <f>XM.HN!F71</f>
        <v>0</v>
      </c>
      <c r="AK99" s="1833">
        <f>IF(XM.HN!E71="","",AJ99*1.3)</f>
        <v>0</v>
      </c>
      <c r="AL99" s="1858">
        <f>($G$99-AK99)*8000/1000</f>
        <v>44</v>
      </c>
      <c r="AM99" s="1845" t="s">
        <v>8</v>
      </c>
      <c r="AN99" s="1846">
        <f>IF($AK$99="","",IF(AL99&lt;0,0,AL99))</f>
        <v>44</v>
      </c>
      <c r="AO99" s="1878"/>
      <c r="AP99" s="1847" t="s">
        <v>9</v>
      </c>
      <c r="AQ99" s="1708">
        <f>XM.HN!G71</f>
        <v>4.5</v>
      </c>
      <c r="AR99" s="1833">
        <f>IF(XM.HN!G71="","",AQ99*1.3)</f>
        <v>5.8500000000000005</v>
      </c>
      <c r="AS99" s="1858">
        <f>($G$99-AR99)*8000/1000</f>
        <v>-2.8000000000000043</v>
      </c>
      <c r="AT99" s="1845" t="s">
        <v>8</v>
      </c>
      <c r="AU99" s="1846">
        <f>IF($AR$99="","",IF(AS99&lt;0,0,AS99))</f>
        <v>0</v>
      </c>
      <c r="AV99" s="1878"/>
      <c r="AW99" s="1847" t="s">
        <v>9</v>
      </c>
      <c r="AY99" s="2370"/>
      <c r="AZ99" s="2372" t="s">
        <v>1016</v>
      </c>
      <c r="BA99" s="1083" t="s">
        <v>1122</v>
      </c>
      <c r="BB99" s="1082"/>
      <c r="BC99" s="1082"/>
      <c r="BD99" s="1082"/>
      <c r="BE99" s="1082"/>
      <c r="BF99" s="1082"/>
      <c r="BG99" s="1082"/>
      <c r="BH99" s="1082"/>
      <c r="BI99" s="1082"/>
      <c r="BJ99" s="1082"/>
      <c r="BK99" s="1082"/>
      <c r="BL99" s="1082"/>
      <c r="BM99" s="1082"/>
    </row>
    <row r="100" spans="1:65" ht="39.75" hidden="1" customHeight="1">
      <c r="A100" s="1826" t="s">
        <v>310</v>
      </c>
      <c r="B100" s="1068" t="s">
        <v>128</v>
      </c>
      <c r="C100" s="218" t="s">
        <v>193</v>
      </c>
      <c r="D100" s="213" t="s">
        <v>4</v>
      </c>
      <c r="E100" s="2353" t="s">
        <v>1545</v>
      </c>
      <c r="F100" s="2347" t="s">
        <v>1544</v>
      </c>
      <c r="G100" s="1397">
        <v>135</v>
      </c>
      <c r="H100" s="214">
        <f>XM.HN!B72</f>
        <v>16.75</v>
      </c>
      <c r="I100" s="1886">
        <f>H100*8</f>
        <v>134</v>
      </c>
      <c r="J100" s="1858">
        <f>($G$100-I100)*8000/1000</f>
        <v>8</v>
      </c>
      <c r="K100" s="1845" t="s">
        <v>8</v>
      </c>
      <c r="L100" s="1846">
        <f t="shared" ref="L100" si="24">IF($I$99="","",IF(J100&lt;0,0,J100))</f>
        <v>8</v>
      </c>
      <c r="M100" s="1878"/>
      <c r="N100" s="1847" t="s">
        <v>9</v>
      </c>
      <c r="O100" s="251">
        <f>XM.HN!C72</f>
        <v>17</v>
      </c>
      <c r="P100" s="1886">
        <f>O100*8</f>
        <v>136</v>
      </c>
      <c r="Q100" s="1858">
        <f>($G$100-P100)*8000/1000</f>
        <v>-8</v>
      </c>
      <c r="R100" s="1845" t="s">
        <v>8</v>
      </c>
      <c r="S100" s="1846">
        <f>IF($P$99="","",IF(Q100&lt;0,0,Q100))</f>
        <v>0</v>
      </c>
      <c r="T100" s="1878"/>
      <c r="U100" s="1847" t="s">
        <v>9</v>
      </c>
      <c r="V100" s="1711">
        <f>XM.HN!D72</f>
        <v>16.95</v>
      </c>
      <c r="W100" s="1886">
        <f>V100*8</f>
        <v>135.6</v>
      </c>
      <c r="X100" s="1858">
        <f>($G$100-W100)*8000/1000</f>
        <v>-4.7999999999999545</v>
      </c>
      <c r="Y100" s="1845" t="s">
        <v>8</v>
      </c>
      <c r="Z100" s="1846">
        <f t="shared" ref="Z100" si="25">IF($W$99="","",IF(X100&lt;0,0,X100))</f>
        <v>0</v>
      </c>
      <c r="AA100" s="1878"/>
      <c r="AB100" s="1847" t="s">
        <v>9</v>
      </c>
      <c r="AC100" s="215">
        <f>XM.HN!E72</f>
        <v>16.7</v>
      </c>
      <c r="AD100" s="1886">
        <f>AC100*8</f>
        <v>133.6</v>
      </c>
      <c r="AE100" s="1858">
        <f>($G$100-AD100)*8000/1000</f>
        <v>11.200000000000045</v>
      </c>
      <c r="AF100" s="1845" t="s">
        <v>8</v>
      </c>
      <c r="AG100" s="1846">
        <f t="shared" ref="AG100" si="26">IF($AD$99="","",IF(AE100&lt;0,0,AE100))</f>
        <v>11.200000000000045</v>
      </c>
      <c r="AH100" s="1878"/>
      <c r="AI100" s="1847" t="s">
        <v>9</v>
      </c>
      <c r="AJ100" s="92">
        <f>XM.HN!F72</f>
        <v>0</v>
      </c>
      <c r="AK100" s="1886">
        <f>AJ100*8</f>
        <v>0</v>
      </c>
      <c r="AL100" s="1858">
        <f>($G$100-AK100)*8000/1000</f>
        <v>1080</v>
      </c>
      <c r="AM100" s="1845" t="s">
        <v>8</v>
      </c>
      <c r="AN100" s="1846">
        <f>IF($AK$99="","",IF(AL100&lt;0,0,AL100))</f>
        <v>1080</v>
      </c>
      <c r="AO100" s="1878"/>
      <c r="AP100" s="1847" t="s">
        <v>9</v>
      </c>
      <c r="AQ100" s="1708">
        <f>XM.HN!G72</f>
        <v>16.600000000000001</v>
      </c>
      <c r="AR100" s="1886">
        <f>AQ100*8</f>
        <v>132.80000000000001</v>
      </c>
      <c r="AS100" s="1858">
        <f>($G$100-AR100)*8000/1000</f>
        <v>17.599999999999909</v>
      </c>
      <c r="AT100" s="1845" t="s">
        <v>8</v>
      </c>
      <c r="AU100" s="1846">
        <f t="shared" ref="AU100" si="27">IF($AR$99="","",IF(AS100&lt;0,0,AS100))</f>
        <v>17.599999999999909</v>
      </c>
      <c r="AV100" s="1878"/>
      <c r="AW100" s="1847" t="s">
        <v>9</v>
      </c>
      <c r="AY100" s="2370"/>
      <c r="AZ100" s="2372" t="s">
        <v>1017</v>
      </c>
      <c r="BA100" s="1368" t="s">
        <v>1281</v>
      </c>
      <c r="BB100" s="1082"/>
      <c r="BC100" s="1082"/>
      <c r="BD100" s="1082"/>
      <c r="BE100" s="1082"/>
      <c r="BF100" s="1082"/>
      <c r="BG100" s="1082"/>
      <c r="BH100" s="1082"/>
      <c r="BI100" s="1082"/>
      <c r="BJ100" s="1082"/>
      <c r="BK100" s="1082"/>
      <c r="BL100" s="1082"/>
      <c r="BM100" s="1082"/>
    </row>
    <row r="101" spans="1:65" ht="39.75" hidden="1" customHeight="1">
      <c r="A101" s="1826" t="s">
        <v>311</v>
      </c>
      <c r="B101" s="1068" t="s">
        <v>128</v>
      </c>
      <c r="C101" s="216" t="s">
        <v>195</v>
      </c>
      <c r="D101" s="213" t="s">
        <v>121</v>
      </c>
      <c r="E101" s="44" t="s">
        <v>1333</v>
      </c>
      <c r="F101" s="2029" t="s">
        <v>1323</v>
      </c>
      <c r="G101" s="1397"/>
      <c r="H101" s="214"/>
      <c r="I101" s="1833">
        <f>XM.HN!B73</f>
        <v>4.0999999999999996</v>
      </c>
      <c r="J101" s="1859"/>
      <c r="K101" s="1835"/>
      <c r="L101" s="1836"/>
      <c r="M101" s="1887"/>
      <c r="N101" s="1880"/>
      <c r="O101" s="251"/>
      <c r="P101" s="1833">
        <f>XM.HN!C73</f>
        <v>4.0999999999999996</v>
      </c>
      <c r="Q101" s="1859"/>
      <c r="R101" s="1835"/>
      <c r="S101" s="1836"/>
      <c r="T101" s="1887"/>
      <c r="U101" s="1880"/>
      <c r="V101" s="1711"/>
      <c r="W101" s="1833">
        <f>XM.HN!D73</f>
        <v>4.0999999999999996</v>
      </c>
      <c r="X101" s="1859"/>
      <c r="Y101" s="1835"/>
      <c r="Z101" s="1836"/>
      <c r="AA101" s="1887"/>
      <c r="AB101" s="1860"/>
      <c r="AC101" s="215"/>
      <c r="AD101" s="1833">
        <f>XM.HN!E73</f>
        <v>4.1500000000000004</v>
      </c>
      <c r="AE101" s="1859"/>
      <c r="AF101" s="1835"/>
      <c r="AG101" s="1836"/>
      <c r="AH101" s="1887"/>
      <c r="AI101" s="1880"/>
      <c r="AJ101" s="1707"/>
      <c r="AK101" s="1833">
        <f>XM.HN!F73</f>
        <v>0</v>
      </c>
      <c r="AL101" s="1859"/>
      <c r="AM101" s="1835"/>
      <c r="AN101" s="1836"/>
      <c r="AO101" s="1887"/>
      <c r="AP101" s="1880"/>
      <c r="AQ101" s="1709"/>
      <c r="AR101" s="1833">
        <f>XM.HN!G73</f>
        <v>4.1100000000000003</v>
      </c>
      <c r="AS101" s="1859"/>
      <c r="AT101" s="1870"/>
      <c r="AU101" s="1836"/>
      <c r="AV101" s="1887"/>
      <c r="AW101" s="1880"/>
      <c r="AY101" s="2370"/>
      <c r="AZ101" s="2372" t="s">
        <v>1010</v>
      </c>
      <c r="BA101" s="1082"/>
      <c r="BB101" s="1082"/>
      <c r="BC101" s="1082"/>
      <c r="BD101" s="1082"/>
      <c r="BE101" s="1082"/>
      <c r="BF101" s="1082"/>
      <c r="BG101" s="1082"/>
      <c r="BH101" s="1082"/>
      <c r="BI101" s="1082"/>
      <c r="BJ101" s="1082"/>
      <c r="BK101" s="1082"/>
      <c r="BL101" s="1082"/>
      <c r="BM101" s="1082"/>
    </row>
    <row r="102" spans="1:65" s="211" customFormat="1" ht="54" customHeight="1">
      <c r="A102" s="295" t="s">
        <v>74</v>
      </c>
      <c r="B102" s="296"/>
      <c r="C102" s="2621"/>
      <c r="D102" s="2621"/>
      <c r="E102" s="284"/>
      <c r="F102" s="284"/>
      <c r="G102" s="2622"/>
      <c r="H102" s="2621"/>
      <c r="I102" s="2621"/>
      <c r="J102" s="2621"/>
      <c r="K102" s="2621"/>
      <c r="L102" s="2621"/>
      <c r="M102" s="2623"/>
      <c r="N102" s="2621"/>
      <c r="O102" s="2621"/>
      <c r="Q102" s="2621"/>
      <c r="R102" s="2621"/>
      <c r="S102" s="2621"/>
      <c r="T102" s="2624"/>
      <c r="V102" s="2621"/>
      <c r="W102" s="2621"/>
      <c r="X102" s="2621"/>
      <c r="Y102" s="2621"/>
      <c r="Z102" s="2621"/>
      <c r="AA102" s="2623"/>
      <c r="AB102" s="2621"/>
      <c r="AC102" s="2621"/>
      <c r="AD102" s="2621"/>
      <c r="AE102" s="2621"/>
      <c r="AF102" s="2621"/>
      <c r="AG102" s="2621"/>
      <c r="AH102" s="2623"/>
      <c r="AI102" s="2621"/>
      <c r="AK102" s="297"/>
      <c r="AL102" s="297"/>
      <c r="AM102" s="297"/>
      <c r="AN102" s="297"/>
      <c r="AO102" s="1732"/>
      <c r="AP102" s="297"/>
      <c r="AQ102" s="297"/>
      <c r="AR102" s="297"/>
      <c r="AS102" s="297"/>
      <c r="AT102" s="297"/>
      <c r="AU102" s="297"/>
      <c r="AV102" s="1732"/>
      <c r="AW102" s="1036"/>
    </row>
    <row r="103" spans="1:65" ht="50.25" customHeight="1">
      <c r="A103" s="1821" t="s">
        <v>239</v>
      </c>
      <c r="B103" s="1067" t="s">
        <v>318</v>
      </c>
      <c r="C103" s="2590" t="s">
        <v>62</v>
      </c>
      <c r="D103" s="288" t="s">
        <v>64</v>
      </c>
      <c r="E103" s="1456" t="s">
        <v>1318</v>
      </c>
      <c r="F103" s="2020" t="s">
        <v>1317</v>
      </c>
      <c r="G103" s="1399"/>
      <c r="H103" s="94"/>
      <c r="I103" s="2153" t="s">
        <v>46</v>
      </c>
      <c r="J103" s="2606"/>
      <c r="K103" s="2606"/>
      <c r="L103" s="2606" t="s">
        <v>63</v>
      </c>
      <c r="M103" s="2625"/>
      <c r="N103" s="2626"/>
      <c r="O103" s="288"/>
      <c r="P103" s="2153" t="s">
        <v>46</v>
      </c>
      <c r="Q103" s="2606"/>
      <c r="R103" s="2606"/>
      <c r="S103" s="2606" t="s">
        <v>63</v>
      </c>
      <c r="T103" s="2625"/>
      <c r="U103" s="2627"/>
      <c r="V103" s="1884"/>
      <c r="W103" s="2628" t="s">
        <v>46</v>
      </c>
      <c r="X103" s="2629"/>
      <c r="Y103" s="2629"/>
      <c r="Z103" s="2629" t="s">
        <v>63</v>
      </c>
      <c r="AA103" s="2630"/>
      <c r="AB103" s="2631"/>
      <c r="AC103" s="1890"/>
      <c r="AD103" s="2153" t="s">
        <v>46</v>
      </c>
      <c r="AE103" s="2606"/>
      <c r="AF103" s="2606"/>
      <c r="AG103" s="2606" t="s">
        <v>63</v>
      </c>
      <c r="AH103" s="2625"/>
      <c r="AI103" s="2627"/>
      <c r="AJ103" s="1884"/>
      <c r="AK103" s="1827" t="s">
        <v>46</v>
      </c>
      <c r="AL103" s="1828"/>
      <c r="AM103" s="1828"/>
      <c r="AN103" s="1828" t="s">
        <v>63</v>
      </c>
      <c r="AO103" s="1879"/>
      <c r="AP103" s="1883"/>
      <c r="AQ103" s="1884"/>
      <c r="AR103" s="1827" t="s">
        <v>46</v>
      </c>
      <c r="AS103" s="1828"/>
      <c r="AT103" s="1828"/>
      <c r="AU103" s="1828" t="s">
        <v>63</v>
      </c>
      <c r="AV103" s="1879"/>
      <c r="AW103" s="1829"/>
      <c r="AY103" s="1081" t="s">
        <v>1543</v>
      </c>
    </row>
    <row r="104" spans="1:65" ht="45" customHeight="1">
      <c r="A104" s="1818" t="s">
        <v>300</v>
      </c>
      <c r="B104" s="1068" t="s">
        <v>128</v>
      </c>
      <c r="C104" s="2609" t="s">
        <v>66</v>
      </c>
      <c r="D104" s="99" t="s">
        <v>106</v>
      </c>
      <c r="E104" s="102" t="s">
        <v>1358</v>
      </c>
      <c r="F104" s="2021" t="s">
        <v>1339</v>
      </c>
      <c r="G104" s="1401"/>
      <c r="H104" s="100"/>
      <c r="I104" s="2576">
        <f>'XM.FILE GOC'!I104</f>
        <v>60</v>
      </c>
      <c r="J104" s="2567"/>
      <c r="K104" s="2567"/>
      <c r="L104" s="2567">
        <f>'XM.FILE GOC'!L104</f>
        <v>60</v>
      </c>
      <c r="M104" s="2567"/>
      <c r="N104" s="2578"/>
      <c r="O104" s="1474"/>
      <c r="P104" s="2576">
        <f>'XM.FILE GOC'!P104</f>
        <v>60</v>
      </c>
      <c r="Q104" s="2567"/>
      <c r="R104" s="2567"/>
      <c r="S104" s="2567">
        <f>'XM.FILE GOC'!S104</f>
        <v>60</v>
      </c>
      <c r="T104" s="2567"/>
      <c r="U104" s="2578"/>
      <c r="V104" s="2610"/>
      <c r="W104" s="2576">
        <f>'XM.FILE GOC'!W104</f>
        <v>60</v>
      </c>
      <c r="X104" s="2567"/>
      <c r="Y104" s="2567"/>
      <c r="Z104" s="2567">
        <f>'XM.FILE GOC'!Z104</f>
        <v>60</v>
      </c>
      <c r="AA104" s="2567"/>
      <c r="AB104" s="2578"/>
      <c r="AC104" s="2610"/>
      <c r="AD104" s="2576">
        <f>'XM.FILE GOC'!AD104</f>
        <v>61</v>
      </c>
      <c r="AE104" s="2567"/>
      <c r="AF104" s="2567"/>
      <c r="AG104" s="2567">
        <f>'XM.FILE GOC'!AG104</f>
        <v>60</v>
      </c>
      <c r="AH104" s="2567"/>
      <c r="AI104" s="2568"/>
      <c r="AJ104" s="2609"/>
      <c r="AK104" s="2828">
        <f>'XM.FILE GOC'!AK104</f>
        <v>0</v>
      </c>
      <c r="AL104" s="2819"/>
      <c r="AM104" s="2819"/>
      <c r="AN104" s="2819">
        <f>'XM.FILE GOC'!AN104</f>
        <v>0</v>
      </c>
      <c r="AO104" s="2819"/>
      <c r="AP104" s="2820"/>
      <c r="AQ104" s="290"/>
      <c r="AR104" s="2828">
        <f>'XM.FILE GOC'!AR104</f>
        <v>61</v>
      </c>
      <c r="AS104" s="2819"/>
      <c r="AT104" s="2819"/>
      <c r="AU104" s="2819">
        <f>'XM.FILE GOC'!AU104</f>
        <v>60</v>
      </c>
      <c r="AV104" s="2819"/>
      <c r="AW104" s="2820"/>
      <c r="AY104" s="2370"/>
    </row>
    <row r="105" spans="1:65" ht="45" customHeight="1">
      <c r="A105" s="1818" t="s">
        <v>301</v>
      </c>
      <c r="B105" s="1068" t="s">
        <v>128</v>
      </c>
      <c r="C105" s="2609" t="s">
        <v>67</v>
      </c>
      <c r="D105" s="99" t="s">
        <v>106</v>
      </c>
      <c r="E105" s="102" t="s">
        <v>1358</v>
      </c>
      <c r="F105" s="2021" t="s">
        <v>1339</v>
      </c>
      <c r="G105" s="1401"/>
      <c r="H105" s="100"/>
      <c r="I105" s="2576">
        <f>'XM.FILE GOC'!I105</f>
        <v>61</v>
      </c>
      <c r="J105" s="2567"/>
      <c r="K105" s="2567"/>
      <c r="L105" s="2567">
        <f>'XM.FILE GOC'!L105</f>
        <v>61</v>
      </c>
      <c r="M105" s="2567"/>
      <c r="N105" s="2578"/>
      <c r="O105" s="1474"/>
      <c r="P105" s="2576">
        <f>'XM.FILE GOC'!P105</f>
        <v>60</v>
      </c>
      <c r="Q105" s="2567"/>
      <c r="R105" s="2567"/>
      <c r="S105" s="2567">
        <f>'XM.FILE GOC'!S105</f>
        <v>60</v>
      </c>
      <c r="T105" s="2567"/>
      <c r="U105" s="2578"/>
      <c r="V105" s="2610"/>
      <c r="W105" s="2576">
        <f>'XM.FILE GOC'!W105</f>
        <v>61</v>
      </c>
      <c r="X105" s="2567"/>
      <c r="Y105" s="2567"/>
      <c r="Z105" s="2567">
        <f>'XM.FILE GOC'!Z105</f>
        <v>60</v>
      </c>
      <c r="AA105" s="2567"/>
      <c r="AB105" s="2578"/>
      <c r="AC105" s="2610"/>
      <c r="AD105" s="2576">
        <f>'XM.FILE GOC'!AD105</f>
        <v>61</v>
      </c>
      <c r="AE105" s="2567"/>
      <c r="AF105" s="2567"/>
      <c r="AG105" s="2567">
        <f>'XM.FILE GOC'!AG105</f>
        <v>60</v>
      </c>
      <c r="AH105" s="2567"/>
      <c r="AI105" s="2568"/>
      <c r="AJ105" s="2609"/>
      <c r="AK105" s="2828">
        <f>'XM.FILE GOC'!AK105</f>
        <v>0</v>
      </c>
      <c r="AL105" s="2819"/>
      <c r="AM105" s="2819"/>
      <c r="AN105" s="2819">
        <f>'XM.FILE GOC'!AN105</f>
        <v>0</v>
      </c>
      <c r="AO105" s="2819"/>
      <c r="AP105" s="2820"/>
      <c r="AQ105" s="290"/>
      <c r="AR105" s="2828">
        <f>'XM.FILE GOC'!AR105</f>
        <v>61</v>
      </c>
      <c r="AS105" s="2819"/>
      <c r="AT105" s="2819"/>
      <c r="AU105" s="2819">
        <f>'XM.FILE GOC'!AU105</f>
        <v>60</v>
      </c>
      <c r="AV105" s="2819"/>
      <c r="AW105" s="2820"/>
      <c r="AY105" s="2370"/>
    </row>
    <row r="106" spans="1:65" ht="45" customHeight="1">
      <c r="A106" s="1818" t="s">
        <v>302</v>
      </c>
      <c r="B106" s="1068" t="s">
        <v>128</v>
      </c>
      <c r="C106" s="2609" t="s">
        <v>69</v>
      </c>
      <c r="D106" s="99" t="s">
        <v>106</v>
      </c>
      <c r="E106" s="102" t="s">
        <v>1358</v>
      </c>
      <c r="F106" s="2021" t="s">
        <v>1339</v>
      </c>
      <c r="G106" s="1401"/>
      <c r="H106" s="100"/>
      <c r="I106" s="2576">
        <f>'XM.FILE GOC'!I106</f>
        <v>61</v>
      </c>
      <c r="J106" s="2567"/>
      <c r="K106" s="2567"/>
      <c r="L106" s="2567">
        <f>'XM.FILE GOC'!L106</f>
        <v>60</v>
      </c>
      <c r="M106" s="2567"/>
      <c r="N106" s="2578"/>
      <c r="O106" s="1474"/>
      <c r="P106" s="2576">
        <f>'XM.FILE GOC'!P106</f>
        <v>60</v>
      </c>
      <c r="Q106" s="2567"/>
      <c r="R106" s="2567"/>
      <c r="S106" s="2567">
        <f>'XM.FILE GOC'!S106</f>
        <v>60</v>
      </c>
      <c r="T106" s="2567"/>
      <c r="U106" s="2578"/>
      <c r="V106" s="2610"/>
      <c r="W106" s="2576">
        <f>'XM.FILE GOC'!W106</f>
        <v>59</v>
      </c>
      <c r="X106" s="2567"/>
      <c r="Y106" s="2567"/>
      <c r="Z106" s="2567">
        <f>'XM.FILE GOC'!Z106</f>
        <v>58</v>
      </c>
      <c r="AA106" s="2567"/>
      <c r="AB106" s="2578"/>
      <c r="AC106" s="2610"/>
      <c r="AD106" s="2576">
        <f>'XM.FILE GOC'!AD106</f>
        <v>60</v>
      </c>
      <c r="AE106" s="2567"/>
      <c r="AF106" s="2567"/>
      <c r="AG106" s="2567">
        <f>'XM.FILE GOC'!AG106</f>
        <v>59</v>
      </c>
      <c r="AH106" s="2567"/>
      <c r="AI106" s="2568"/>
      <c r="AJ106" s="2609"/>
      <c r="AK106" s="2828">
        <f>'XM.FILE GOC'!AK106</f>
        <v>0</v>
      </c>
      <c r="AL106" s="2819"/>
      <c r="AM106" s="2819"/>
      <c r="AN106" s="2819">
        <f>'XM.FILE GOC'!AN106</f>
        <v>0</v>
      </c>
      <c r="AO106" s="2819"/>
      <c r="AP106" s="2820"/>
      <c r="AQ106" s="290"/>
      <c r="AR106" s="2828">
        <f>'XM.FILE GOC'!AR106</f>
        <v>61</v>
      </c>
      <c r="AS106" s="2819"/>
      <c r="AT106" s="2819"/>
      <c r="AU106" s="2819">
        <f>'XM.FILE GOC'!AU106</f>
        <v>60</v>
      </c>
      <c r="AV106" s="2819"/>
      <c r="AW106" s="2820"/>
      <c r="AY106" s="2370"/>
    </row>
    <row r="107" spans="1:65" ht="45" customHeight="1">
      <c r="A107" s="1818" t="s">
        <v>303</v>
      </c>
      <c r="B107" s="1068" t="s">
        <v>128</v>
      </c>
      <c r="C107" s="2609" t="s">
        <v>1296</v>
      </c>
      <c r="D107" s="99" t="s">
        <v>106</v>
      </c>
      <c r="E107" s="102" t="s">
        <v>1358</v>
      </c>
      <c r="F107" s="2021" t="s">
        <v>1339</v>
      </c>
      <c r="G107" s="1401"/>
      <c r="H107" s="100"/>
      <c r="I107" s="2576">
        <f>'XM.FILE GOC'!I107</f>
        <v>62</v>
      </c>
      <c r="J107" s="2567"/>
      <c r="K107" s="2567"/>
      <c r="L107" s="2567">
        <f>'XM.FILE GOC'!L107</f>
        <v>63</v>
      </c>
      <c r="M107" s="2567"/>
      <c r="N107" s="2578"/>
      <c r="O107" s="1474"/>
      <c r="P107" s="2576">
        <f>'XM.FILE GOC'!P107</f>
        <v>63</v>
      </c>
      <c r="Q107" s="2567"/>
      <c r="R107" s="2567"/>
      <c r="S107" s="2567">
        <f>'XM.FILE GOC'!S107</f>
        <v>64</v>
      </c>
      <c r="T107" s="2567"/>
      <c r="U107" s="2578"/>
      <c r="V107" s="2610"/>
      <c r="W107" s="2576">
        <f>'XM.FILE GOC'!W107</f>
        <v>63</v>
      </c>
      <c r="X107" s="2567"/>
      <c r="Y107" s="2567"/>
      <c r="Z107" s="2567">
        <f>'XM.FILE GOC'!Z107</f>
        <v>63</v>
      </c>
      <c r="AA107" s="2567"/>
      <c r="AB107" s="2578"/>
      <c r="AC107" s="2610"/>
      <c r="AD107" s="2576">
        <f>'XM.FILE GOC'!AD107</f>
        <v>62</v>
      </c>
      <c r="AE107" s="2567"/>
      <c r="AF107" s="2567"/>
      <c r="AG107" s="2567">
        <f>'XM.FILE GOC'!AG107</f>
        <v>61</v>
      </c>
      <c r="AH107" s="2567"/>
      <c r="AI107" s="2568"/>
      <c r="AJ107" s="2609"/>
      <c r="AK107" s="2828">
        <f>'XM.FILE GOC'!AK107</f>
        <v>0</v>
      </c>
      <c r="AL107" s="2819"/>
      <c r="AM107" s="2819"/>
      <c r="AN107" s="2819">
        <f>'XM.FILE GOC'!AN107</f>
        <v>0</v>
      </c>
      <c r="AO107" s="2819"/>
      <c r="AP107" s="2820"/>
      <c r="AQ107" s="290"/>
      <c r="AR107" s="2828">
        <f>'XM.FILE GOC'!AR107</f>
        <v>61</v>
      </c>
      <c r="AS107" s="2819"/>
      <c r="AT107" s="2819"/>
      <c r="AU107" s="2819">
        <f>'XM.FILE GOC'!AU107</f>
        <v>60</v>
      </c>
      <c r="AV107" s="2819"/>
      <c r="AW107" s="2820"/>
      <c r="AY107" s="2370"/>
    </row>
    <row r="108" spans="1:65" ht="45" customHeight="1">
      <c r="A108" s="1818" t="s">
        <v>314</v>
      </c>
      <c r="B108" s="1068" t="s">
        <v>128</v>
      </c>
      <c r="C108" s="2609" t="s">
        <v>70</v>
      </c>
      <c r="D108" s="99" t="s">
        <v>106</v>
      </c>
      <c r="E108" s="102" t="s">
        <v>1559</v>
      </c>
      <c r="F108" s="2030" t="s">
        <v>1560</v>
      </c>
      <c r="G108" s="1401"/>
      <c r="H108" s="100"/>
      <c r="I108" s="2582">
        <f>'XM.FILE GOC'!I108</f>
        <v>25</v>
      </c>
      <c r="J108" s="2583"/>
      <c r="K108" s="2583"/>
      <c r="L108" s="2583">
        <f>'XM.FILE GOC'!L108</f>
        <v>25</v>
      </c>
      <c r="M108" s="2583"/>
      <c r="N108" s="2583"/>
      <c r="O108" s="2584"/>
      <c r="P108" s="2582">
        <f>'XM.FILE GOC'!P108</f>
        <v>26</v>
      </c>
      <c r="Q108" s="2583"/>
      <c r="R108" s="2583"/>
      <c r="S108" s="2583">
        <f>'XM.FILE GOC'!S108</f>
        <v>25</v>
      </c>
      <c r="T108" s="2583"/>
      <c r="U108" s="2583"/>
      <c r="V108" s="2584"/>
      <c r="W108" s="2582">
        <f>'XM.FILE GOC'!W108</f>
        <v>25</v>
      </c>
      <c r="X108" s="2583"/>
      <c r="Y108" s="2583"/>
      <c r="Z108" s="2583">
        <f>'XM.FILE GOC'!Z108</f>
        <v>24</v>
      </c>
      <c r="AA108" s="2583"/>
      <c r="AB108" s="2583"/>
      <c r="AC108" s="2584"/>
      <c r="AD108" s="2582">
        <f>'XM.FILE GOC'!AD108</f>
        <v>26</v>
      </c>
      <c r="AE108" s="2583"/>
      <c r="AF108" s="2583"/>
      <c r="AG108" s="2583">
        <f>'XM.FILE GOC'!AG108</f>
        <v>25</v>
      </c>
      <c r="AH108" s="2583"/>
      <c r="AI108" s="2583"/>
      <c r="AJ108" s="2584"/>
      <c r="AK108" s="2840">
        <f>'XM.FILE GOC'!AK108</f>
        <v>0</v>
      </c>
      <c r="AL108" s="2841"/>
      <c r="AM108" s="2841"/>
      <c r="AN108" s="2841">
        <f>'XM.FILE GOC'!AN108</f>
        <v>0</v>
      </c>
      <c r="AO108" s="2841"/>
      <c r="AP108" s="2841"/>
      <c r="AQ108" s="2842"/>
      <c r="AR108" s="2840">
        <f>'XM.FILE GOC'!AR108</f>
        <v>26</v>
      </c>
      <c r="AS108" s="2841"/>
      <c r="AT108" s="2841"/>
      <c r="AU108" s="2841">
        <f>'XM.FILE GOC'!AU108</f>
        <v>25</v>
      </c>
      <c r="AV108" s="2841"/>
      <c r="AW108" s="2842"/>
      <c r="AY108" s="2370"/>
    </row>
    <row r="109" spans="1:65" ht="45" customHeight="1">
      <c r="A109" s="1819" t="s">
        <v>304</v>
      </c>
      <c r="B109" s="1068" t="s">
        <v>128</v>
      </c>
      <c r="C109" s="2609" t="s">
        <v>1292</v>
      </c>
      <c r="D109" s="99" t="s">
        <v>106</v>
      </c>
      <c r="E109" s="102" t="s">
        <v>1553</v>
      </c>
      <c r="F109" s="2030" t="s">
        <v>1554</v>
      </c>
      <c r="G109" s="1401"/>
      <c r="H109" s="100"/>
      <c r="I109" s="2576">
        <f>'XM.FILE GOC'!I109</f>
        <v>34</v>
      </c>
      <c r="J109" s="2567"/>
      <c r="K109" s="2578"/>
      <c r="L109" s="2567">
        <f>'XM.FILE GOC'!L109</f>
        <v>33</v>
      </c>
      <c r="M109" s="2567"/>
      <c r="N109" s="2568"/>
      <c r="O109" s="288"/>
      <c r="P109" s="2576">
        <f>'XM.FILE GOC'!P109</f>
        <v>34</v>
      </c>
      <c r="Q109" s="2567"/>
      <c r="R109" s="2578"/>
      <c r="S109" s="2567">
        <f>'XM.FILE GOC'!S109</f>
        <v>33</v>
      </c>
      <c r="T109" s="2567"/>
      <c r="U109" s="2568"/>
      <c r="V109" s="1884"/>
      <c r="W109" s="2576">
        <f>'XM.FILE GOC'!W109</f>
        <v>34</v>
      </c>
      <c r="X109" s="2567"/>
      <c r="Y109" s="2578"/>
      <c r="Z109" s="2567">
        <f>'XM.FILE GOC'!Z109</f>
        <v>33</v>
      </c>
      <c r="AA109" s="2567"/>
      <c r="AB109" s="2568"/>
      <c r="AC109" s="1890"/>
      <c r="AD109" s="2576">
        <f>'XM.FILE GOC'!AD109</f>
        <v>34</v>
      </c>
      <c r="AE109" s="2567"/>
      <c r="AF109" s="2578"/>
      <c r="AG109" s="2567">
        <f>'XM.FILE GOC'!AG109</f>
        <v>33</v>
      </c>
      <c r="AH109" s="2567"/>
      <c r="AI109" s="2568"/>
      <c r="AJ109" s="1884"/>
      <c r="AK109" s="2828">
        <f>'XM.FILE GOC'!AK109</f>
        <v>0</v>
      </c>
      <c r="AL109" s="2819"/>
      <c r="AM109" s="2830"/>
      <c r="AN109" s="2819">
        <f>'XM.FILE GOC'!AN109</f>
        <v>0</v>
      </c>
      <c r="AO109" s="2819"/>
      <c r="AP109" s="2820"/>
      <c r="AQ109" s="1884"/>
      <c r="AR109" s="2828">
        <f>'XM.FILE GOC'!AR109</f>
        <v>34</v>
      </c>
      <c r="AS109" s="2819"/>
      <c r="AT109" s="2830"/>
      <c r="AU109" s="2819">
        <f>'XM.FILE GOC'!AU109</f>
        <v>33</v>
      </c>
      <c r="AV109" s="2819"/>
      <c r="AW109" s="2820"/>
      <c r="AY109" s="2370"/>
    </row>
    <row r="110" spans="1:65" ht="45" customHeight="1">
      <c r="A110" s="1819" t="s">
        <v>305</v>
      </c>
      <c r="B110" s="1068" t="s">
        <v>128</v>
      </c>
      <c r="C110" s="2609" t="s">
        <v>71</v>
      </c>
      <c r="D110" s="99" t="s">
        <v>106</v>
      </c>
      <c r="E110" s="102" t="s">
        <v>1357</v>
      </c>
      <c r="F110" s="2030" t="s">
        <v>1339</v>
      </c>
      <c r="G110" s="1401"/>
      <c r="H110" s="100"/>
      <c r="I110" s="2576">
        <f>'XM.FILE GOC'!I110</f>
        <v>56</v>
      </c>
      <c r="J110" s="2567"/>
      <c r="K110" s="2567"/>
      <c r="L110" s="2577">
        <f>'XM.FILE GOC'!L110</f>
        <v>54</v>
      </c>
      <c r="M110" s="2567"/>
      <c r="N110" s="2567"/>
      <c r="O110" s="2576"/>
      <c r="P110" s="2576">
        <f>'XM.FILE GOC'!P110</f>
        <v>62</v>
      </c>
      <c r="Q110" s="2567"/>
      <c r="R110" s="2567"/>
      <c r="S110" s="2577">
        <f>'XM.FILE GOC'!S110</f>
        <v>61</v>
      </c>
      <c r="T110" s="2567"/>
      <c r="U110" s="2567"/>
      <c r="V110" s="2576"/>
      <c r="W110" s="2576">
        <f>'XM.FILE GOC'!W110</f>
        <v>58</v>
      </c>
      <c r="X110" s="2567"/>
      <c r="Y110" s="2567"/>
      <c r="Z110" s="2577">
        <f>'XM.FILE GOC'!Z110</f>
        <v>57</v>
      </c>
      <c r="AA110" s="2567"/>
      <c r="AB110" s="2567"/>
      <c r="AC110" s="2576"/>
      <c r="AD110" s="2576">
        <f>'XM.FILE GOC'!AD110</f>
        <v>61</v>
      </c>
      <c r="AE110" s="2567"/>
      <c r="AF110" s="2567"/>
      <c r="AG110" s="2577">
        <f>'XM.FILE GOC'!AG110</f>
        <v>60</v>
      </c>
      <c r="AH110" s="2567"/>
      <c r="AI110" s="2567"/>
      <c r="AJ110" s="2576"/>
      <c r="AK110" s="2828">
        <f>'XM.FILE GOC'!AK110</f>
        <v>0</v>
      </c>
      <c r="AL110" s="2819"/>
      <c r="AM110" s="2819"/>
      <c r="AN110" s="2829">
        <f>'XM.FILE GOC'!AN110</f>
        <v>0</v>
      </c>
      <c r="AO110" s="2819"/>
      <c r="AP110" s="2819"/>
      <c r="AQ110" s="2379"/>
      <c r="AR110" s="2828">
        <f>'XM.FILE GOC'!AR110</f>
        <v>59</v>
      </c>
      <c r="AS110" s="2819"/>
      <c r="AT110" s="2819"/>
      <c r="AU110" s="2819">
        <f>'XM.FILE GOC'!AU110</f>
        <v>58</v>
      </c>
      <c r="AV110" s="2819"/>
      <c r="AW110" s="2820"/>
      <c r="AY110" s="2370"/>
    </row>
    <row r="111" spans="1:65" ht="45" customHeight="1">
      <c r="A111" s="1080" t="s">
        <v>306</v>
      </c>
      <c r="B111" s="1068" t="s">
        <v>128</v>
      </c>
      <c r="C111" s="2609" t="s">
        <v>72</v>
      </c>
      <c r="D111" s="99" t="s">
        <v>106</v>
      </c>
      <c r="E111" s="102" t="s">
        <v>1555</v>
      </c>
      <c r="F111" s="2030" t="s">
        <v>1540</v>
      </c>
      <c r="G111" s="1401"/>
      <c r="H111" s="100"/>
      <c r="I111" s="2585" t="s">
        <v>1290</v>
      </c>
      <c r="J111" s="2586"/>
      <c r="K111" s="2587"/>
      <c r="L111" s="2567">
        <f>'XM.FILE GOC'!L111</f>
        <v>94</v>
      </c>
      <c r="M111" s="2567"/>
      <c r="N111" s="2568"/>
      <c r="O111" s="2606"/>
      <c r="P111" s="2573" t="s">
        <v>1290</v>
      </c>
      <c r="Q111" s="2574"/>
      <c r="R111" s="2575"/>
      <c r="S111" s="2567">
        <f>'XM.FILE GOC'!S111</f>
        <v>92</v>
      </c>
      <c r="T111" s="2567"/>
      <c r="U111" s="2568"/>
      <c r="V111" s="2606"/>
      <c r="W111" s="2573" t="s">
        <v>1290</v>
      </c>
      <c r="X111" s="2574"/>
      <c r="Y111" s="2575"/>
      <c r="Z111" s="2567">
        <f>'XM.FILE GOC'!Z111</f>
        <v>94</v>
      </c>
      <c r="AA111" s="2567"/>
      <c r="AB111" s="2568"/>
      <c r="AC111" s="2606"/>
      <c r="AD111" s="2573" t="s">
        <v>1290</v>
      </c>
      <c r="AE111" s="2574"/>
      <c r="AF111" s="2575"/>
      <c r="AG111" s="2567">
        <f>'XM.FILE GOC'!AG111</f>
        <v>92</v>
      </c>
      <c r="AH111" s="2567"/>
      <c r="AI111" s="2568"/>
      <c r="AJ111" s="2606"/>
      <c r="AK111" s="2825" t="s">
        <v>1290</v>
      </c>
      <c r="AL111" s="2826"/>
      <c r="AM111" s="2827"/>
      <c r="AN111" s="2819">
        <f>'XM.FILE GOC'!AN111</f>
        <v>0</v>
      </c>
      <c r="AO111" s="2819"/>
      <c r="AP111" s="2820"/>
      <c r="AQ111" s="2380"/>
      <c r="AR111" s="2825" t="s">
        <v>1290</v>
      </c>
      <c r="AS111" s="2826"/>
      <c r="AT111" s="2827"/>
      <c r="AU111" s="2819">
        <f>'XM.FILE GOC'!AU111</f>
        <v>92</v>
      </c>
      <c r="AV111" s="2819"/>
      <c r="AW111" s="2820"/>
      <c r="AY111" s="2370"/>
    </row>
    <row r="112" spans="1:65" ht="45" customHeight="1">
      <c r="A112" s="1819"/>
      <c r="B112" s="1441"/>
      <c r="C112" s="2609" t="s">
        <v>1303</v>
      </c>
      <c r="D112" s="99" t="s">
        <v>106</v>
      </c>
      <c r="E112" s="102" t="s">
        <v>1362</v>
      </c>
      <c r="F112" s="2021" t="s">
        <v>1558</v>
      </c>
      <c r="G112" s="1447"/>
      <c r="H112" s="100"/>
      <c r="I112" s="2571">
        <f>'XM.FILE GOC'!I112</f>
        <v>52</v>
      </c>
      <c r="J112" s="2569"/>
      <c r="K112" s="2572"/>
      <c r="L112" s="2569">
        <f>'XM.FILE GOC'!L112</f>
        <v>51</v>
      </c>
      <c r="M112" s="2569"/>
      <c r="N112" s="2570"/>
      <c r="O112" s="1474"/>
      <c r="P112" s="2571">
        <f>'XM.FILE GOC'!P112</f>
        <v>52</v>
      </c>
      <c r="Q112" s="2569"/>
      <c r="R112" s="2572"/>
      <c r="S112" s="2569">
        <f>'XM.FILE GOC'!S112</f>
        <v>51</v>
      </c>
      <c r="T112" s="2569"/>
      <c r="U112" s="2570"/>
      <c r="V112" s="2377"/>
      <c r="W112" s="2571">
        <f>'XM.FILE GOC'!W112</f>
        <v>52</v>
      </c>
      <c r="X112" s="2569"/>
      <c r="Y112" s="2572"/>
      <c r="Z112" s="2569">
        <f>'XM.FILE GOC'!Z112</f>
        <v>52</v>
      </c>
      <c r="AA112" s="2569"/>
      <c r="AB112" s="2570"/>
      <c r="AC112" s="2378"/>
      <c r="AD112" s="2571">
        <f>'XM.FILE GOC'!AD112</f>
        <v>54</v>
      </c>
      <c r="AE112" s="2569"/>
      <c r="AF112" s="2572"/>
      <c r="AG112" s="2569">
        <f>'XM.FILE GOC'!AG112</f>
        <v>53</v>
      </c>
      <c r="AH112" s="2569"/>
      <c r="AI112" s="2570"/>
      <c r="AJ112" s="2377"/>
      <c r="AK112" s="2823">
        <f>'XM.FILE GOC'!AK112</f>
        <v>0</v>
      </c>
      <c r="AL112" s="2821"/>
      <c r="AM112" s="2824"/>
      <c r="AN112" s="2821">
        <f>'XM.FILE GOC'!AN112</f>
        <v>0</v>
      </c>
      <c r="AO112" s="2821"/>
      <c r="AP112" s="2822"/>
      <c r="AQ112" s="2377"/>
      <c r="AR112" s="2823">
        <f>'XM.FILE GOC'!AR112</f>
        <v>51</v>
      </c>
      <c r="AS112" s="2821"/>
      <c r="AT112" s="2824"/>
      <c r="AU112" s="2821">
        <f>'XM.FILE GOC'!AU112</f>
        <v>50</v>
      </c>
      <c r="AV112" s="2821"/>
      <c r="AW112" s="2822"/>
      <c r="AY112" s="2370"/>
    </row>
    <row r="113" spans="1:51" ht="45" customHeight="1">
      <c r="A113" s="1819"/>
      <c r="B113" s="2362"/>
      <c r="C113" s="2609" t="s">
        <v>1304</v>
      </c>
      <c r="D113" s="99" t="s">
        <v>106</v>
      </c>
      <c r="E113" s="102" t="s">
        <v>1358</v>
      </c>
      <c r="F113" s="2021" t="s">
        <v>1556</v>
      </c>
      <c r="G113" s="2367"/>
      <c r="H113" s="100"/>
      <c r="I113" s="2571">
        <f>'XM.FILE GOC'!I113</f>
        <v>54</v>
      </c>
      <c r="J113" s="2569"/>
      <c r="K113" s="2572"/>
      <c r="L113" s="2569">
        <f>'XM.FILE GOC'!L113</f>
        <v>53</v>
      </c>
      <c r="M113" s="2569"/>
      <c r="N113" s="2570"/>
      <c r="O113" s="1474"/>
      <c r="P113" s="2571">
        <f>'XM.FILE GOC'!P113</f>
        <v>57</v>
      </c>
      <c r="Q113" s="2569"/>
      <c r="R113" s="2572"/>
      <c r="S113" s="2569">
        <f>'XM.FILE GOC'!S113</f>
        <v>58</v>
      </c>
      <c r="T113" s="2569"/>
      <c r="U113" s="2570"/>
      <c r="V113" s="2377"/>
      <c r="W113" s="2571">
        <f>'XM.FILE GOC'!W113</f>
        <v>60</v>
      </c>
      <c r="X113" s="2569"/>
      <c r="Y113" s="2572"/>
      <c r="Z113" s="2569">
        <f>'XM.FILE GOC'!Z113</f>
        <v>61</v>
      </c>
      <c r="AA113" s="2569"/>
      <c r="AB113" s="2570"/>
      <c r="AC113" s="2378"/>
      <c r="AD113" s="2571">
        <f>'XM.FILE GOC'!AD113</f>
        <v>61</v>
      </c>
      <c r="AE113" s="2569"/>
      <c r="AF113" s="2572"/>
      <c r="AG113" s="2569">
        <f>'XM.FILE GOC'!AG113</f>
        <v>60</v>
      </c>
      <c r="AH113" s="2569"/>
      <c r="AI113" s="2570"/>
      <c r="AJ113" s="2377"/>
      <c r="AK113" s="2823">
        <f>'XM.FILE GOC'!AK113</f>
        <v>0</v>
      </c>
      <c r="AL113" s="2821"/>
      <c r="AM113" s="2824"/>
      <c r="AN113" s="2821">
        <f>'XM.FILE GOC'!AN113</f>
        <v>0</v>
      </c>
      <c r="AO113" s="2821"/>
      <c r="AP113" s="2822"/>
      <c r="AQ113" s="2377"/>
      <c r="AR113" s="2823">
        <f>'XM.FILE GOC'!AR113</f>
        <v>59</v>
      </c>
      <c r="AS113" s="2821"/>
      <c r="AT113" s="2824"/>
      <c r="AU113" s="2821">
        <f>'XM.FILE GOC'!AU113</f>
        <v>58</v>
      </c>
      <c r="AV113" s="2821"/>
      <c r="AW113" s="2822"/>
      <c r="AY113" s="2370"/>
    </row>
    <row r="114" spans="1:51" ht="45" hidden="1" customHeight="1">
      <c r="A114" s="1819"/>
      <c r="B114" s="1068"/>
      <c r="C114" s="2609" t="s">
        <v>994</v>
      </c>
      <c r="D114" s="21" t="s">
        <v>106</v>
      </c>
      <c r="E114" s="102" t="s">
        <v>1338</v>
      </c>
      <c r="F114" s="2021" t="s">
        <v>1338</v>
      </c>
      <c r="G114" s="1401"/>
      <c r="H114" s="100"/>
      <c r="I114" s="2571">
        <f>'XM.FILE GOC'!I114</f>
        <v>0</v>
      </c>
      <c r="J114" s="2569"/>
      <c r="K114" s="2572"/>
      <c r="L114" s="2569">
        <f>'XM.FILE GOC'!L114</f>
        <v>0</v>
      </c>
      <c r="M114" s="2569"/>
      <c r="N114" s="2569"/>
      <c r="O114" s="1850"/>
      <c r="P114" s="2571">
        <f>'XM.FILE GOC'!P114</f>
        <v>0</v>
      </c>
      <c r="Q114" s="2569"/>
      <c r="R114" s="2572"/>
      <c r="S114" s="2569">
        <f>'XM.FILE GOC'!S114</f>
        <v>0</v>
      </c>
      <c r="T114" s="2569"/>
      <c r="U114" s="2569"/>
      <c r="W114" s="2571">
        <f>'XM.FILE GOC'!W114</f>
        <v>0</v>
      </c>
      <c r="X114" s="2569"/>
      <c r="Y114" s="2572"/>
      <c r="Z114" s="2569">
        <f>'XM.FILE GOC'!Z114</f>
        <v>0</v>
      </c>
      <c r="AA114" s="2569"/>
      <c r="AB114" s="2569"/>
      <c r="AC114" s="2346"/>
      <c r="AD114" s="2571">
        <f>'XM.FILE GOC'!AD114</f>
        <v>0</v>
      </c>
      <c r="AE114" s="2569"/>
      <c r="AF114" s="2572"/>
      <c r="AG114" s="2569">
        <f>'XM.FILE GOC'!AG114</f>
        <v>0</v>
      </c>
      <c r="AH114" s="2569"/>
      <c r="AI114" s="2569"/>
      <c r="AJ114" s="1850"/>
      <c r="AK114" s="2823">
        <f>'XM.FILE GOC'!AK114</f>
        <v>0</v>
      </c>
      <c r="AL114" s="2821"/>
      <c r="AM114" s="2824"/>
      <c r="AN114" s="2821">
        <f>'XM.FILE GOC'!AN114</f>
        <v>0</v>
      </c>
      <c r="AO114" s="2821"/>
      <c r="AP114" s="2821"/>
      <c r="AR114" s="2823">
        <f>'XM.FILE GOC'!AR114</f>
        <v>0</v>
      </c>
      <c r="AS114" s="2821"/>
      <c r="AT114" s="2824"/>
      <c r="AU114" s="2821">
        <f>'XM.FILE GOC'!AU114</f>
        <v>0</v>
      </c>
      <c r="AV114" s="2821"/>
      <c r="AW114" s="2821"/>
      <c r="AY114" s="2370"/>
    </row>
    <row r="115" spans="1:51" ht="45" hidden="1" customHeight="1">
      <c r="A115" s="1819"/>
      <c r="B115" s="1422"/>
      <c r="C115" s="1424" t="s">
        <v>1293</v>
      </c>
      <c r="D115" s="21" t="s">
        <v>106</v>
      </c>
      <c r="E115" s="102" t="s">
        <v>1367</v>
      </c>
      <c r="F115" s="2021" t="s">
        <v>1469</v>
      </c>
      <c r="G115" s="1401"/>
      <c r="H115" s="100"/>
      <c r="I115" s="2581">
        <f>'XM.FILE GOC'!I115</f>
        <v>0</v>
      </c>
      <c r="J115" s="2579"/>
      <c r="K115" s="2579"/>
      <c r="L115" s="2579">
        <f>'XM.FILE GOC'!L115</f>
        <v>0</v>
      </c>
      <c r="M115" s="2579"/>
      <c r="N115" s="2579"/>
      <c r="O115" s="2580"/>
      <c r="P115" s="2581">
        <f>'XM.FILE GOC'!P115</f>
        <v>0</v>
      </c>
      <c r="Q115" s="2579"/>
      <c r="R115" s="2579"/>
      <c r="S115" s="2579">
        <f>'XM.FILE GOC'!S115</f>
        <v>0</v>
      </c>
      <c r="T115" s="2579"/>
      <c r="U115" s="2579"/>
      <c r="V115" s="2580"/>
      <c r="W115" s="2581">
        <f>'XM.FILE GOC'!W115</f>
        <v>0</v>
      </c>
      <c r="X115" s="2579"/>
      <c r="Y115" s="2579"/>
      <c r="Z115" s="2579">
        <f>'XM.FILE GOC'!Z115</f>
        <v>0</v>
      </c>
      <c r="AA115" s="2579"/>
      <c r="AB115" s="2579"/>
      <c r="AC115" s="2580"/>
      <c r="AD115" s="2581">
        <f>'XM.FILE GOC'!AD115</f>
        <v>0</v>
      </c>
      <c r="AE115" s="2579"/>
      <c r="AF115" s="2579"/>
      <c r="AG115" s="2579">
        <f>'XM.FILE GOC'!AG115</f>
        <v>0</v>
      </c>
      <c r="AH115" s="2579"/>
      <c r="AI115" s="2579"/>
      <c r="AJ115" s="2580"/>
      <c r="AK115" s="2836">
        <f>'XM.FILE GOC'!AK115</f>
        <v>0</v>
      </c>
      <c r="AL115" s="2834"/>
      <c r="AM115" s="2834"/>
      <c r="AN115" s="2834">
        <f>'XM.FILE GOC'!AN115</f>
        <v>0</v>
      </c>
      <c r="AO115" s="2834"/>
      <c r="AP115" s="2834"/>
      <c r="AQ115" s="2835"/>
      <c r="AR115" s="2836">
        <f>'XM.FILE GOC'!AR115</f>
        <v>0</v>
      </c>
      <c r="AS115" s="2834"/>
      <c r="AT115" s="2834"/>
      <c r="AU115" s="2834">
        <f>'XM.FILE GOC'!AU115</f>
        <v>0</v>
      </c>
      <c r="AV115" s="2834"/>
      <c r="AW115" s="2835"/>
      <c r="AY115" s="2370"/>
    </row>
    <row r="116" spans="1:51" ht="45" hidden="1" customHeight="1">
      <c r="A116" s="1826" t="s">
        <v>312</v>
      </c>
      <c r="B116" s="1370" t="s">
        <v>128</v>
      </c>
      <c r="C116" s="1049" t="s">
        <v>118</v>
      </c>
      <c r="D116" s="1050" t="s">
        <v>106</v>
      </c>
      <c r="E116" s="102" t="s">
        <v>1368</v>
      </c>
      <c r="F116" s="2021" t="s">
        <v>1470</v>
      </c>
      <c r="G116" s="1401"/>
      <c r="H116" s="100"/>
      <c r="I116" s="2601">
        <f>'XM.FILE GOC'!I116</f>
        <v>26</v>
      </c>
      <c r="J116" s="2602"/>
      <c r="K116" s="2602"/>
      <c r="L116" s="2602">
        <f>'XM.FILE GOC'!L116</f>
        <v>25</v>
      </c>
      <c r="M116" s="2602"/>
      <c r="N116" s="2602"/>
      <c r="O116" s="1889"/>
      <c r="P116" s="2601">
        <f>'XM.FILE GOC'!P116</f>
        <v>25</v>
      </c>
      <c r="Q116" s="2602"/>
      <c r="R116" s="2602"/>
      <c r="S116" s="2602">
        <f>'XM.FILE GOC'!S116</f>
        <v>25</v>
      </c>
      <c r="T116" s="2602"/>
      <c r="U116" s="2602"/>
      <c r="V116" s="1495"/>
      <c r="W116" s="2601">
        <f>'XM.FILE GOC'!W116</f>
        <v>26</v>
      </c>
      <c r="X116" s="2602"/>
      <c r="Y116" s="2602"/>
      <c r="Z116" s="2602">
        <f>'XM.FILE GOC'!Z116</f>
        <v>26</v>
      </c>
      <c r="AA116" s="2602"/>
      <c r="AB116" s="2602"/>
      <c r="AC116" s="1888"/>
      <c r="AD116" s="2601">
        <f>'XM.FILE GOC'!AD116</f>
        <v>26</v>
      </c>
      <c r="AE116" s="2602"/>
      <c r="AF116" s="2602"/>
      <c r="AG116" s="2602">
        <f>'XM.FILE GOC'!AG116</f>
        <v>25</v>
      </c>
      <c r="AH116" s="2602"/>
      <c r="AI116" s="2602"/>
      <c r="AJ116" s="1888"/>
      <c r="AK116" s="3085">
        <f>'XM.FILE GOC'!AK116</f>
        <v>0</v>
      </c>
      <c r="AL116" s="3086"/>
      <c r="AM116" s="3086"/>
      <c r="AN116" s="3086">
        <f>'XM.FILE GOC'!AN116</f>
        <v>0</v>
      </c>
      <c r="AO116" s="3086"/>
      <c r="AP116" s="3086"/>
      <c r="AQ116" s="1495"/>
      <c r="AR116" s="3085">
        <f>'XM.FILE GOC'!AR116</f>
        <v>26</v>
      </c>
      <c r="AS116" s="3086"/>
      <c r="AT116" s="3086"/>
      <c r="AU116" s="3086">
        <f>'XM.FILE GOC'!AU116</f>
        <v>25</v>
      </c>
      <c r="AV116" s="3086"/>
      <c r="AW116" s="3087"/>
      <c r="AY116" s="2370"/>
    </row>
    <row r="117" spans="1:51" ht="45" hidden="1" customHeight="1">
      <c r="A117" s="1826" t="s">
        <v>313</v>
      </c>
      <c r="B117" s="1370" t="s">
        <v>128</v>
      </c>
      <c r="C117" s="1049" t="s">
        <v>1515</v>
      </c>
      <c r="D117" s="1050" t="s">
        <v>106</v>
      </c>
      <c r="E117" s="102" t="s">
        <v>1338</v>
      </c>
      <c r="F117" s="2030" t="s">
        <v>1471</v>
      </c>
      <c r="G117" s="1401"/>
      <c r="H117" s="100"/>
      <c r="I117" s="2601">
        <f>'XM.FILE GOC'!I117</f>
        <v>28</v>
      </c>
      <c r="J117" s="2602"/>
      <c r="K117" s="2602"/>
      <c r="L117" s="2602">
        <f>'XM.FILE GOC'!L117</f>
        <v>28</v>
      </c>
      <c r="M117" s="2602"/>
      <c r="N117" s="2602"/>
      <c r="O117" s="1889"/>
      <c r="P117" s="2601">
        <f>'XM.FILE GOC'!P117</f>
        <v>29</v>
      </c>
      <c r="Q117" s="2602"/>
      <c r="R117" s="2602"/>
      <c r="S117" s="2602">
        <f>'XM.FILE GOC'!S117</f>
        <v>28</v>
      </c>
      <c r="T117" s="2602"/>
      <c r="U117" s="2602"/>
      <c r="V117" s="1495"/>
      <c r="W117" s="2601">
        <f>'XM.FILE GOC'!W117</f>
        <v>29</v>
      </c>
      <c r="X117" s="2602"/>
      <c r="Y117" s="2602"/>
      <c r="Z117" s="2602">
        <f>'XM.FILE GOC'!Z117</f>
        <v>28</v>
      </c>
      <c r="AA117" s="2602"/>
      <c r="AB117" s="2602"/>
      <c r="AC117" s="1888"/>
      <c r="AD117" s="2601">
        <f>'XM.FILE GOC'!AD117</f>
        <v>29</v>
      </c>
      <c r="AE117" s="2602"/>
      <c r="AF117" s="2602"/>
      <c r="AG117" s="2602">
        <f>'XM.FILE GOC'!AG117</f>
        <v>28</v>
      </c>
      <c r="AH117" s="2602"/>
      <c r="AI117" s="2602"/>
      <c r="AJ117" s="1888"/>
      <c r="AK117" s="3085">
        <f>'XM.FILE GOC'!AK117</f>
        <v>0</v>
      </c>
      <c r="AL117" s="3086"/>
      <c r="AM117" s="3086"/>
      <c r="AN117" s="3086">
        <f>'XM.FILE GOC'!AN117</f>
        <v>0</v>
      </c>
      <c r="AO117" s="3086"/>
      <c r="AP117" s="3086"/>
      <c r="AQ117" s="1495"/>
      <c r="AR117" s="3085">
        <f>'XM.FILE GOC'!AR117</f>
        <v>28</v>
      </c>
      <c r="AS117" s="3086"/>
      <c r="AT117" s="3086"/>
      <c r="AU117" s="3086">
        <f>'XM.FILE GOC'!AU117</f>
        <v>27</v>
      </c>
      <c r="AV117" s="3086"/>
      <c r="AW117" s="3087"/>
      <c r="AY117" s="2370"/>
    </row>
    <row r="118" spans="1:51" s="211" customFormat="1" ht="54" customHeight="1">
      <c r="A118" s="295" t="s">
        <v>76</v>
      </c>
      <c r="B118" s="296"/>
      <c r="C118" s="2621"/>
      <c r="D118" s="2621"/>
      <c r="E118" s="284"/>
      <c r="F118" s="284"/>
      <c r="G118" s="2622"/>
      <c r="H118" s="2621"/>
      <c r="I118" s="2621"/>
      <c r="J118" s="2621"/>
      <c r="K118" s="2621"/>
      <c r="L118" s="2621"/>
      <c r="M118" s="2623"/>
      <c r="N118" s="2621"/>
      <c r="O118" s="2621"/>
      <c r="Q118" s="2621"/>
      <c r="R118" s="2621"/>
      <c r="S118" s="2621"/>
      <c r="T118" s="2624"/>
      <c r="V118" s="2621"/>
      <c r="X118" s="2621"/>
      <c r="Y118" s="2621"/>
      <c r="Z118" s="2621"/>
      <c r="AA118" s="2623"/>
      <c r="AB118" s="2621"/>
      <c r="AC118" s="2621"/>
      <c r="AD118" s="2621"/>
      <c r="AE118" s="2621"/>
      <c r="AF118" s="2621"/>
      <c r="AG118" s="2621"/>
      <c r="AH118" s="2623"/>
      <c r="AI118" s="2621"/>
      <c r="AK118" s="297"/>
      <c r="AL118" s="297"/>
      <c r="AM118" s="297"/>
      <c r="AN118" s="297"/>
      <c r="AO118" s="1732"/>
      <c r="AP118" s="297"/>
      <c r="AQ118" s="297"/>
      <c r="AR118" s="297"/>
      <c r="AS118" s="297"/>
      <c r="AT118" s="297"/>
      <c r="AU118" s="297"/>
      <c r="AV118" s="1732"/>
      <c r="AW118" s="1036"/>
    </row>
    <row r="119" spans="1:51" ht="55.5" customHeight="1">
      <c r="A119" s="1819" t="s">
        <v>307</v>
      </c>
      <c r="B119" s="1068" t="s">
        <v>128</v>
      </c>
      <c r="C119" s="107" t="s">
        <v>1124</v>
      </c>
      <c r="D119" s="2591" t="s">
        <v>49</v>
      </c>
      <c r="E119" s="48" t="s">
        <v>1312</v>
      </c>
      <c r="F119" s="2021" t="s">
        <v>1312</v>
      </c>
      <c r="G119" s="1402"/>
      <c r="H119" s="103"/>
      <c r="I119" s="2597">
        <f>'XM.FILE GOC'!I119</f>
        <v>50</v>
      </c>
      <c r="J119" s="2603"/>
      <c r="K119" s="2603"/>
      <c r="L119" s="2603"/>
      <c r="M119" s="2603"/>
      <c r="N119" s="2595"/>
      <c r="O119" s="1476"/>
      <c r="P119" s="2597">
        <f>'XM.FILE GOC'!P119</f>
        <v>48</v>
      </c>
      <c r="Q119" s="2603"/>
      <c r="R119" s="2603"/>
      <c r="S119" s="2603"/>
      <c r="T119" s="2603"/>
      <c r="U119" s="2595"/>
      <c r="V119" s="1545"/>
      <c r="W119" s="2597">
        <f>'XM.FILE GOC'!W119</f>
        <v>50</v>
      </c>
      <c r="X119" s="2603"/>
      <c r="Y119" s="2603"/>
      <c r="Z119" s="2603"/>
      <c r="AA119" s="2603"/>
      <c r="AB119" s="2595"/>
      <c r="AC119" s="1545"/>
      <c r="AD119" s="2597">
        <f>'XM.FILE GOC'!AD119:AI119</f>
        <v>48</v>
      </c>
      <c r="AE119" s="2603"/>
      <c r="AF119" s="2603"/>
      <c r="AG119" s="2603"/>
      <c r="AH119" s="2603"/>
      <c r="AI119" s="2595"/>
      <c r="AJ119" s="1545"/>
      <c r="AK119" s="3016">
        <f>'XM.FILE GOC'!AK119:AP119</f>
        <v>0</v>
      </c>
      <c r="AL119" s="3088"/>
      <c r="AM119" s="3088"/>
      <c r="AN119" s="3088"/>
      <c r="AO119" s="3088"/>
      <c r="AP119" s="2968"/>
      <c r="AQ119" s="1545"/>
      <c r="AR119" s="3016">
        <f>'XM.FILE GOC'!AR119</f>
        <v>50</v>
      </c>
      <c r="AS119" s="3088"/>
      <c r="AT119" s="3088"/>
      <c r="AU119" s="3088"/>
      <c r="AV119" s="3088"/>
      <c r="AW119" s="2968"/>
      <c r="AY119" s="2370"/>
    </row>
    <row r="120" spans="1:51" ht="55.5" customHeight="1">
      <c r="A120" s="1080" t="s">
        <v>308</v>
      </c>
      <c r="B120" s="1068" t="s">
        <v>128</v>
      </c>
      <c r="C120" s="107" t="s">
        <v>1125</v>
      </c>
      <c r="D120" s="2591" t="s">
        <v>49</v>
      </c>
      <c r="E120" s="48" t="s">
        <v>1313</v>
      </c>
      <c r="F120" s="2030" t="s">
        <v>1313</v>
      </c>
      <c r="G120" s="1402"/>
      <c r="H120" s="103"/>
      <c r="I120" s="2597">
        <f>'XM.FILE GOC'!I120</f>
        <v>175</v>
      </c>
      <c r="J120" s="2603"/>
      <c r="K120" s="2603"/>
      <c r="L120" s="2603"/>
      <c r="M120" s="2603"/>
      <c r="N120" s="2595"/>
      <c r="O120" s="2614"/>
      <c r="P120" s="2597">
        <f>'XM.FILE GOC'!P120</f>
        <v>178</v>
      </c>
      <c r="Q120" s="2603"/>
      <c r="R120" s="2603"/>
      <c r="S120" s="2603"/>
      <c r="T120" s="2603"/>
      <c r="U120" s="2595"/>
      <c r="V120" s="1547"/>
      <c r="W120" s="2597">
        <f>'XM.FILE GOC'!W120:AB120</f>
        <v>180</v>
      </c>
      <c r="X120" s="2603"/>
      <c r="Y120" s="2603"/>
      <c r="Z120" s="2603"/>
      <c r="AA120" s="2603"/>
      <c r="AB120" s="2595"/>
      <c r="AC120" s="2614"/>
      <c r="AD120" s="2597">
        <f>'XM.FILE GOC'!AD120</f>
        <v>175</v>
      </c>
      <c r="AE120" s="2603"/>
      <c r="AF120" s="2603"/>
      <c r="AG120" s="2603"/>
      <c r="AH120" s="2603"/>
      <c r="AI120" s="2595"/>
      <c r="AJ120" s="2596"/>
      <c r="AK120" s="3016">
        <f>'XM.FILE GOC'!AK120</f>
        <v>0</v>
      </c>
      <c r="AL120" s="3088"/>
      <c r="AM120" s="3088"/>
      <c r="AN120" s="3088"/>
      <c r="AO120" s="3088"/>
      <c r="AP120" s="2968"/>
      <c r="AQ120" s="1540"/>
      <c r="AR120" s="3016">
        <f>'XM.FILE GOC'!AR120</f>
        <v>175</v>
      </c>
      <c r="AS120" s="3088"/>
      <c r="AT120" s="3088"/>
      <c r="AU120" s="3088"/>
      <c r="AV120" s="3088"/>
      <c r="AW120" s="2968"/>
      <c r="AY120" s="2370"/>
    </row>
    <row r="121" spans="1:51" ht="19.5" customHeight="1"/>
    <row r="122" spans="1:51" ht="30.75" customHeight="1">
      <c r="C122" s="2031" t="str">
        <f>MENU!$AC$9</f>
        <v>Thứ 3,</v>
      </c>
      <c r="D122" s="1945" t="str">
        <f>MENU!$AD$9</f>
        <v>2024/01/09</v>
      </c>
      <c r="E122" s="1945"/>
      <c r="G122" s="12"/>
      <c r="M122" s="274"/>
      <c r="T122" s="274"/>
      <c r="AA122" s="274"/>
      <c r="AH122" s="274"/>
    </row>
    <row r="123" spans="1:51" ht="39" customHeight="1">
      <c r="C123" s="2590" t="s">
        <v>317</v>
      </c>
      <c r="D123" s="2591" t="s">
        <v>125</v>
      </c>
      <c r="E123" s="2592" t="s">
        <v>1325</v>
      </c>
      <c r="F123" s="2588" t="s">
        <v>1317</v>
      </c>
      <c r="G123" s="12"/>
      <c r="I123" s="2617" t="s">
        <v>1489</v>
      </c>
      <c r="J123" s="2617"/>
      <c r="K123" s="2617"/>
      <c r="L123" s="2617"/>
      <c r="M123" s="2617"/>
      <c r="N123" s="2617"/>
      <c r="O123" s="88"/>
      <c r="P123" s="2619" t="s">
        <v>1479</v>
      </c>
      <c r="Q123" s="2617"/>
      <c r="R123" s="2617"/>
      <c r="S123" s="2617"/>
      <c r="T123" s="2617"/>
      <c r="U123" s="2620"/>
      <c r="V123" s="2617"/>
      <c r="W123" s="2617" t="s">
        <v>1480</v>
      </c>
      <c r="X123" s="2617"/>
      <c r="Y123" s="2617"/>
      <c r="Z123" s="2617"/>
      <c r="AA123" s="2617"/>
      <c r="AB123" s="2617"/>
      <c r="AC123" s="88"/>
      <c r="AD123" s="2619" t="s">
        <v>1481</v>
      </c>
      <c r="AE123" s="2617"/>
      <c r="AF123" s="2617"/>
      <c r="AG123" s="2617"/>
      <c r="AH123" s="2617"/>
      <c r="AI123" s="2620"/>
      <c r="AJ123" s="2617"/>
      <c r="AK123" s="279" t="s">
        <v>1482</v>
      </c>
      <c r="AL123" s="279"/>
      <c r="AM123" s="279"/>
      <c r="AN123" s="279"/>
      <c r="AO123" s="279"/>
      <c r="AP123" s="279"/>
      <c r="AQ123" s="279"/>
      <c r="AR123" s="292" t="s">
        <v>1483</v>
      </c>
      <c r="AS123" s="279"/>
      <c r="AT123" s="279"/>
      <c r="AU123" s="280"/>
      <c r="AV123" s="280"/>
      <c r="AW123" s="1035"/>
      <c r="AY123" s="3083" t="s">
        <v>1543</v>
      </c>
    </row>
    <row r="124" spans="1:51" ht="71.25" customHeight="1">
      <c r="C124" s="2590"/>
      <c r="D124" s="2591"/>
      <c r="E124" s="2593"/>
      <c r="F124" s="2589"/>
      <c r="G124" s="12"/>
      <c r="I124" s="1861" t="s">
        <v>1466</v>
      </c>
      <c r="J124" s="1830" t="s">
        <v>1</v>
      </c>
      <c r="K124" s="2606" t="s">
        <v>1467</v>
      </c>
      <c r="L124" s="2606"/>
      <c r="M124" s="2604" t="s">
        <v>1527</v>
      </c>
      <c r="N124" s="2605"/>
      <c r="O124" s="89"/>
      <c r="P124" s="1861" t="s">
        <v>1466</v>
      </c>
      <c r="Q124" s="1830" t="s">
        <v>1</v>
      </c>
      <c r="R124" s="2606" t="s">
        <v>1467</v>
      </c>
      <c r="S124" s="2606"/>
      <c r="T124" s="2604" t="s">
        <v>1527</v>
      </c>
      <c r="U124" s="2605"/>
      <c r="V124" s="20"/>
      <c r="W124" s="1861" t="s">
        <v>1466</v>
      </c>
      <c r="X124" s="1830" t="s">
        <v>1</v>
      </c>
      <c r="Y124" s="2606" t="s">
        <v>1467</v>
      </c>
      <c r="Z124" s="2606"/>
      <c r="AA124" s="2604" t="s">
        <v>1527</v>
      </c>
      <c r="AB124" s="2605"/>
      <c r="AC124" s="89"/>
      <c r="AD124" s="1861" t="s">
        <v>1466</v>
      </c>
      <c r="AE124" s="1830" t="s">
        <v>1</v>
      </c>
      <c r="AF124" s="2606" t="s">
        <v>1467</v>
      </c>
      <c r="AG124" s="2606"/>
      <c r="AH124" s="2604" t="s">
        <v>1527</v>
      </c>
      <c r="AI124" s="2605"/>
      <c r="AJ124" s="89"/>
      <c r="AK124" s="2153" t="s">
        <v>1466</v>
      </c>
      <c r="AL124" s="1830" t="s">
        <v>1</v>
      </c>
      <c r="AM124" s="3089" t="s">
        <v>1467</v>
      </c>
      <c r="AN124" s="3089"/>
      <c r="AO124" s="3090" t="s">
        <v>1527</v>
      </c>
      <c r="AP124" s="3091"/>
      <c r="AQ124" s="89"/>
      <c r="AR124" s="1861" t="s">
        <v>1466</v>
      </c>
      <c r="AS124" s="1830" t="s">
        <v>1</v>
      </c>
      <c r="AT124" s="3089" t="s">
        <v>1467</v>
      </c>
      <c r="AU124" s="3089"/>
      <c r="AV124" s="3090" t="s">
        <v>1527</v>
      </c>
      <c r="AW124" s="3091"/>
      <c r="AY124" s="3084"/>
    </row>
    <row r="125" spans="1:51" ht="39" customHeight="1">
      <c r="C125" s="1429" t="s">
        <v>194</v>
      </c>
      <c r="D125" s="213" t="s">
        <v>4</v>
      </c>
      <c r="E125" s="1411" t="str">
        <f>E99</f>
        <v>5~6</v>
      </c>
      <c r="F125" s="2021" t="str">
        <f>F99</f>
        <v>(5.5± 0.5)</v>
      </c>
      <c r="G125" s="12"/>
      <c r="I125" s="1833">
        <f>I99</f>
        <v>5.59</v>
      </c>
      <c r="J125" s="1858">
        <f>($G$99-I125)*8000/1000</f>
        <v>-0.71999999999999886</v>
      </c>
      <c r="K125" s="1845" t="s">
        <v>8</v>
      </c>
      <c r="L125" s="1846">
        <f>L99</f>
        <v>0</v>
      </c>
      <c r="M125" s="1878" t="str">
        <f>IF('4.ZN-NI tt(CA1)'!I19="","",'4.ZN-NI tt(CA1)'!I19)</f>
        <v/>
      </c>
      <c r="N125" s="1847" t="s">
        <v>9</v>
      </c>
      <c r="O125" s="251"/>
      <c r="P125" s="1833">
        <f>P99</f>
        <v>5.3950000000000005</v>
      </c>
      <c r="Q125" s="1858">
        <f>($G$99-P125)*8000/1000</f>
        <v>0.83999999999999642</v>
      </c>
      <c r="R125" s="1845" t="s">
        <v>8</v>
      </c>
      <c r="S125" s="1846">
        <f>S99</f>
        <v>0.83999999999999642</v>
      </c>
      <c r="T125" s="1878" t="str">
        <f>IF('4.ZN-NI tt(CA1)'!M19="","",'4.ZN-NI tt(CA1)'!M19)</f>
        <v/>
      </c>
      <c r="U125" s="1847" t="s">
        <v>9</v>
      </c>
      <c r="V125" s="1711" t="e">
        <f>XM.HN!#REF!</f>
        <v>#REF!</v>
      </c>
      <c r="W125" s="1833">
        <f>W99</f>
        <v>5.4600000000000009</v>
      </c>
      <c r="X125" s="1858">
        <f>($G$99-W125)*8000/1000</f>
        <v>0.31999999999999318</v>
      </c>
      <c r="Y125" s="1845" t="s">
        <v>8</v>
      </c>
      <c r="Z125" s="1846">
        <f>Z99</f>
        <v>0.31999999999999318</v>
      </c>
      <c r="AA125" s="1878" t="str">
        <f>IF('4.ZN-NI tt(CA1)'!Q19="","",'4.ZN-NI tt(CA1)'!Q19)</f>
        <v/>
      </c>
      <c r="AB125" s="1847" t="s">
        <v>9</v>
      </c>
      <c r="AC125" s="215"/>
      <c r="AD125" s="1833">
        <f>AD99</f>
        <v>5.8500000000000005</v>
      </c>
      <c r="AE125" s="1858">
        <f>($G$99-AD125)*8000/1000</f>
        <v>-2.8000000000000043</v>
      </c>
      <c r="AF125" s="1845" t="s">
        <v>8</v>
      </c>
      <c r="AG125" s="1846">
        <f>AG99</f>
        <v>0</v>
      </c>
      <c r="AH125" s="1878" t="str">
        <f>IF('4.ZN-NI tt(CA1)'!I19="","",'4.ZN-NI tt(CA1)'!I19)</f>
        <v/>
      </c>
      <c r="AI125" s="1847" t="s">
        <v>9</v>
      </c>
      <c r="AJ125" s="92" t="e">
        <f>AP99*1.3</f>
        <v>#VALUE!</v>
      </c>
      <c r="AK125" s="1833">
        <f>AK99</f>
        <v>0</v>
      </c>
      <c r="AL125" s="1858">
        <f>($G$99-AK125)*8000/1000</f>
        <v>44</v>
      </c>
      <c r="AM125" s="1845" t="s">
        <v>8</v>
      </c>
      <c r="AN125" s="1846">
        <f>AN99</f>
        <v>44</v>
      </c>
      <c r="AO125" s="1878" t="str">
        <f>IF('4.ZN-NI tt(CA2)'!M19="","",'4.ZN-NI tt(CA2)'!M19)</f>
        <v/>
      </c>
      <c r="AP125" s="1847" t="s">
        <v>9</v>
      </c>
      <c r="AQ125" s="1708"/>
      <c r="AR125" s="1833">
        <f>AR99</f>
        <v>5.8500000000000005</v>
      </c>
      <c r="AS125" s="1858">
        <f>($G$99-AR125)*8000/1000</f>
        <v>-2.8000000000000043</v>
      </c>
      <c r="AT125" s="1845" t="s">
        <v>8</v>
      </c>
      <c r="AU125" s="1846">
        <f>AU99</f>
        <v>0</v>
      </c>
      <c r="AV125" s="1878" t="str">
        <f>IF('4.ZN-NI tt(CA2)'!Q19="","",'4.ZN-NI tt(CA2)'!Q19)</f>
        <v/>
      </c>
      <c r="AW125" s="1847" t="s">
        <v>9</v>
      </c>
      <c r="AY125" s="2370"/>
    </row>
    <row r="126" spans="1:51" ht="39" customHeight="1">
      <c r="C126" s="213" t="s">
        <v>193</v>
      </c>
      <c r="D126" s="213" t="s">
        <v>4</v>
      </c>
      <c r="E126" s="50" t="str">
        <f>E100</f>
        <v>130~140</v>
      </c>
      <c r="F126" s="2021" t="str">
        <f>F100</f>
        <v>(135 ± 5)</v>
      </c>
      <c r="G126" s="12"/>
      <c r="I126" s="1886">
        <f t="shared" ref="I126:I127" si="28">I100</f>
        <v>134</v>
      </c>
      <c r="J126" s="1858" t="e">
        <f>(#REF!-I126)*8000/1000</f>
        <v>#REF!</v>
      </c>
      <c r="K126" s="1845" t="s">
        <v>8</v>
      </c>
      <c r="L126" s="1846">
        <f>L100</f>
        <v>8</v>
      </c>
      <c r="M126" s="1878" t="str">
        <f>IF('4.ZN-NI tt(CA1)'!I20="","",'4.ZN-NI tt(CA1)'!I20)</f>
        <v/>
      </c>
      <c r="N126" s="1847" t="s">
        <v>9</v>
      </c>
      <c r="O126" s="251"/>
      <c r="P126" s="1886">
        <f t="shared" ref="P126:P127" si="29">P100</f>
        <v>136</v>
      </c>
      <c r="Q126" s="1858"/>
      <c r="R126" s="1845" t="s">
        <v>8</v>
      </c>
      <c r="S126" s="1846">
        <f>S100</f>
        <v>0</v>
      </c>
      <c r="T126" s="1878" t="str">
        <f>IF('4.ZN-NI tt(CA1)'!M20="","",'4.ZN-NI tt(CA1)'!M20)</f>
        <v/>
      </c>
      <c r="U126" s="1847" t="s">
        <v>9</v>
      </c>
      <c r="V126" s="1711"/>
      <c r="W126" s="1886">
        <f>W100</f>
        <v>135.6</v>
      </c>
      <c r="X126" s="1858"/>
      <c r="Y126" s="1845" t="s">
        <v>8</v>
      </c>
      <c r="Z126" s="1846">
        <f>Z100</f>
        <v>0</v>
      </c>
      <c r="AA126" s="1878" t="str">
        <f>IF('4.ZN-NI tt(CA1)'!Q20="","",'4.ZN-NI tt(CA1)'!Q20)</f>
        <v/>
      </c>
      <c r="AB126" s="1847" t="s">
        <v>9</v>
      </c>
      <c r="AC126" s="215"/>
      <c r="AD126" s="1886">
        <f t="shared" ref="AD126:AD127" si="30">AD100</f>
        <v>133.6</v>
      </c>
      <c r="AE126" s="1858" t="e">
        <f>(#REF!-AD126)*8000/1000</f>
        <v>#REF!</v>
      </c>
      <c r="AF126" s="1845" t="s">
        <v>8</v>
      </c>
      <c r="AG126" s="1846">
        <f>AG100</f>
        <v>11.200000000000045</v>
      </c>
      <c r="AH126" s="1878" t="str">
        <f>IF('4.ZN-NI tt(CA1)'!I20="","",'4.ZN-NI tt(CA1)'!I20)</f>
        <v/>
      </c>
      <c r="AI126" s="1847" t="s">
        <v>9</v>
      </c>
      <c r="AJ126" s="92" t="e">
        <f>AP100*8</f>
        <v>#VALUE!</v>
      </c>
      <c r="AK126" s="1886">
        <f t="shared" ref="AK126:AK127" si="31">AK100</f>
        <v>0</v>
      </c>
      <c r="AL126" s="1858" t="e">
        <f>(#REF!-AK126)*8000/1000</f>
        <v>#REF!</v>
      </c>
      <c r="AM126" s="1845" t="s">
        <v>8</v>
      </c>
      <c r="AN126" s="1846">
        <f>AN100</f>
        <v>1080</v>
      </c>
      <c r="AO126" s="1878" t="str">
        <f>IF('4.ZN-NI tt(CA2)'!M20="","",'4.ZN-NI tt(CA2)'!M20)</f>
        <v/>
      </c>
      <c r="AP126" s="1847" t="s">
        <v>9</v>
      </c>
      <c r="AQ126" s="1708"/>
      <c r="AR126" s="1886">
        <f t="shared" ref="AR126:AR127" si="32">AR100</f>
        <v>132.80000000000001</v>
      </c>
      <c r="AS126" s="1858" t="e">
        <f>(#REF!-AR126)*8000/1000</f>
        <v>#REF!</v>
      </c>
      <c r="AT126" s="1845" t="s">
        <v>8</v>
      </c>
      <c r="AU126" s="1846">
        <f>AU100</f>
        <v>17.599999999999909</v>
      </c>
      <c r="AV126" s="1878">
        <f>IF('4.ZN-NI tt(CA2)'!Q20="","",'4.ZN-NI tt(CA2)'!Q20)</f>
        <v>15</v>
      </c>
      <c r="AW126" s="1847" t="s">
        <v>9</v>
      </c>
      <c r="AY126" s="2370"/>
    </row>
    <row r="127" spans="1:51" ht="48.75" customHeight="1">
      <c r="C127" s="2500" t="str">
        <f>MENU!AE46</f>
        <v>Cr2O3   三價鉻Ni-       PH
Pha mới: 2023/02/07</v>
      </c>
      <c r="D127" s="213" t="s">
        <v>121</v>
      </c>
      <c r="E127" s="1109" t="str">
        <f>E101</f>
        <v>3.0-4.5</v>
      </c>
      <c r="F127" s="2021" t="str">
        <f t="shared" ref="F127" si="33">F101</f>
        <v>(4.3±0.2)</v>
      </c>
      <c r="G127" s="12"/>
      <c r="I127" s="1838">
        <f t="shared" si="28"/>
        <v>4.0999999999999996</v>
      </c>
      <c r="J127" s="2218">
        <f>($G$100-I127)*8000/1000</f>
        <v>1047.2</v>
      </c>
      <c r="K127" s="2219"/>
      <c r="L127" s="2220"/>
      <c r="M127" s="1878" t="str">
        <f>IF('4.ZN-NI tt(CA1)'!I21="","",'4.ZN-NI tt(CA1)'!I21)</f>
        <v/>
      </c>
      <c r="N127" s="2222"/>
      <c r="O127" s="2223"/>
      <c r="P127" s="1838">
        <f t="shared" si="29"/>
        <v>4.0999999999999996</v>
      </c>
      <c r="Q127" s="2218"/>
      <c r="R127" s="2219"/>
      <c r="S127" s="2220"/>
      <c r="T127" s="1878" t="str">
        <f>IF('4.ZN-NI tt(CA1)'!M21="","",'4.ZN-NI tt(CA1)'!M21)</f>
        <v/>
      </c>
      <c r="U127" s="2222"/>
      <c r="V127" s="2224"/>
      <c r="W127" s="1838">
        <f>W101</f>
        <v>4.0999999999999996</v>
      </c>
      <c r="X127" s="2218"/>
      <c r="Y127" s="2219"/>
      <c r="Z127" s="2220"/>
      <c r="AA127" s="1878" t="str">
        <f>IF('4.ZN-NI tt(CA1)'!Q21="","",'4.ZN-NI tt(CA1)'!Q21)</f>
        <v/>
      </c>
      <c r="AB127" s="2225"/>
      <c r="AC127" s="2226"/>
      <c r="AD127" s="1838">
        <f t="shared" si="30"/>
        <v>4.1500000000000004</v>
      </c>
      <c r="AE127" s="2218">
        <f>($G$100-AD127)*8000/1000</f>
        <v>1046.8</v>
      </c>
      <c r="AF127" s="2219"/>
      <c r="AG127" s="2220"/>
      <c r="AH127" s="1878" t="str">
        <f>IF('4.ZN-NI tt(CA1)'!I21="","",'4.ZN-NI tt(CA1)'!I21)</f>
        <v/>
      </c>
      <c r="AI127" s="2222"/>
      <c r="AJ127" s="2227">
        <f>XM.HN!R73</f>
        <v>0</v>
      </c>
      <c r="AK127" s="1838">
        <f t="shared" si="31"/>
        <v>0</v>
      </c>
      <c r="AL127" s="2218">
        <f>($G$100-AK127)*8000/1000</f>
        <v>1080</v>
      </c>
      <c r="AM127" s="2219"/>
      <c r="AN127" s="2220"/>
      <c r="AO127" s="1878" t="str">
        <f>IF('4.ZN-NI tt(CA2)'!M21="","",'4.ZN-NI tt(CA2)'!M21)</f>
        <v/>
      </c>
      <c r="AP127" s="2222"/>
      <c r="AQ127" s="2228"/>
      <c r="AR127" s="1838">
        <f t="shared" si="32"/>
        <v>4.1100000000000003</v>
      </c>
      <c r="AS127" s="1859">
        <f>($G$100-AR127)*8000/1000</f>
        <v>1047.1199999999999</v>
      </c>
      <c r="AT127" s="1870"/>
      <c r="AU127" s="1836"/>
      <c r="AV127" s="1878" t="str">
        <f>IF('4.ZN-NI tt(CA2)'!Q21="","",'4.ZN-NI tt(CA2)'!Q21)</f>
        <v/>
      </c>
      <c r="AW127" s="1880"/>
      <c r="AY127" s="2370"/>
    </row>
    <row r="128" spans="1:51" ht="33.75" customHeight="1">
      <c r="G128" s="274"/>
      <c r="M128" s="274"/>
      <c r="T128" s="274"/>
      <c r="AA128" s="274"/>
      <c r="AH128" s="274"/>
      <c r="AI128" s="274"/>
    </row>
    <row r="129" spans="1:51" ht="47.25" customHeight="1">
      <c r="C129" s="2590" t="s">
        <v>62</v>
      </c>
      <c r="D129" s="2590" t="s">
        <v>64</v>
      </c>
      <c r="E129" s="2590" t="s">
        <v>1318</v>
      </c>
      <c r="F129" s="2021" t="s">
        <v>1317</v>
      </c>
      <c r="G129" s="12"/>
      <c r="I129" s="2153" t="s">
        <v>46</v>
      </c>
      <c r="J129" s="2606"/>
      <c r="K129" s="2606"/>
      <c r="L129" s="2606" t="s">
        <v>63</v>
      </c>
      <c r="M129" s="2606"/>
      <c r="N129" s="2627"/>
      <c r="O129" s="1905"/>
      <c r="P129" s="2153" t="s">
        <v>46</v>
      </c>
      <c r="Q129" s="2606"/>
      <c r="R129" s="2606"/>
      <c r="S129" s="2606" t="s">
        <v>63</v>
      </c>
      <c r="T129" s="2606"/>
      <c r="U129" s="1905"/>
      <c r="V129" s="2153"/>
      <c r="W129" s="2606" t="s">
        <v>46</v>
      </c>
      <c r="X129" s="2606"/>
      <c r="Y129" s="2606"/>
      <c r="Z129" s="2606" t="s">
        <v>63</v>
      </c>
      <c r="AA129" s="2627"/>
      <c r="AB129" s="2590"/>
      <c r="AC129" s="2632"/>
      <c r="AD129" s="2606" t="s">
        <v>46</v>
      </c>
      <c r="AE129" s="2606"/>
      <c r="AF129" s="2606"/>
      <c r="AG129" s="2627" t="s">
        <v>63</v>
      </c>
      <c r="AH129" s="2153"/>
      <c r="AI129" s="1905"/>
      <c r="AJ129" s="2632"/>
      <c r="AK129" s="1828" t="s">
        <v>46</v>
      </c>
      <c r="AL129" s="1828"/>
      <c r="AM129" s="1883"/>
      <c r="AN129" s="2202" t="s">
        <v>63</v>
      </c>
      <c r="AO129" s="1828"/>
      <c r="AP129" s="2201"/>
      <c r="AQ129" s="2202"/>
      <c r="AR129" s="1828" t="s">
        <v>46</v>
      </c>
      <c r="AS129" s="1883"/>
      <c r="AT129" s="1827"/>
      <c r="AU129" s="1828" t="s">
        <v>63</v>
      </c>
      <c r="AV129" s="1828"/>
      <c r="AW129" s="2201"/>
      <c r="AY129" s="1081" t="s">
        <v>1543</v>
      </c>
    </row>
    <row r="130" spans="1:51" ht="39" customHeight="1">
      <c r="C130" s="1049" t="s">
        <v>118</v>
      </c>
      <c r="D130" s="1050" t="s">
        <v>106</v>
      </c>
      <c r="E130" s="102" t="str">
        <f>E116</f>
        <v>24~28</v>
      </c>
      <c r="F130" s="2021" t="str">
        <f>F116</f>
        <v>(26±2)</v>
      </c>
      <c r="G130" s="12"/>
      <c r="I130" s="2597">
        <f>I116</f>
        <v>26</v>
      </c>
      <c r="J130" s="2603"/>
      <c r="K130" s="2598"/>
      <c r="L130" s="2599">
        <f>L116</f>
        <v>25</v>
      </c>
      <c r="M130" s="2603"/>
      <c r="N130" s="2598"/>
      <c r="O130" s="1928"/>
      <c r="P130" s="2597">
        <f>P116</f>
        <v>25</v>
      </c>
      <c r="Q130" s="2603"/>
      <c r="R130" s="2598"/>
      <c r="S130" s="2599">
        <f>S116</f>
        <v>25</v>
      </c>
      <c r="T130" s="2603"/>
      <c r="U130" s="2598"/>
      <c r="V130" s="2204"/>
      <c r="W130" s="2597">
        <f>W116</f>
        <v>26</v>
      </c>
      <c r="X130" s="2603"/>
      <c r="Y130" s="2598"/>
      <c r="Z130" s="2599">
        <f>Z116</f>
        <v>26</v>
      </c>
      <c r="AA130" s="2603"/>
      <c r="AB130" s="2598"/>
      <c r="AC130" s="1927"/>
      <c r="AD130" s="2597">
        <f>AD116</f>
        <v>26</v>
      </c>
      <c r="AE130" s="2603"/>
      <c r="AF130" s="2598"/>
      <c r="AG130" s="2599">
        <f>AG116</f>
        <v>25</v>
      </c>
      <c r="AH130" s="2603"/>
      <c r="AI130" s="2598"/>
      <c r="AJ130" s="1928"/>
      <c r="AK130" s="3016">
        <f>AK116</f>
        <v>0</v>
      </c>
      <c r="AL130" s="3088"/>
      <c r="AM130" s="3065"/>
      <c r="AN130" s="3066">
        <f>AN116</f>
        <v>0</v>
      </c>
      <c r="AO130" s="3088"/>
      <c r="AP130" s="3065"/>
      <c r="AQ130" s="2204"/>
      <c r="AR130" s="3016">
        <f>AR116</f>
        <v>26</v>
      </c>
      <c r="AS130" s="3088"/>
      <c r="AT130" s="3065"/>
      <c r="AU130" s="3066">
        <f>AU116</f>
        <v>25</v>
      </c>
      <c r="AV130" s="3088"/>
      <c r="AW130" s="2968"/>
      <c r="AY130" s="2370"/>
    </row>
    <row r="131" spans="1:51" ht="39" customHeight="1">
      <c r="C131" s="1049" t="s">
        <v>1515</v>
      </c>
      <c r="D131" s="1050" t="s">
        <v>106</v>
      </c>
      <c r="E131" s="102" t="str">
        <f>E117</f>
        <v>20~30</v>
      </c>
      <c r="F131" s="2021" t="str">
        <f>F117</f>
        <v>(25±5)</v>
      </c>
      <c r="G131" s="12"/>
      <c r="I131" s="2597">
        <f>I117</f>
        <v>28</v>
      </c>
      <c r="J131" s="2603"/>
      <c r="K131" s="2598"/>
      <c r="L131" s="2599">
        <f>L117</f>
        <v>28</v>
      </c>
      <c r="M131" s="2603"/>
      <c r="N131" s="2598"/>
      <c r="O131" s="1928"/>
      <c r="P131" s="2597">
        <f>P117</f>
        <v>29</v>
      </c>
      <c r="Q131" s="2603"/>
      <c r="R131" s="2598"/>
      <c r="S131" s="2599">
        <f>S117</f>
        <v>28</v>
      </c>
      <c r="T131" s="2603"/>
      <c r="U131" s="2598"/>
      <c r="V131" s="2204"/>
      <c r="W131" s="2597">
        <f>W117</f>
        <v>29</v>
      </c>
      <c r="X131" s="2603"/>
      <c r="Y131" s="2598"/>
      <c r="Z131" s="2599">
        <f>Z117</f>
        <v>28</v>
      </c>
      <c r="AA131" s="2603"/>
      <c r="AB131" s="2598"/>
      <c r="AC131" s="1927"/>
      <c r="AD131" s="2597">
        <f>AD117</f>
        <v>29</v>
      </c>
      <c r="AE131" s="2603"/>
      <c r="AF131" s="2598"/>
      <c r="AG131" s="2599">
        <f>AG117</f>
        <v>28</v>
      </c>
      <c r="AH131" s="2603"/>
      <c r="AI131" s="2598"/>
      <c r="AJ131" s="1928"/>
      <c r="AK131" s="3016">
        <f>AK117</f>
        <v>0</v>
      </c>
      <c r="AL131" s="3088"/>
      <c r="AM131" s="3065"/>
      <c r="AN131" s="3066">
        <f>AN117</f>
        <v>0</v>
      </c>
      <c r="AO131" s="3088"/>
      <c r="AP131" s="3065"/>
      <c r="AQ131" s="2204"/>
      <c r="AR131" s="3016">
        <f>AR117</f>
        <v>28</v>
      </c>
      <c r="AS131" s="3088"/>
      <c r="AT131" s="3065"/>
      <c r="AU131" s="3066">
        <f>AU117</f>
        <v>27</v>
      </c>
      <c r="AV131" s="3088"/>
      <c r="AW131" s="2968"/>
      <c r="AY131" s="2370"/>
    </row>
    <row r="132" spans="1:51" ht="39" customHeight="1"/>
    <row r="133" spans="1:51" ht="33.75" customHeight="1">
      <c r="A133" s="1493" t="s">
        <v>1334</v>
      </c>
      <c r="B133" s="1657"/>
      <c r="C133" s="2043"/>
      <c r="D133" s="2043"/>
    </row>
    <row r="134" spans="1:51" ht="33.75" customHeight="1">
      <c r="A134" s="1492" t="s">
        <v>1336</v>
      </c>
      <c r="B134" s="1657"/>
      <c r="C134" s="2043"/>
      <c r="D134" s="2043"/>
    </row>
    <row r="135" spans="1:51" ht="33.75" customHeight="1">
      <c r="A135" s="1492" t="s">
        <v>1335</v>
      </c>
      <c r="B135" s="1657"/>
      <c r="C135" s="2043"/>
      <c r="D135" s="2043"/>
    </row>
    <row r="136" spans="1:51" ht="33.75" customHeight="1">
      <c r="E136" s="3092" t="s">
        <v>1435</v>
      </c>
      <c r="F136" s="3092"/>
    </row>
    <row r="137" spans="1:51" ht="33.75" customHeight="1">
      <c r="C137" s="1657"/>
      <c r="D137" s="211"/>
      <c r="E137" s="211"/>
      <c r="F137" s="3092" t="s">
        <v>1436</v>
      </c>
      <c r="G137" s="3092"/>
      <c r="H137" s="3092"/>
      <c r="I137" s="3092"/>
    </row>
    <row r="138" spans="1:51" ht="33.75" customHeight="1" thickBot="1">
      <c r="C138" s="1489"/>
      <c r="D138" s="1489"/>
      <c r="E138" s="211"/>
      <c r="F138" s="211"/>
    </row>
    <row r="139" spans="1:51" ht="33.75" customHeight="1" thickBot="1">
      <c r="C139" s="1509"/>
      <c r="D139" s="1509"/>
      <c r="E139" s="1695"/>
      <c r="F139" s="1695"/>
    </row>
    <row r="140" spans="1:51" ht="33.75" customHeight="1">
      <c r="C140" s="1486"/>
      <c r="D140" s="1486"/>
      <c r="E140" s="3093" t="s">
        <v>847</v>
      </c>
      <c r="F140" s="1695"/>
    </row>
    <row r="141" spans="1:51" ht="33.75" customHeight="1" thickBot="1">
      <c r="C141" s="1490"/>
      <c r="D141" s="1490"/>
      <c r="E141" s="3093"/>
      <c r="F141" s="1695"/>
    </row>
    <row r="142" spans="1:51" ht="33.75" customHeight="1" thickBot="1">
      <c r="C142" s="1487"/>
      <c r="D142" s="1487"/>
      <c r="E142" s="1695"/>
      <c r="F142" s="1695"/>
    </row>
    <row r="143" spans="1:51" ht="33.75" customHeight="1">
      <c r="C143" s="1488"/>
      <c r="D143" s="1488"/>
      <c r="E143" s="1695"/>
      <c r="F143" s="1695"/>
    </row>
    <row r="144" spans="1:51" ht="33.75" customHeight="1">
      <c r="C144" s="1657"/>
      <c r="D144" s="1657"/>
      <c r="E144" s="1695"/>
      <c r="F144" s="3092" t="s">
        <v>1317</v>
      </c>
      <c r="G144" s="3092"/>
      <c r="H144" s="3092"/>
      <c r="I144" s="3092"/>
    </row>
    <row r="145" spans="3:6" ht="33.75" customHeight="1">
      <c r="C145" s="1657"/>
      <c r="D145" s="1657"/>
      <c r="E145" s="1695"/>
      <c r="F145" s="1695"/>
    </row>
    <row r="146" spans="3:6" ht="33.75" customHeight="1">
      <c r="C146" s="211"/>
      <c r="D146" s="211"/>
      <c r="E146" s="3092" t="s">
        <v>1435</v>
      </c>
      <c r="F146" s="3092"/>
    </row>
    <row r="147" spans="3:6" ht="33.75" customHeight="1"/>
    <row r="148" spans="3:6" ht="33.75" customHeight="1"/>
  </sheetData>
  <sheetProtection formatCells="0" formatColumns="0" formatRows="0" insertColumns="0" insertRows="0" insertHyperlinks="0" deleteColumns="0" deleteRows="0" selectLockedCells="1" sort="0" autoFilter="0" pivotTables="0"/>
  <mergeCells count="367">
    <mergeCell ref="AN107:AP107"/>
    <mergeCell ref="AN106:AP106"/>
    <mergeCell ref="AK106:AM106"/>
    <mergeCell ref="AN112:AP112"/>
    <mergeCell ref="AK111:AM111"/>
    <mergeCell ref="AK108:AM108"/>
    <mergeCell ref="T5:U5"/>
    <mergeCell ref="Z28:AB28"/>
    <mergeCell ref="AD28:AF28"/>
    <mergeCell ref="AG28:AI28"/>
    <mergeCell ref="AK28:AM28"/>
    <mergeCell ref="AN28:AP28"/>
    <mergeCell ref="AK29:AM29"/>
    <mergeCell ref="Z29:AB29"/>
    <mergeCell ref="AD29:AF29"/>
    <mergeCell ref="AG29:AI29"/>
    <mergeCell ref="AN29:AP29"/>
    <mergeCell ref="AO5:AP5"/>
    <mergeCell ref="Y5:Z5"/>
    <mergeCell ref="AN63:AP63"/>
    <mergeCell ref="S64:U64"/>
    <mergeCell ref="Z64:AB64"/>
    <mergeCell ref="AT5:AU5"/>
    <mergeCell ref="AV5:AW5"/>
    <mergeCell ref="K42:L42"/>
    <mergeCell ref="M42:N42"/>
    <mergeCell ref="R42:S42"/>
    <mergeCell ref="T42:U42"/>
    <mergeCell ref="Y42:Z42"/>
    <mergeCell ref="AA42:AB42"/>
    <mergeCell ref="AF42:AG42"/>
    <mergeCell ref="AH42:AI42"/>
    <mergeCell ref="AM42:AN42"/>
    <mergeCell ref="AO42:AP42"/>
    <mergeCell ref="AT42:AU42"/>
    <mergeCell ref="AV42:AW42"/>
    <mergeCell ref="M5:N5"/>
    <mergeCell ref="K5:L5"/>
    <mergeCell ref="R5:S5"/>
    <mergeCell ref="AR29:AT29"/>
    <mergeCell ref="AU29:AW29"/>
    <mergeCell ref="P32:R32"/>
    <mergeCell ref="AA5:AB5"/>
    <mergeCell ref="AF5:AG5"/>
    <mergeCell ref="AH5:AI5"/>
    <mergeCell ref="AM5:AN5"/>
    <mergeCell ref="Z70:AB70"/>
    <mergeCell ref="W67:Y67"/>
    <mergeCell ref="W37:AB37"/>
    <mergeCell ref="Z34:AB34"/>
    <mergeCell ref="Z65:AB65"/>
    <mergeCell ref="W35:Y35"/>
    <mergeCell ref="W68:Y68"/>
    <mergeCell ref="W69:Y69"/>
    <mergeCell ref="AD32:AF32"/>
    <mergeCell ref="AG32:AI32"/>
    <mergeCell ref="AK32:AM32"/>
    <mergeCell ref="AG30:AI30"/>
    <mergeCell ref="AK30:AM30"/>
    <mergeCell ref="S32:U32"/>
    <mergeCell ref="W32:Y32"/>
    <mergeCell ref="Z32:AB32"/>
    <mergeCell ref="P70:R70"/>
    <mergeCell ref="W70:Y70"/>
    <mergeCell ref="S70:U70"/>
    <mergeCell ref="L69:N69"/>
    <mergeCell ref="S69:U69"/>
    <mergeCell ref="Z69:AB69"/>
    <mergeCell ref="L64:N64"/>
    <mergeCell ref="L66:N66"/>
    <mergeCell ref="AR34:AT34"/>
    <mergeCell ref="AU34:AW34"/>
    <mergeCell ref="AN34:AP34"/>
    <mergeCell ref="Z67:AC67"/>
    <mergeCell ref="Z68:AC68"/>
    <mergeCell ref="AG64:AI64"/>
    <mergeCell ref="AN64:AP64"/>
    <mergeCell ref="S66:U66"/>
    <mergeCell ref="Z66:AB66"/>
    <mergeCell ref="AG66:AI66"/>
    <mergeCell ref="AN66:AP66"/>
    <mergeCell ref="AG63:AI63"/>
    <mergeCell ref="BB30:BB31"/>
    <mergeCell ref="AU31:AW31"/>
    <mergeCell ref="AR31:AT31"/>
    <mergeCell ref="AR30:AT30"/>
    <mergeCell ref="AU30:AW30"/>
    <mergeCell ref="AR32:AT32"/>
    <mergeCell ref="AN31:AP31"/>
    <mergeCell ref="AN32:AP32"/>
    <mergeCell ref="AN30:AP30"/>
    <mergeCell ref="BA90:BA93"/>
    <mergeCell ref="AK105:AM105"/>
    <mergeCell ref="AR105:AT105"/>
    <mergeCell ref="AU105:AW105"/>
    <mergeCell ref="AR73:AW73"/>
    <mergeCell ref="AR66:AT66"/>
    <mergeCell ref="AU67:AW67"/>
    <mergeCell ref="AR68:AT68"/>
    <mergeCell ref="AU68:AW68"/>
    <mergeCell ref="AR69:AT69"/>
    <mergeCell ref="AU69:AW69"/>
    <mergeCell ref="AR67:AT67"/>
    <mergeCell ref="AK72:AP72"/>
    <mergeCell ref="AT77:AU77"/>
    <mergeCell ref="AU70:AW70"/>
    <mergeCell ref="AK66:AM66"/>
    <mergeCell ref="AK68:AM68"/>
    <mergeCell ref="AZ78:AZ79"/>
    <mergeCell ref="AZ80:AZ81"/>
    <mergeCell ref="AZ82:AZ83"/>
    <mergeCell ref="AZ84:AZ85"/>
    <mergeCell ref="AO77:AP77"/>
    <mergeCell ref="AU66:AW66"/>
    <mergeCell ref="AV77:AW77"/>
    <mergeCell ref="AR72:AW72"/>
    <mergeCell ref="G4:G5"/>
    <mergeCell ref="G41:G42"/>
    <mergeCell ref="AD37:AI37"/>
    <mergeCell ref="AK37:AP37"/>
    <mergeCell ref="I37:N37"/>
    <mergeCell ref="P37:U37"/>
    <mergeCell ref="AK73:AP73"/>
    <mergeCell ref="P67:R67"/>
    <mergeCell ref="I73:N73"/>
    <mergeCell ref="P73:U73"/>
    <mergeCell ref="W63:Y63"/>
    <mergeCell ref="W64:Y64"/>
    <mergeCell ref="W65:Y65"/>
    <mergeCell ref="W66:Y66"/>
    <mergeCell ref="W28:Y28"/>
    <mergeCell ref="I34:K34"/>
    <mergeCell ref="L34:N34"/>
    <mergeCell ref="P34:R34"/>
    <mergeCell ref="AN33:AP33"/>
    <mergeCell ref="I32:K32"/>
    <mergeCell ref="L32:N32"/>
    <mergeCell ref="I31:K31"/>
    <mergeCell ref="L31:N31"/>
    <mergeCell ref="AK115:AM115"/>
    <mergeCell ref="W72:AB72"/>
    <mergeCell ref="I70:K70"/>
    <mergeCell ref="AD33:AF33"/>
    <mergeCell ref="AG33:AI33"/>
    <mergeCell ref="AK33:AM33"/>
    <mergeCell ref="AM77:AN77"/>
    <mergeCell ref="AK67:AM67"/>
    <mergeCell ref="AN69:AP69"/>
    <mergeCell ref="AG68:AJ68"/>
    <mergeCell ref="AN68:AQ68"/>
    <mergeCell ref="AG69:AI69"/>
    <mergeCell ref="AD68:AF68"/>
    <mergeCell ref="AD72:AI72"/>
    <mergeCell ref="AK104:AM104"/>
    <mergeCell ref="I33:K33"/>
    <mergeCell ref="W33:Y33"/>
    <mergeCell ref="L33:N33"/>
    <mergeCell ref="P33:R33"/>
    <mergeCell ref="S33:U33"/>
    <mergeCell ref="Z33:AB33"/>
    <mergeCell ref="I35:K35"/>
    <mergeCell ref="L65:N65"/>
    <mergeCell ref="S65:U65"/>
    <mergeCell ref="AD31:AF31"/>
    <mergeCell ref="AG31:AI31"/>
    <mergeCell ref="AK31:AM31"/>
    <mergeCell ref="W31:Y31"/>
    <mergeCell ref="Z30:AB30"/>
    <mergeCell ref="S31:U31"/>
    <mergeCell ref="Z31:AB31"/>
    <mergeCell ref="AK112:AM112"/>
    <mergeCell ref="AK114:AM114"/>
    <mergeCell ref="I64:K64"/>
    <mergeCell ref="W38:AB38"/>
    <mergeCell ref="L28:N28"/>
    <mergeCell ref="P28:R28"/>
    <mergeCell ref="S28:U28"/>
    <mergeCell ref="I29:K29"/>
    <mergeCell ref="L29:N29"/>
    <mergeCell ref="P29:R29"/>
    <mergeCell ref="S29:U29"/>
    <mergeCell ref="W29:Y29"/>
    <mergeCell ref="I28:K28"/>
    <mergeCell ref="I30:K30"/>
    <mergeCell ref="P35:R35"/>
    <mergeCell ref="L35:N35"/>
    <mergeCell ref="I63:K63"/>
    <mergeCell ref="S34:U34"/>
    <mergeCell ref="W34:Y34"/>
    <mergeCell ref="S35:U35"/>
    <mergeCell ref="Z35:AB35"/>
    <mergeCell ref="L30:N30"/>
    <mergeCell ref="P30:R30"/>
    <mergeCell ref="S30:U30"/>
    <mergeCell ref="W30:Y30"/>
    <mergeCell ref="P31:R31"/>
    <mergeCell ref="W73:AB73"/>
    <mergeCell ref="I67:K67"/>
    <mergeCell ref="I68:K68"/>
    <mergeCell ref="I38:N38"/>
    <mergeCell ref="P38:U38"/>
    <mergeCell ref="S67:V67"/>
    <mergeCell ref="S68:V68"/>
    <mergeCell ref="P68:R68"/>
    <mergeCell ref="I65:K65"/>
    <mergeCell ref="I66:K66"/>
    <mergeCell ref="P63:R63"/>
    <mergeCell ref="P65:R65"/>
    <mergeCell ref="P64:R64"/>
    <mergeCell ref="P66:R66"/>
    <mergeCell ref="L70:N70"/>
    <mergeCell ref="Z63:AB63"/>
    <mergeCell ref="P69:R69"/>
    <mergeCell ref="L67:O67"/>
    <mergeCell ref="L68:O68"/>
    <mergeCell ref="I69:K69"/>
    <mergeCell ref="I72:N72"/>
    <mergeCell ref="P72:U72"/>
    <mergeCell ref="L63:N63"/>
    <mergeCell ref="S63:U63"/>
    <mergeCell ref="BB26:BC26"/>
    <mergeCell ref="BB36:BC36"/>
    <mergeCell ref="AD70:AF70"/>
    <mergeCell ref="AK70:AM70"/>
    <mergeCell ref="AR70:AT70"/>
    <mergeCell ref="AR38:AW38"/>
    <mergeCell ref="AN67:AQ67"/>
    <mergeCell ref="AR63:AT63"/>
    <mergeCell ref="AU63:AW63"/>
    <mergeCell ref="AR64:AT64"/>
    <mergeCell ref="AR37:AW37"/>
    <mergeCell ref="AK38:AP38"/>
    <mergeCell ref="AR35:AT35"/>
    <mergeCell ref="AU35:AW35"/>
    <mergeCell ref="AD34:AF34"/>
    <mergeCell ref="AG34:AI34"/>
    <mergeCell ref="AK34:AM34"/>
    <mergeCell ref="AR65:AT65"/>
    <mergeCell ref="BA43:BA49"/>
    <mergeCell ref="AG35:AI35"/>
    <mergeCell ref="AN35:AP35"/>
    <mergeCell ref="AD35:AF35"/>
    <mergeCell ref="AK35:AM35"/>
    <mergeCell ref="AD30:AF30"/>
    <mergeCell ref="BA78:BA84"/>
    <mergeCell ref="AK63:AM63"/>
    <mergeCell ref="AU64:AW64"/>
    <mergeCell ref="AD63:AF63"/>
    <mergeCell ref="AU107:AW107"/>
    <mergeCell ref="AD38:AI38"/>
    <mergeCell ref="AD64:AF64"/>
    <mergeCell ref="AG70:AI70"/>
    <mergeCell ref="AN70:AP70"/>
    <mergeCell ref="AG67:AJ67"/>
    <mergeCell ref="AD69:AF69"/>
    <mergeCell ref="AU106:AW106"/>
    <mergeCell ref="AR104:AT104"/>
    <mergeCell ref="AD65:AF65"/>
    <mergeCell ref="AD66:AF66"/>
    <mergeCell ref="AK64:AM64"/>
    <mergeCell ref="AK65:AM65"/>
    <mergeCell ref="AD73:AI73"/>
    <mergeCell ref="AK69:AM69"/>
    <mergeCell ref="AG65:AI65"/>
    <mergeCell ref="AN65:AP65"/>
    <mergeCell ref="AD67:AF67"/>
    <mergeCell ref="AR106:AT106"/>
    <mergeCell ref="AU65:AW65"/>
    <mergeCell ref="E136:F136"/>
    <mergeCell ref="E140:E141"/>
    <mergeCell ref="E146:F146"/>
    <mergeCell ref="F137:I137"/>
    <mergeCell ref="F144:I144"/>
    <mergeCell ref="AU113:AW113"/>
    <mergeCell ref="AN109:AP109"/>
    <mergeCell ref="AN110:AP110"/>
    <mergeCell ref="AR111:AT111"/>
    <mergeCell ref="AR115:AT115"/>
    <mergeCell ref="AK109:AM109"/>
    <mergeCell ref="AU115:AW115"/>
    <mergeCell ref="AR114:AT114"/>
    <mergeCell ref="AU114:AW114"/>
    <mergeCell ref="AU110:AW110"/>
    <mergeCell ref="AR109:AT109"/>
    <mergeCell ref="AU112:AW112"/>
    <mergeCell ref="AN113:AP113"/>
    <mergeCell ref="AK113:AM113"/>
    <mergeCell ref="AR112:AT112"/>
    <mergeCell ref="AU111:AW111"/>
    <mergeCell ref="AR113:AT113"/>
    <mergeCell ref="AN115:AQ115"/>
    <mergeCell ref="AN111:AP111"/>
    <mergeCell ref="AR130:AT130"/>
    <mergeCell ref="AU130:AW130"/>
    <mergeCell ref="AR117:AT117"/>
    <mergeCell ref="AM124:AN124"/>
    <mergeCell ref="AO124:AP124"/>
    <mergeCell ref="AK131:AM131"/>
    <mergeCell ref="AN131:AP131"/>
    <mergeCell ref="AR120:AW120"/>
    <mergeCell ref="AK119:AP119"/>
    <mergeCell ref="AR119:AW119"/>
    <mergeCell ref="AK120:AP120"/>
    <mergeCell ref="AR131:AT131"/>
    <mergeCell ref="AU131:AW131"/>
    <mergeCell ref="AK130:AM130"/>
    <mergeCell ref="AN130:AP130"/>
    <mergeCell ref="AT124:AU124"/>
    <mergeCell ref="AV124:AW124"/>
    <mergeCell ref="AY14:AY15"/>
    <mergeCell ref="AK116:AM116"/>
    <mergeCell ref="AN116:AP116"/>
    <mergeCell ref="AK117:AM117"/>
    <mergeCell ref="AN117:AP117"/>
    <mergeCell ref="AU117:AW117"/>
    <mergeCell ref="AR116:AT116"/>
    <mergeCell ref="AU116:AW116"/>
    <mergeCell ref="AR108:AT108"/>
    <mergeCell ref="AU109:AW109"/>
    <mergeCell ref="AR110:AT110"/>
    <mergeCell ref="AK110:AM110"/>
    <mergeCell ref="AR107:AT107"/>
    <mergeCell ref="AK107:AM107"/>
    <mergeCell ref="AU104:AW104"/>
    <mergeCell ref="AN104:AP104"/>
    <mergeCell ref="AN105:AP105"/>
    <mergeCell ref="AR28:AT28"/>
    <mergeCell ref="AU28:AW28"/>
    <mergeCell ref="AU32:AW32"/>
    <mergeCell ref="AR33:AT33"/>
    <mergeCell ref="AU33:AW33"/>
    <mergeCell ref="AU108:AW108"/>
    <mergeCell ref="AN108:AQ108"/>
    <mergeCell ref="AY123:AY124"/>
    <mergeCell ref="AY78:AY79"/>
    <mergeCell ref="AY80:AY81"/>
    <mergeCell ref="AY82:AY83"/>
    <mergeCell ref="AY84:AY85"/>
    <mergeCell ref="AY95:AY96"/>
    <mergeCell ref="AY43:AY44"/>
    <mergeCell ref="AY45:AY46"/>
    <mergeCell ref="AY47:AY48"/>
    <mergeCell ref="AY49:AY50"/>
    <mergeCell ref="AN114:AP114"/>
    <mergeCell ref="AZ3:AZ5"/>
    <mergeCell ref="BA3:BA5"/>
    <mergeCell ref="AZ40:AZ42"/>
    <mergeCell ref="BA40:BA42"/>
    <mergeCell ref="AZ75:AZ77"/>
    <mergeCell ref="BA75:BA77"/>
    <mergeCell ref="AZ6:AZ8"/>
    <mergeCell ref="AZ9:AZ11"/>
    <mergeCell ref="AZ12:AZ13"/>
    <mergeCell ref="AZ14:AZ15"/>
    <mergeCell ref="AZ43:AZ44"/>
    <mergeCell ref="AZ45:AZ46"/>
    <mergeCell ref="AZ47:AZ48"/>
    <mergeCell ref="AZ49:AZ50"/>
    <mergeCell ref="BA6:BA14"/>
    <mergeCell ref="BA20:BA21"/>
    <mergeCell ref="BA55:BA56"/>
    <mergeCell ref="AY3:AY5"/>
    <mergeCell ref="AY40:AY42"/>
    <mergeCell ref="AY75:AY77"/>
    <mergeCell ref="AY6:AY8"/>
    <mergeCell ref="AY9:AY11"/>
    <mergeCell ref="AY12:AY13"/>
  </mergeCells>
  <phoneticPr fontId="7" type="noConversion"/>
  <conditionalFormatting sqref="AS57">
    <cfRule type="expression" dxfId="3936" priority="8257">
      <formula>AS57&lt;8%</formula>
    </cfRule>
    <cfRule type="expression" dxfId="3935" priority="8258">
      <formula>AS57&gt;15%</formula>
    </cfRule>
  </conditionalFormatting>
  <conditionalFormatting sqref="I37 AR37 AK37 AD37 W37 P37">
    <cfRule type="expression" dxfId="3934" priority="7887">
      <formula>I37&lt;300</formula>
    </cfRule>
    <cfRule type="expression" dxfId="3933" priority="7888">
      <formula>I37&gt;360</formula>
    </cfRule>
  </conditionalFormatting>
  <conditionalFormatting sqref="I119 AD119 W119 P119 AK119 AR119 I38 AR38 AK38 AD38 W38 P38">
    <cfRule type="expression" dxfId="3932" priority="7885">
      <formula>I38&lt;30</formula>
    </cfRule>
    <cfRule type="expression" dxfId="3931" priority="7886">
      <formula>I38&gt;50</formula>
    </cfRule>
  </conditionalFormatting>
  <conditionalFormatting sqref="I72 P72 V72:W72 AD72 AK72 AR72">
    <cfRule type="expression" dxfId="3930" priority="6907">
      <formula>I72&lt;100</formula>
    </cfRule>
    <cfRule type="expression" dxfId="3929" priority="6908">
      <formula>I72&gt;200</formula>
    </cfRule>
  </conditionalFormatting>
  <conditionalFormatting sqref="I73 P73 AD73 AK73 AR73 V73:W73">
    <cfRule type="expression" dxfId="3928" priority="6905">
      <formula>I73&lt;20</formula>
    </cfRule>
    <cfRule type="expression" dxfId="3927" priority="6906">
      <formula>I73&gt;50</formula>
    </cfRule>
  </conditionalFormatting>
  <conditionalFormatting sqref="I120 AD120 W120 P120 AK120 AR120">
    <cfRule type="expression" dxfId="3926" priority="6065">
      <formula>I120&lt;160</formula>
    </cfRule>
    <cfRule type="expression" dxfId="3925" priority="6066">
      <formula>I120&gt;220</formula>
    </cfRule>
  </conditionalFormatting>
  <conditionalFormatting sqref="I115 L115:M115 W115 Z115:AA115 AD115 AG115:AH115 P115 S115:T115 AR115 AU115:AV115 AK115 AN115:AO115">
    <cfRule type="expression" dxfId="3924" priority="5909">
      <formula>I115&lt;35</formula>
    </cfRule>
    <cfRule type="expression" dxfId="3923" priority="5910">
      <formula>I115&gt;45</formula>
    </cfRule>
  </conditionalFormatting>
  <conditionalFormatting sqref="I16 P16 W16 AD16 AK16 AR16">
    <cfRule type="cellIs" dxfId="3922" priority="5879" operator="between">
      <formula>130</formula>
      <formula>132.99</formula>
    </cfRule>
    <cfRule type="cellIs" dxfId="3921" priority="5880" operator="between">
      <formula>147.1</formula>
      <formula>150</formula>
    </cfRule>
    <cfRule type="expression" dxfId="3920" priority="5881">
      <formula>I16&lt;130</formula>
    </cfRule>
    <cfRule type="expression" dxfId="3919" priority="5882">
      <formula>I16&gt;150</formula>
    </cfRule>
  </conditionalFormatting>
  <conditionalFormatting sqref="I17 P17 W17 AD17 AK17 AR17">
    <cfRule type="expression" dxfId="3918" priority="5865">
      <formula>I17&lt;8</formula>
    </cfRule>
    <cfRule type="expression" dxfId="3917" priority="5866">
      <formula>I17&gt;12</formula>
    </cfRule>
  </conditionalFormatting>
  <conditionalFormatting sqref="I19 P19 W19 AD19 AK19 AR19">
    <cfRule type="cellIs" dxfId="3916" priority="5855" operator="between">
      <formula>1.6</formula>
      <formula>1.799</formula>
    </cfRule>
    <cfRule type="expression" dxfId="3915" priority="5857">
      <formula>I19&lt;1.6</formula>
    </cfRule>
    <cfRule type="expression" dxfId="3914" priority="5858">
      <formula>I19&gt;2.2</formula>
    </cfRule>
  </conditionalFormatting>
  <conditionalFormatting sqref="I21 I56 P21 W21 AD21 AK21 AR21 P56 W56 AD56 AK56 AR56">
    <cfRule type="expression" dxfId="3913" priority="5845">
      <formula>I21&lt;17%</formula>
    </cfRule>
    <cfRule type="expression" dxfId="3912" priority="5846">
      <formula>I21&gt;27%</formula>
    </cfRule>
  </conditionalFormatting>
  <conditionalFormatting sqref="I22 P22 W22 AD22 AK22 AR22">
    <cfRule type="cellIs" dxfId="3911" priority="5839" operator="between">
      <formula>5%</formula>
      <formula>6.99%</formula>
    </cfRule>
    <cfRule type="cellIs" dxfId="3910" priority="5840" operator="between">
      <formula>12.99%</formula>
      <formula>15%</formula>
    </cfRule>
    <cfRule type="expression" dxfId="3909" priority="5841">
      <formula>I22&lt;5%</formula>
    </cfRule>
    <cfRule type="expression" dxfId="3908" priority="5842">
      <formula>I22&gt;15%</formula>
    </cfRule>
  </conditionalFormatting>
  <conditionalFormatting sqref="I32 L32:M32 P32 S32:T32 W32 Z32:AA32 AD32 AG32:AH32 AK32 AN32:AO32 AR32 AU32:AV32">
    <cfRule type="cellIs" dxfId="3907" priority="5385" operator="between">
      <formula>20</formula>
      <formula>25.9</formula>
    </cfRule>
    <cfRule type="cellIs" dxfId="3906" priority="5386" operator="between">
      <formula>34.1</formula>
      <formula>35</formula>
    </cfRule>
    <cfRule type="expression" dxfId="3905" priority="5387">
      <formula>I32&lt;20</formula>
    </cfRule>
    <cfRule type="expression" dxfId="3904" priority="5388">
      <formula>I32&gt;35</formula>
    </cfRule>
  </conditionalFormatting>
  <conditionalFormatting sqref="I52 P52 W52 AD52 AK52 AR52">
    <cfRule type="expression" dxfId="3903" priority="5017">
      <formula>I52&lt;8</formula>
    </cfRule>
    <cfRule type="expression" dxfId="3902" priority="5018">
      <formula>I52&gt;12</formula>
    </cfRule>
  </conditionalFormatting>
  <conditionalFormatting sqref="I54 P54 W54 AD54 AK54 AR54">
    <cfRule type="cellIs" dxfId="3901" priority="5007" operator="between">
      <formula>2</formula>
      <formula>2.199</formula>
    </cfRule>
    <cfRule type="cellIs" dxfId="3900" priority="5008" operator="between">
      <formula>2.41</formula>
      <formula>2.5</formula>
    </cfRule>
    <cfRule type="expression" dxfId="3899" priority="5009">
      <formula>I54&lt;2</formula>
    </cfRule>
    <cfRule type="expression" dxfId="3898" priority="5010">
      <formula>I54&gt;2.5</formula>
    </cfRule>
  </conditionalFormatting>
  <conditionalFormatting sqref="I67 L67:M67 P67 S67:T67 W67 Z67:AA67 AD67 AG67:AH67 AK67 AN67:AO67 AR67 AU67:AV67">
    <cfRule type="cellIs" dxfId="3897" priority="4721" operator="between">
      <formula>22</formula>
      <formula>25.99</formula>
    </cfRule>
    <cfRule type="cellIs" dxfId="3896" priority="4722" operator="between">
      <formula>34.1</formula>
      <formula>35</formula>
    </cfRule>
    <cfRule type="expression" dxfId="3895" priority="4723">
      <formula>I67&lt;22</formula>
    </cfRule>
    <cfRule type="expression" dxfId="3894" priority="4724">
      <formula>I67&gt;35</formula>
    </cfRule>
  </conditionalFormatting>
  <conditionalFormatting sqref="I68 L68:M68 P68 S68:T68 W68 Z68:AA68 AD68 AG68:AH68 AK68 AN68:AO68 AR68 AU68:AV68">
    <cfRule type="cellIs" dxfId="3893" priority="4717" operator="between">
      <formula>30</formula>
      <formula>31.99</formula>
    </cfRule>
    <cfRule type="cellIs" dxfId="3892" priority="4718" operator="between">
      <formula>36.1</formula>
      <formula>38</formula>
    </cfRule>
    <cfRule type="expression" dxfId="3891" priority="4719">
      <formula>I68&lt;30</formula>
    </cfRule>
    <cfRule type="expression" dxfId="3890" priority="4720">
      <formula>I68&gt;38</formula>
    </cfRule>
  </conditionalFormatting>
  <conditionalFormatting sqref="I86 P86 W86 AD86 AK86 AR86">
    <cfRule type="expression" dxfId="3889" priority="4440" stopIfTrue="1">
      <formula>I86&lt;135</formula>
    </cfRule>
  </conditionalFormatting>
  <conditionalFormatting sqref="I86 P86 W86 AD86 AK86 AR86">
    <cfRule type="expression" dxfId="3888" priority="4439" stopIfTrue="1">
      <formula>I86&gt;145</formula>
    </cfRule>
  </conditionalFormatting>
  <conditionalFormatting sqref="I88 P88 W88 AD88 AK88 AR88">
    <cfRule type="cellIs" dxfId="3887" priority="4432" operator="between">
      <formula>7.01</formula>
      <formula>8</formula>
    </cfRule>
    <cfRule type="expression" dxfId="3886" priority="4433">
      <formula>I88&lt;5</formula>
    </cfRule>
    <cfRule type="expression" dxfId="3885" priority="4434">
      <formula>I88&gt;8</formula>
    </cfRule>
  </conditionalFormatting>
  <conditionalFormatting sqref="I93 P93 W93 AD93 AK93 AR93">
    <cfRule type="expression" dxfId="3884" priority="4395">
      <formula>I93&lt;10%</formula>
    </cfRule>
    <cfRule type="expression" dxfId="3883" priority="4396">
      <formula>I93&gt;20%</formula>
    </cfRule>
  </conditionalFormatting>
  <conditionalFormatting sqref="I98 P98 W98 AD98 AK98 AR98">
    <cfRule type="cellIs" dxfId="3882" priority="4196" operator="between">
      <formula>2.21</formula>
      <formula>2.4</formula>
    </cfRule>
    <cfRule type="expression" dxfId="3881" priority="4197">
      <formula>I98&lt;1.8</formula>
    </cfRule>
    <cfRule type="expression" dxfId="3880" priority="4198">
      <formula>I98&gt;2.4</formula>
    </cfRule>
  </conditionalFormatting>
  <conditionalFormatting sqref="I126 W126 AR126 AD126 AK126 P126 I100 W100 AR100 AD100 AK100 P100">
    <cfRule type="expression" dxfId="3879" priority="4150" stopIfTrue="1">
      <formula>I100&gt;140</formula>
    </cfRule>
    <cfRule type="expression" dxfId="3878" priority="4151" stopIfTrue="1">
      <formula>I100&lt;130</formula>
    </cfRule>
  </conditionalFormatting>
  <conditionalFormatting sqref="I127 W127 AR127 AD127 AK127 P127 I101 W101 AR101 AD101 AK101 P101">
    <cfRule type="cellIs" dxfId="3877" priority="4144" operator="between">
      <formula>3</formula>
      <formula>4.099</formula>
    </cfRule>
    <cfRule type="expression" dxfId="3876" priority="4146">
      <formula>I101&lt;3</formula>
    </cfRule>
    <cfRule type="expression" dxfId="3875" priority="4147">
      <formula>I101&gt;4.5</formula>
    </cfRule>
  </conditionalFormatting>
  <conditionalFormatting sqref="I108 L108:M108 P108 S108:T108 W108 Z108:AA108 AD108 AG108:AH108 AK108 AN108:AO108 AR108 AU108:AV108">
    <cfRule type="expression" dxfId="3874" priority="3938">
      <formula>I108&lt;22</formula>
    </cfRule>
    <cfRule type="expression" dxfId="3873" priority="3939">
      <formula>I108&gt;28</formula>
    </cfRule>
  </conditionalFormatting>
  <conditionalFormatting sqref="I115:AW115">
    <cfRule type="cellIs" dxfId="3872" priority="3838" operator="between">
      <formula>43.1</formula>
      <formula>45</formula>
    </cfRule>
    <cfRule type="cellIs" dxfId="3871" priority="3839" operator="between">
      <formula>35</formula>
      <formula>36.9</formula>
    </cfRule>
  </conditionalFormatting>
  <conditionalFormatting sqref="I131 AR131 Z131:AB131 W131 AG131:AI131 AD131 L131:N131 AU131 AN131:AP131 AK131 S131:U131 P131 Z117:AB117 W117 AG117:AI117 AD117 L117:N117 I117 AU117:AW117 AR117 AN117:AP117 AK117 S117:U117 P117">
    <cfRule type="expression" dxfId="3870" priority="3828">
      <formula>I117&lt;20</formula>
    </cfRule>
    <cfRule type="expression" dxfId="3869" priority="3829">
      <formula>I117&gt;30</formula>
    </cfRule>
  </conditionalFormatting>
  <conditionalFormatting sqref="AR130 AG130:AH130 I130 L130:M130 W130 Z130:AA130 AD130 AU130 AK130 AN130:AO130 P130 S130:T130 I116 L116:M116 W116 Z116:AA116 AD116 AG116:AH116 AR116 AU116:AV116 AK116 AN116:AO116 P116 S116:T116">
    <cfRule type="expression" dxfId="3868" priority="3826">
      <formula>I116&lt;24</formula>
    </cfRule>
    <cfRule type="expression" dxfId="3867" priority="3827">
      <formula>I116&gt;28</formula>
    </cfRule>
  </conditionalFormatting>
  <conditionalFormatting sqref="I125 W125 AD125 AR125 AK125 P125 I99 W99 AD99 AR99 AK99 P99">
    <cfRule type="expression" dxfId="3866" priority="3794">
      <formula>I99&lt;5</formula>
    </cfRule>
    <cfRule type="expression" dxfId="3865" priority="3795">
      <formula>I99&gt;6</formula>
    </cfRule>
  </conditionalFormatting>
  <conditionalFormatting sqref="I97 P97 W97 AD97 AK97 AR97">
    <cfRule type="cellIs" dxfId="3864" priority="3760" operator="between">
      <formula>8</formula>
      <formula>9.99</formula>
    </cfRule>
    <cfRule type="cellIs" dxfId="3863" priority="3761" operator="between">
      <formula>14.1</formula>
      <formula>16</formula>
    </cfRule>
    <cfRule type="expression" dxfId="3862" priority="3762">
      <formula>I97&lt;8</formula>
    </cfRule>
    <cfRule type="expression" dxfId="3861" priority="3763">
      <formula>I97&gt;16</formula>
    </cfRule>
  </conditionalFormatting>
  <conditionalFormatting sqref="I57 P57 AR57 AK57 AD57 W57">
    <cfRule type="expression" dxfId="3860" priority="2382">
      <formula>I57&lt;5%</formula>
    </cfRule>
    <cfRule type="expression" dxfId="3859" priority="2383">
      <formula>I57&gt;15%</formula>
    </cfRule>
  </conditionalFormatting>
  <conditionalFormatting sqref="I57 P57 AR57 AK57 AD57 W57">
    <cfRule type="cellIs" dxfId="3858" priority="2380" operator="between">
      <formula>5%</formula>
      <formula>6.99%</formula>
    </cfRule>
    <cfRule type="cellIs" dxfId="3857" priority="2381" operator="between">
      <formula>13.1%</formula>
      <formula>15%</formula>
    </cfRule>
  </conditionalFormatting>
  <conditionalFormatting sqref="I6 I9 P6 P9 W6 W9 AD6 AD9 AK6 AK9 AR6 AR9">
    <cfRule type="cellIs" dxfId="3856" priority="2304" operator="between">
      <formula>20</formula>
      <formula>24.99</formula>
    </cfRule>
    <cfRule type="cellIs" dxfId="3855" priority="2305" operator="between">
      <formula>35.1</formula>
      <formula>40</formula>
    </cfRule>
    <cfRule type="expression" dxfId="3854" priority="2306">
      <formula>I6&lt;20</formula>
    </cfRule>
    <cfRule type="expression" dxfId="3853" priority="2307">
      <formula>I6&gt;40</formula>
    </cfRule>
  </conditionalFormatting>
  <conditionalFormatting sqref="I12 I14 P12 P14 W12 W14 AD12 AD14 AK12 AK14 AR12 AR14">
    <cfRule type="expression" dxfId="3852" priority="2302" stopIfTrue="1">
      <formula>I12&gt;80</formula>
    </cfRule>
    <cfRule type="expression" dxfId="3851" priority="2303" stopIfTrue="1">
      <formula>I12&lt;60</formula>
    </cfRule>
  </conditionalFormatting>
  <conditionalFormatting sqref="I43 I45 P43 P45 W43 W45 AD43 AD45 AK43 AK45 AR43 AR45">
    <cfRule type="cellIs" dxfId="3850" priority="2268" operator="between">
      <formula>60</formula>
      <formula>64.99</formula>
    </cfRule>
    <cfRule type="cellIs" dxfId="3849" priority="2269" operator="between">
      <formula>75.1</formula>
      <formula>80</formula>
    </cfRule>
    <cfRule type="expression" dxfId="3848" priority="2270">
      <formula>I43&lt;60</formula>
    </cfRule>
    <cfRule type="expression" dxfId="3847" priority="2271">
      <formula>I43&gt;80</formula>
    </cfRule>
  </conditionalFormatting>
  <conditionalFormatting sqref="I82 AD82 AR84 W84 AR82 W82 AK84 P84 AK82 P82 AD84 I84">
    <cfRule type="cellIs" dxfId="3846" priority="2264" operator="between">
      <formula>50</formula>
      <formula>54.99</formula>
    </cfRule>
    <cfRule type="cellIs" dxfId="3845" priority="2265" operator="between">
      <formula>65.01</formula>
      <formula>70</formula>
    </cfRule>
    <cfRule type="expression" dxfId="3844" priority="2266">
      <formula>I82&lt;50</formula>
    </cfRule>
    <cfRule type="expression" dxfId="3843" priority="2267">
      <formula>I82&gt;70</formula>
    </cfRule>
  </conditionalFormatting>
  <conditionalFormatting sqref="I78 I80 P78 P80 W78 W80 AD78 AD80 AK78 AK80 AR78 AR80">
    <cfRule type="cellIs" dxfId="3842" priority="2220" operator="between">
      <formula>40</formula>
      <formula>44.99</formula>
    </cfRule>
    <cfRule type="cellIs" dxfId="3841" priority="2221" operator="between">
      <formula>55.1</formula>
      <formula>60</formula>
    </cfRule>
    <cfRule type="expression" dxfId="3840" priority="2222">
      <formula>I78&lt;40</formula>
    </cfRule>
    <cfRule type="expression" dxfId="3839" priority="2223">
      <formula>I78&gt;60</formula>
    </cfRule>
  </conditionalFormatting>
  <conditionalFormatting sqref="I53 P53 W53 AD53 AK53 AR53">
    <cfRule type="cellIs" dxfId="3838" priority="2059" operator="between">
      <formula>8.01</formula>
      <formula>10</formula>
    </cfRule>
    <cfRule type="expression" dxfId="3837" priority="2060">
      <formula>I53&lt;6</formula>
    </cfRule>
    <cfRule type="expression" dxfId="3836" priority="2061">
      <formula>I53&gt;10</formula>
    </cfRule>
  </conditionalFormatting>
  <conditionalFormatting sqref="I20 P20 W20 AD20 AK20 AR20 I55 P55 W55 AD55 AK55 AR55">
    <cfRule type="expression" dxfId="3835" priority="1588">
      <formula>I20&lt;40%</formula>
    </cfRule>
    <cfRule type="expression" dxfId="3834" priority="1589">
      <formula>I20&gt;50%</formula>
    </cfRule>
  </conditionalFormatting>
  <conditionalFormatting sqref="I90:I92 AR90:AR92 AK90:AK92 AD90:AD92 W90:W92 P90:P92">
    <cfRule type="expression" dxfId="3833" priority="1540">
      <formula>I90&lt;40%</formula>
    </cfRule>
    <cfRule type="expression" dxfId="3832" priority="1541">
      <formula>I90&gt;50%</formula>
    </cfRule>
  </conditionalFormatting>
  <conditionalFormatting sqref="I18 P18 W18 AR18 AK18 AD18">
    <cfRule type="cellIs" dxfId="3831" priority="1505" operator="between">
      <formula>16.1</formula>
      <formula>18</formula>
    </cfRule>
    <cfRule type="expression" dxfId="3830" priority="1506">
      <formula>I18&lt;12</formula>
    </cfRule>
    <cfRule type="expression" dxfId="3829" priority="1507">
      <formula>I18&gt;18</formula>
    </cfRule>
  </conditionalFormatting>
  <conditionalFormatting sqref="I28:I29 L28:M29 P28:P29 S28:T29 W28:W29 Z28:AA29 AD28:AD29 AG28:AH29 AK28:AK29 AN28:AO29 AR28:AR29 AU28:AV29">
    <cfRule type="cellIs" dxfId="3828" priority="1370" operator="between">
      <formula>50</formula>
      <formula>54.9</formula>
    </cfRule>
    <cfRule type="cellIs" dxfId="3827" priority="1371" operator="between">
      <formula>65.1</formula>
      <formula>70</formula>
    </cfRule>
    <cfRule type="expression" dxfId="3826" priority="1372">
      <formula>I28&lt;50</formula>
    </cfRule>
    <cfRule type="expression" dxfId="3825" priority="1373">
      <formula>I28&gt;70</formula>
    </cfRule>
  </conditionalFormatting>
  <conditionalFormatting sqref="I23">
    <cfRule type="cellIs" dxfId="3824" priority="1352" operator="between">
      <formula>0.5%</formula>
      <formula>0.599%</formula>
    </cfRule>
    <cfRule type="cellIs" dxfId="3823" priority="1353" operator="between">
      <formula>1.41%</formula>
      <formula>1.5%</formula>
    </cfRule>
    <cfRule type="expression" dxfId="3822" priority="1354">
      <formula>I23&lt;0.5%</formula>
    </cfRule>
    <cfRule type="expression" dxfId="3821" priority="1355">
      <formula>I23&gt;1.5%</formula>
    </cfRule>
  </conditionalFormatting>
  <conditionalFormatting sqref="P23">
    <cfRule type="cellIs" dxfId="3820" priority="1348" operator="between">
      <formula>0.5%</formula>
      <formula>0.599%</formula>
    </cfRule>
    <cfRule type="cellIs" dxfId="3819" priority="1349" operator="between">
      <formula>1.41%</formula>
      <formula>1.5%</formula>
    </cfRule>
    <cfRule type="expression" dxfId="3818" priority="1350">
      <formula>P23&lt;0.5%</formula>
    </cfRule>
    <cfRule type="expression" dxfId="3817" priority="1351">
      <formula>P23&gt;1.5%</formula>
    </cfRule>
  </conditionalFormatting>
  <conditionalFormatting sqref="W23">
    <cfRule type="cellIs" dxfId="3816" priority="1344" operator="between">
      <formula>0.5%</formula>
      <formula>0.599%</formula>
    </cfRule>
    <cfRule type="cellIs" dxfId="3815" priority="1345" operator="between">
      <formula>1.41%</formula>
      <formula>1.5%</formula>
    </cfRule>
    <cfRule type="expression" dxfId="3814" priority="1346">
      <formula>W23&lt;0.5%</formula>
    </cfRule>
    <cfRule type="expression" dxfId="3813" priority="1347">
      <formula>W23&gt;1.5%</formula>
    </cfRule>
  </conditionalFormatting>
  <conditionalFormatting sqref="AD23">
    <cfRule type="cellIs" dxfId="3812" priority="1340" operator="between">
      <formula>0.5%</formula>
      <formula>0.599%</formula>
    </cfRule>
    <cfRule type="cellIs" dxfId="3811" priority="1341" operator="between">
      <formula>1.41%</formula>
      <formula>1.5%</formula>
    </cfRule>
    <cfRule type="expression" dxfId="3810" priority="1342">
      <formula>AD23&lt;0.5%</formula>
    </cfRule>
    <cfRule type="expression" dxfId="3809" priority="1343">
      <formula>AD23&gt;1.5%</formula>
    </cfRule>
  </conditionalFormatting>
  <conditionalFormatting sqref="AK23">
    <cfRule type="cellIs" dxfId="3808" priority="1336" operator="between">
      <formula>0.5%</formula>
      <formula>0.599%</formula>
    </cfRule>
    <cfRule type="cellIs" dxfId="3807" priority="1337" operator="between">
      <formula>1.41%</formula>
      <formula>1.5%</formula>
    </cfRule>
    <cfRule type="expression" dxfId="3806" priority="1338">
      <formula>AK23&lt;0.5%</formula>
    </cfRule>
    <cfRule type="expression" dxfId="3805" priority="1339">
      <formula>AK23&gt;1.5%</formula>
    </cfRule>
  </conditionalFormatting>
  <conditionalFormatting sqref="AR23">
    <cfRule type="cellIs" dxfId="3804" priority="1332" operator="between">
      <formula>0.5%</formula>
      <formula>0.599%</formula>
    </cfRule>
    <cfRule type="cellIs" dxfId="3803" priority="1333" operator="between">
      <formula>1.41%</formula>
      <formula>1.5%</formula>
    </cfRule>
    <cfRule type="expression" dxfId="3802" priority="1334">
      <formula>AR23&lt;0.5%</formula>
    </cfRule>
    <cfRule type="expression" dxfId="3801" priority="1335">
      <formula>AR23&gt;1.5%</formula>
    </cfRule>
  </conditionalFormatting>
  <conditionalFormatting sqref="I33">
    <cfRule type="cellIs" dxfId="3800" priority="1265" operator="between">
      <formula>30</formula>
      <formula>30.9</formula>
    </cfRule>
    <cfRule type="cellIs" dxfId="3799" priority="1266" operator="between">
      <formula>37.1</formula>
      <formula>40</formula>
    </cfRule>
    <cfRule type="expression" dxfId="3798" priority="1267">
      <formula>I33&lt;30</formula>
    </cfRule>
    <cfRule type="expression" dxfId="3797" priority="1268">
      <formula>I33&gt;40</formula>
    </cfRule>
  </conditionalFormatting>
  <conditionalFormatting sqref="L33">
    <cfRule type="cellIs" dxfId="3796" priority="1261" operator="between">
      <formula>30</formula>
      <formula>30.9</formula>
    </cfRule>
    <cfRule type="cellIs" dxfId="3795" priority="1262" operator="between">
      <formula>37.1</formula>
      <formula>40</formula>
    </cfRule>
    <cfRule type="expression" dxfId="3794" priority="1263">
      <formula>L33&lt;30</formula>
    </cfRule>
    <cfRule type="expression" dxfId="3793" priority="1264">
      <formula>L33&gt;40</formula>
    </cfRule>
  </conditionalFormatting>
  <conditionalFormatting sqref="P33">
    <cfRule type="cellIs" dxfId="3792" priority="1257" operator="between">
      <formula>30</formula>
      <formula>30.9</formula>
    </cfRule>
    <cfRule type="cellIs" dxfId="3791" priority="1258" operator="between">
      <formula>37.1</formula>
      <formula>40</formula>
    </cfRule>
    <cfRule type="expression" dxfId="3790" priority="1259">
      <formula>P33&lt;30</formula>
    </cfRule>
    <cfRule type="expression" dxfId="3789" priority="1260">
      <formula>P33&gt;40</formula>
    </cfRule>
  </conditionalFormatting>
  <conditionalFormatting sqref="S33">
    <cfRule type="cellIs" dxfId="3788" priority="1253" operator="between">
      <formula>30</formula>
      <formula>30.9</formula>
    </cfRule>
    <cfRule type="cellIs" dxfId="3787" priority="1254" operator="between">
      <formula>37.1</formula>
      <formula>40</formula>
    </cfRule>
    <cfRule type="expression" dxfId="3786" priority="1255">
      <formula>S33&lt;30</formula>
    </cfRule>
    <cfRule type="expression" dxfId="3785" priority="1256">
      <formula>S33&gt;40</formula>
    </cfRule>
  </conditionalFormatting>
  <conditionalFormatting sqref="W33">
    <cfRule type="cellIs" dxfId="3784" priority="1249" operator="between">
      <formula>30</formula>
      <formula>30.9</formula>
    </cfRule>
    <cfRule type="cellIs" dxfId="3783" priority="1250" operator="between">
      <formula>37.1</formula>
      <formula>40</formula>
    </cfRule>
    <cfRule type="expression" dxfId="3782" priority="1251">
      <formula>W33&lt;30</formula>
    </cfRule>
    <cfRule type="expression" dxfId="3781" priority="1252">
      <formula>W33&gt;40</formula>
    </cfRule>
  </conditionalFormatting>
  <conditionalFormatting sqref="Z33">
    <cfRule type="cellIs" dxfId="3780" priority="1245" operator="between">
      <formula>30</formula>
      <formula>30.9</formula>
    </cfRule>
    <cfRule type="cellIs" dxfId="3779" priority="1246" operator="between">
      <formula>37.1</formula>
      <formula>40</formula>
    </cfRule>
    <cfRule type="expression" dxfId="3778" priority="1247">
      <formula>Z33&lt;30</formula>
    </cfRule>
    <cfRule type="expression" dxfId="3777" priority="1248">
      <formula>Z33&gt;40</formula>
    </cfRule>
  </conditionalFormatting>
  <conditionalFormatting sqref="AD33">
    <cfRule type="cellIs" dxfId="3776" priority="1241" operator="between">
      <formula>30</formula>
      <formula>30.9</formula>
    </cfRule>
    <cfRule type="cellIs" dxfId="3775" priority="1242" operator="between">
      <formula>37.1</formula>
      <formula>40</formula>
    </cfRule>
    <cfRule type="expression" dxfId="3774" priority="1243">
      <formula>AD33&lt;30</formula>
    </cfRule>
    <cfRule type="expression" dxfId="3773" priority="1244">
      <formula>AD33&gt;40</formula>
    </cfRule>
  </conditionalFormatting>
  <conditionalFormatting sqref="AG33">
    <cfRule type="cellIs" dxfId="3772" priority="1237" operator="between">
      <formula>30</formula>
      <formula>30.9</formula>
    </cfRule>
    <cfRule type="cellIs" dxfId="3771" priority="1238" operator="between">
      <formula>37.1</formula>
      <formula>40</formula>
    </cfRule>
    <cfRule type="expression" dxfId="3770" priority="1239">
      <formula>AG33&lt;30</formula>
    </cfRule>
    <cfRule type="expression" dxfId="3769" priority="1240">
      <formula>AG33&gt;40</formula>
    </cfRule>
  </conditionalFormatting>
  <conditionalFormatting sqref="AK33">
    <cfRule type="cellIs" dxfId="3768" priority="1233" operator="between">
      <formula>30</formula>
      <formula>30.9</formula>
    </cfRule>
    <cfRule type="cellIs" dxfId="3767" priority="1234" operator="between">
      <formula>37.1</formula>
      <formula>40</formula>
    </cfRule>
    <cfRule type="expression" dxfId="3766" priority="1235">
      <formula>AK33&lt;30</formula>
    </cfRule>
    <cfRule type="expression" dxfId="3765" priority="1236">
      <formula>AK33&gt;40</formula>
    </cfRule>
  </conditionalFormatting>
  <conditionalFormatting sqref="AN33">
    <cfRule type="cellIs" dxfId="3764" priority="1229" operator="between">
      <formula>30</formula>
      <formula>30.9</formula>
    </cfRule>
    <cfRule type="cellIs" dxfId="3763" priority="1230" operator="between">
      <formula>37.1</formula>
      <formula>40</formula>
    </cfRule>
    <cfRule type="expression" dxfId="3762" priority="1231">
      <formula>AN33&lt;30</formula>
    </cfRule>
    <cfRule type="expression" dxfId="3761" priority="1232">
      <formula>AN33&gt;40</formula>
    </cfRule>
  </conditionalFormatting>
  <conditionalFormatting sqref="AR33">
    <cfRule type="cellIs" dxfId="3760" priority="1225" operator="between">
      <formula>30</formula>
      <formula>30.9</formula>
    </cfRule>
    <cfRule type="cellIs" dxfId="3759" priority="1226" operator="between">
      <formula>37.1</formula>
      <formula>40</formula>
    </cfRule>
    <cfRule type="expression" dxfId="3758" priority="1227">
      <formula>AR33&lt;30</formula>
    </cfRule>
    <cfRule type="expression" dxfId="3757" priority="1228">
      <formula>AR33&gt;40</formula>
    </cfRule>
  </conditionalFormatting>
  <conditionalFormatting sqref="AU33">
    <cfRule type="cellIs" dxfId="3756" priority="1221" operator="between">
      <formula>30</formula>
      <formula>30.9</formula>
    </cfRule>
    <cfRule type="cellIs" dxfId="3755" priority="1222" operator="between">
      <formula>37.1</formula>
      <formula>40</formula>
    </cfRule>
    <cfRule type="expression" dxfId="3754" priority="1223">
      <formula>AU33&lt;30</formula>
    </cfRule>
    <cfRule type="expression" dxfId="3753" priority="1224">
      <formula>AU33&gt;40</formula>
    </cfRule>
  </conditionalFormatting>
  <conditionalFormatting sqref="L35">
    <cfRule type="cellIs" dxfId="3752" priority="1217" operator="between">
      <formula>80</formula>
      <formula>84.9</formula>
    </cfRule>
    <cfRule type="cellIs" dxfId="3751" priority="1218" operator="between">
      <formula>95.1</formula>
      <formula>100</formula>
    </cfRule>
    <cfRule type="expression" dxfId="3750" priority="1219">
      <formula>L35&lt;80</formula>
    </cfRule>
    <cfRule type="expression" dxfId="3749" priority="1220">
      <formula>L35&gt;100</formula>
    </cfRule>
  </conditionalFormatting>
  <conditionalFormatting sqref="S35">
    <cfRule type="cellIs" dxfId="3748" priority="1213" operator="between">
      <formula>80</formula>
      <formula>84.9</formula>
    </cfRule>
    <cfRule type="cellIs" dxfId="3747" priority="1214" operator="between">
      <formula>95.1</formula>
      <formula>100</formula>
    </cfRule>
    <cfRule type="expression" dxfId="3746" priority="1215">
      <formula>S35&lt;80</formula>
    </cfRule>
    <cfRule type="expression" dxfId="3745" priority="1216">
      <formula>S35&gt;100</formula>
    </cfRule>
  </conditionalFormatting>
  <conditionalFormatting sqref="Z35">
    <cfRule type="cellIs" dxfId="3744" priority="1209" operator="between">
      <formula>80</formula>
      <formula>84.9</formula>
    </cfRule>
    <cfRule type="cellIs" dxfId="3743" priority="1210" operator="between">
      <formula>95.1</formula>
      <formula>100</formula>
    </cfRule>
    <cfRule type="expression" dxfId="3742" priority="1211">
      <formula>Z35&lt;80</formula>
    </cfRule>
    <cfRule type="expression" dxfId="3741" priority="1212">
      <formula>Z35&gt;100</formula>
    </cfRule>
  </conditionalFormatting>
  <conditionalFormatting sqref="AG35">
    <cfRule type="cellIs" dxfId="3740" priority="1205" operator="between">
      <formula>80</formula>
      <formula>84.9</formula>
    </cfRule>
    <cfRule type="cellIs" dxfId="3739" priority="1206" operator="between">
      <formula>95.1</formula>
      <formula>100</formula>
    </cfRule>
    <cfRule type="expression" dxfId="3738" priority="1207">
      <formula>AG35&lt;80</formula>
    </cfRule>
    <cfRule type="expression" dxfId="3737" priority="1208">
      <formula>AG35&gt;100</formula>
    </cfRule>
  </conditionalFormatting>
  <conditionalFormatting sqref="AN35">
    <cfRule type="cellIs" dxfId="3736" priority="1201" operator="between">
      <formula>80</formula>
      <formula>84.9</formula>
    </cfRule>
    <cfRule type="cellIs" dxfId="3735" priority="1202" operator="between">
      <formula>95.1</formula>
      <formula>100</formula>
    </cfRule>
    <cfRule type="expression" dxfId="3734" priority="1203">
      <formula>AN35&lt;80</formula>
    </cfRule>
    <cfRule type="expression" dxfId="3733" priority="1204">
      <formula>AN35&gt;100</formula>
    </cfRule>
  </conditionalFormatting>
  <conditionalFormatting sqref="AU35">
    <cfRule type="cellIs" dxfId="3732" priority="1197" operator="between">
      <formula>80</formula>
      <formula>84.9</formula>
    </cfRule>
    <cfRule type="cellIs" dxfId="3731" priority="1198" operator="between">
      <formula>95.1</formula>
      <formula>100</formula>
    </cfRule>
    <cfRule type="expression" dxfId="3730" priority="1199">
      <formula>AU35&lt;80</formula>
    </cfRule>
    <cfRule type="expression" dxfId="3729" priority="1200">
      <formula>AU35&gt;100</formula>
    </cfRule>
  </conditionalFormatting>
  <conditionalFormatting sqref="L70">
    <cfRule type="cellIs" dxfId="3728" priority="1193" operator="between">
      <formula>80</formula>
      <formula>84.9</formula>
    </cfRule>
    <cfRule type="cellIs" dxfId="3727" priority="1194" operator="between">
      <formula>95.1</formula>
      <formula>100</formula>
    </cfRule>
    <cfRule type="expression" dxfId="3726" priority="1195">
      <formula>L70&lt;80</formula>
    </cfRule>
    <cfRule type="expression" dxfId="3725" priority="1196">
      <formula>L70&gt;100</formula>
    </cfRule>
  </conditionalFormatting>
  <conditionalFormatting sqref="S70">
    <cfRule type="cellIs" dxfId="3724" priority="1189" operator="between">
      <formula>80</formula>
      <formula>84.9</formula>
    </cfRule>
    <cfRule type="cellIs" dxfId="3723" priority="1190" operator="between">
      <formula>95.1</formula>
      <formula>100</formula>
    </cfRule>
    <cfRule type="expression" dxfId="3722" priority="1191">
      <formula>S70&lt;80</formula>
    </cfRule>
    <cfRule type="expression" dxfId="3721" priority="1192">
      <formula>S70&gt;100</formula>
    </cfRule>
  </conditionalFormatting>
  <conditionalFormatting sqref="Z70">
    <cfRule type="cellIs" dxfId="3720" priority="1185" operator="between">
      <formula>80</formula>
      <formula>84.9</formula>
    </cfRule>
    <cfRule type="cellIs" dxfId="3719" priority="1186" operator="between">
      <formula>95.1</formula>
      <formula>100</formula>
    </cfRule>
    <cfRule type="expression" dxfId="3718" priority="1187">
      <formula>Z70&lt;80</formula>
    </cfRule>
    <cfRule type="expression" dxfId="3717" priority="1188">
      <formula>Z70&gt;100</formula>
    </cfRule>
  </conditionalFormatting>
  <conditionalFormatting sqref="AG70">
    <cfRule type="cellIs" dxfId="3716" priority="1181" operator="between">
      <formula>80</formula>
      <formula>84.9</formula>
    </cfRule>
    <cfRule type="cellIs" dxfId="3715" priority="1182" operator="between">
      <formula>95.1</formula>
      <formula>100</formula>
    </cfRule>
    <cfRule type="expression" dxfId="3714" priority="1183">
      <formula>AG70&lt;80</formula>
    </cfRule>
    <cfRule type="expression" dxfId="3713" priority="1184">
      <formula>AG70&gt;100</formula>
    </cfRule>
  </conditionalFormatting>
  <conditionalFormatting sqref="AN70">
    <cfRule type="cellIs" dxfId="3712" priority="1177" operator="between">
      <formula>80</formula>
      <formula>84.9</formula>
    </cfRule>
    <cfRule type="cellIs" dxfId="3711" priority="1178" operator="between">
      <formula>95.1</formula>
      <formula>100</formula>
    </cfRule>
    <cfRule type="expression" dxfId="3710" priority="1179">
      <formula>AN70&lt;80</formula>
    </cfRule>
    <cfRule type="expression" dxfId="3709" priority="1180">
      <formula>AN70&gt;100</formula>
    </cfRule>
  </conditionalFormatting>
  <conditionalFormatting sqref="AU70">
    <cfRule type="cellIs" dxfId="3708" priority="1173" operator="between">
      <formula>80</formula>
      <formula>84.9</formula>
    </cfRule>
    <cfRule type="cellIs" dxfId="3707" priority="1174" operator="between">
      <formula>95.1</formula>
      <formula>100</formula>
    </cfRule>
    <cfRule type="expression" dxfId="3706" priority="1175">
      <formula>AU70&lt;80</formula>
    </cfRule>
    <cfRule type="expression" dxfId="3705" priority="1176">
      <formula>AU70&gt;100</formula>
    </cfRule>
  </conditionalFormatting>
  <conditionalFormatting sqref="I47">
    <cfRule type="expression" dxfId="3704" priority="1171">
      <formula>I47&lt;50</formula>
    </cfRule>
    <cfRule type="expression" dxfId="3703" priority="1172">
      <formula>I47&gt;70</formula>
    </cfRule>
  </conditionalFormatting>
  <conditionalFormatting sqref="P47">
    <cfRule type="expression" dxfId="3702" priority="1167">
      <formula>P47&lt;50</formula>
    </cfRule>
    <cfRule type="expression" dxfId="3701" priority="1168">
      <formula>P47&gt;70</formula>
    </cfRule>
  </conditionalFormatting>
  <conditionalFormatting sqref="W47">
    <cfRule type="expression" dxfId="3700" priority="1165">
      <formula>W47&lt;50</formula>
    </cfRule>
    <cfRule type="expression" dxfId="3699" priority="1166">
      <formula>W47&gt;70</formula>
    </cfRule>
  </conditionalFormatting>
  <conditionalFormatting sqref="AD47">
    <cfRule type="expression" dxfId="3698" priority="1163">
      <formula>AD47&lt;50</formula>
    </cfRule>
    <cfRule type="expression" dxfId="3697" priority="1164">
      <formula>AD47&gt;70</formula>
    </cfRule>
  </conditionalFormatting>
  <conditionalFormatting sqref="AK47">
    <cfRule type="expression" dxfId="3696" priority="1161">
      <formula>AK47&lt;50</formula>
    </cfRule>
    <cfRule type="expression" dxfId="3695" priority="1162">
      <formula>AK47&gt;70</formula>
    </cfRule>
  </conditionalFormatting>
  <conditionalFormatting sqref="AR47">
    <cfRule type="expression" dxfId="3694" priority="1159">
      <formula>AR47&lt;50</formula>
    </cfRule>
    <cfRule type="expression" dxfId="3693" priority="1160">
      <formula>AR47&gt;70</formula>
    </cfRule>
  </conditionalFormatting>
  <conditionalFormatting sqref="I49">
    <cfRule type="expression" dxfId="3692" priority="1157">
      <formula>I49&lt;50</formula>
    </cfRule>
    <cfRule type="expression" dxfId="3691" priority="1158">
      <formula>I49&gt;70</formula>
    </cfRule>
  </conditionalFormatting>
  <conditionalFormatting sqref="P49">
    <cfRule type="expression" dxfId="3690" priority="1155">
      <formula>P49&lt;50</formula>
    </cfRule>
    <cfRule type="expression" dxfId="3689" priority="1156">
      <formula>P49&gt;70</formula>
    </cfRule>
  </conditionalFormatting>
  <conditionalFormatting sqref="W49">
    <cfRule type="expression" dxfId="3688" priority="1153">
      <formula>W49&lt;50</formula>
    </cfRule>
    <cfRule type="expression" dxfId="3687" priority="1154">
      <formula>W49&gt;70</formula>
    </cfRule>
  </conditionalFormatting>
  <conditionalFormatting sqref="AD49">
    <cfRule type="expression" dxfId="3686" priority="1151">
      <formula>AD49&lt;50</formula>
    </cfRule>
    <cfRule type="expression" dxfId="3685" priority="1152">
      <formula>AD49&gt;70</formula>
    </cfRule>
  </conditionalFormatting>
  <conditionalFormatting sqref="AK49">
    <cfRule type="expression" dxfId="3684" priority="1149">
      <formula>AK49&lt;50</formula>
    </cfRule>
    <cfRule type="expression" dxfId="3683" priority="1150">
      <formula>AK49&gt;70</formula>
    </cfRule>
  </conditionalFormatting>
  <conditionalFormatting sqref="AR49">
    <cfRule type="expression" dxfId="3682" priority="1147">
      <formula>AR49&lt;50</formula>
    </cfRule>
    <cfRule type="expression" dxfId="3681" priority="1148">
      <formula>AR49&gt;70</formula>
    </cfRule>
  </conditionalFormatting>
  <conditionalFormatting sqref="I51 P51 W51 AD51 AK51 AR51">
    <cfRule type="cellIs" dxfId="3680" priority="1143" operator="between">
      <formula>130</formula>
      <formula>132.99</formula>
    </cfRule>
    <cfRule type="cellIs" dxfId="3679" priority="1144" operator="between">
      <formula>147.1</formula>
      <formula>150</formula>
    </cfRule>
    <cfRule type="expression" dxfId="3678" priority="1145">
      <formula>I51&lt;130</formula>
    </cfRule>
    <cfRule type="expression" dxfId="3677" priority="1146">
      <formula>I51&gt;150</formula>
    </cfRule>
  </conditionalFormatting>
  <conditionalFormatting sqref="I58">
    <cfRule type="cellIs" dxfId="3676" priority="1139" operator="between">
      <formula>0.5%</formula>
      <formula>0.599%</formula>
    </cfRule>
    <cfRule type="cellIs" dxfId="3675" priority="1140" operator="between">
      <formula>1.41%</formula>
      <formula>1.5%</formula>
    </cfRule>
    <cfRule type="expression" dxfId="3674" priority="1141">
      <formula>I58&lt;0.5%</formula>
    </cfRule>
    <cfRule type="expression" dxfId="3673" priority="1142">
      <formula>I58&gt;1.5%</formula>
    </cfRule>
  </conditionalFormatting>
  <conditionalFormatting sqref="P58">
    <cfRule type="cellIs" dxfId="3672" priority="1135" operator="between">
      <formula>0.5%</formula>
      <formula>0.599%</formula>
    </cfRule>
    <cfRule type="cellIs" dxfId="3671" priority="1136" operator="between">
      <formula>1.41%</formula>
      <formula>1.5%</formula>
    </cfRule>
    <cfRule type="expression" dxfId="3670" priority="1137">
      <formula>P58&lt;0.5%</formula>
    </cfRule>
    <cfRule type="expression" dxfId="3669" priority="1138">
      <formula>P58&gt;1.5%</formula>
    </cfRule>
  </conditionalFormatting>
  <conditionalFormatting sqref="W58">
    <cfRule type="cellIs" dxfId="3668" priority="1131" operator="between">
      <formula>0.5%</formula>
      <formula>0.599%</formula>
    </cfRule>
    <cfRule type="cellIs" dxfId="3667" priority="1132" operator="between">
      <formula>1.41%</formula>
      <formula>1.5%</formula>
    </cfRule>
    <cfRule type="expression" dxfId="3666" priority="1133">
      <formula>W58&lt;0.5%</formula>
    </cfRule>
    <cfRule type="expression" dxfId="3665" priority="1134">
      <formula>W58&gt;1.5%</formula>
    </cfRule>
  </conditionalFormatting>
  <conditionalFormatting sqref="AD58">
    <cfRule type="cellIs" dxfId="3664" priority="1127" operator="between">
      <formula>0.5%</formula>
      <formula>0.599%</formula>
    </cfRule>
    <cfRule type="cellIs" dxfId="3663" priority="1128" operator="between">
      <formula>1.41%</formula>
      <formula>1.5%</formula>
    </cfRule>
    <cfRule type="expression" dxfId="3662" priority="1129">
      <formula>AD58&lt;0.5%</formula>
    </cfRule>
    <cfRule type="expression" dxfId="3661" priority="1130">
      <formula>AD58&gt;1.5%</formula>
    </cfRule>
  </conditionalFormatting>
  <conditionalFormatting sqref="AK58">
    <cfRule type="cellIs" dxfId="3660" priority="1123" operator="between">
      <formula>0.5%</formula>
      <formula>0.599%</formula>
    </cfRule>
    <cfRule type="cellIs" dxfId="3659" priority="1124" operator="between">
      <formula>1.41%</formula>
      <formula>1.5%</formula>
    </cfRule>
    <cfRule type="expression" dxfId="3658" priority="1125">
      <formula>AK58&lt;0.5%</formula>
    </cfRule>
    <cfRule type="expression" dxfId="3657" priority="1126">
      <formula>AK58&gt;1.5%</formula>
    </cfRule>
  </conditionalFormatting>
  <conditionalFormatting sqref="AR58">
    <cfRule type="cellIs" dxfId="3656" priority="1119" operator="between">
      <formula>0.5%</formula>
      <formula>0.599%</formula>
    </cfRule>
    <cfRule type="cellIs" dxfId="3655" priority="1120" operator="between">
      <formula>1.41%</formula>
      <formula>1.5%</formula>
    </cfRule>
    <cfRule type="expression" dxfId="3654" priority="1121">
      <formula>AR58&lt;0.5%</formula>
    </cfRule>
    <cfRule type="expression" dxfId="3653" priority="1122">
      <formula>AR58&gt;1.5%</formula>
    </cfRule>
  </conditionalFormatting>
  <conditionalFormatting sqref="I63:I64 L63:M64 P63:P64 S63:T64 W63:W64 Z63:AA64 AD63:AD64 AG63:AH64 AK63:AK64 AN63:AO64 AR63:AR64 AU63:AV64">
    <cfRule type="cellIs" dxfId="3652" priority="1115" operator="between">
      <formula>50</formula>
      <formula>54.9</formula>
    </cfRule>
    <cfRule type="cellIs" dxfId="3651" priority="1116" operator="between">
      <formula>65.1</formula>
      <formula>70</formula>
    </cfRule>
    <cfRule type="expression" dxfId="3650" priority="1117">
      <formula>I63&lt;50</formula>
    </cfRule>
    <cfRule type="expression" dxfId="3649" priority="1118">
      <formula>I63&gt;70</formula>
    </cfRule>
  </conditionalFormatting>
  <conditionalFormatting sqref="I94">
    <cfRule type="expression" dxfId="3648" priority="1076">
      <formula>I94&lt;0.6%</formula>
    </cfRule>
    <cfRule type="expression" dxfId="3647" priority="1077">
      <formula>I94&gt;1.4%</formula>
    </cfRule>
  </conditionalFormatting>
  <conditionalFormatting sqref="P94">
    <cfRule type="expression" dxfId="3646" priority="1072">
      <formula>P94&lt;0.6%</formula>
    </cfRule>
    <cfRule type="expression" dxfId="3645" priority="1073">
      <formula>P94&gt;1.4%</formula>
    </cfRule>
  </conditionalFormatting>
  <conditionalFormatting sqref="W94">
    <cfRule type="expression" dxfId="3644" priority="1070">
      <formula>W94&lt;0.6%</formula>
    </cfRule>
    <cfRule type="expression" dxfId="3643" priority="1071">
      <formula>W94&gt;1.4%</formula>
    </cfRule>
  </conditionalFormatting>
  <conditionalFormatting sqref="AD94">
    <cfRule type="expression" dxfId="3642" priority="1068">
      <formula>AD94&lt;0.6%</formula>
    </cfRule>
    <cfRule type="expression" dxfId="3641" priority="1069">
      <formula>AD94&gt;1.4%</formula>
    </cfRule>
  </conditionalFormatting>
  <conditionalFormatting sqref="AK94">
    <cfRule type="expression" dxfId="3640" priority="1066">
      <formula>AK94&lt;0.6%</formula>
    </cfRule>
    <cfRule type="expression" dxfId="3639" priority="1067">
      <formula>AK94&gt;1.4%</formula>
    </cfRule>
  </conditionalFormatting>
  <conditionalFormatting sqref="AR94">
    <cfRule type="expression" dxfId="3638" priority="1064">
      <formula>AR94&lt;0.6%</formula>
    </cfRule>
    <cfRule type="expression" dxfId="3637" priority="1065">
      <formula>AR94&gt;1.4%</formula>
    </cfRule>
  </conditionalFormatting>
  <conditionalFormatting sqref="I104:I106 L104:M106 P104:P106 S104:T106 W104:W106 Z104:AA106 AD104:AD106 AG104:AH106 AK104:AK106 AN104:AO106 AR104:AR106 AU104:AV106">
    <cfRule type="cellIs" dxfId="3636" priority="1060" operator="between">
      <formula>50</formula>
      <formula>54.9</formula>
    </cfRule>
    <cfRule type="cellIs" dxfId="3635" priority="1061" operator="between">
      <formula>65.1</formula>
      <formula>70</formula>
    </cfRule>
    <cfRule type="expression" dxfId="3634" priority="1062">
      <formula>I104&lt;50</formula>
    </cfRule>
    <cfRule type="expression" dxfId="3633" priority="1063">
      <formula>I104&gt;70</formula>
    </cfRule>
  </conditionalFormatting>
  <conditionalFormatting sqref="I109">
    <cfRule type="cellIs" dxfId="3632" priority="1056" operator="between">
      <formula>30</formula>
      <formula>30.9</formula>
    </cfRule>
    <cfRule type="cellIs" dxfId="3631" priority="1057" operator="between">
      <formula>37.1</formula>
      <formula>40</formula>
    </cfRule>
    <cfRule type="expression" dxfId="3630" priority="1058">
      <formula>I109&lt;30</formula>
    </cfRule>
    <cfRule type="expression" dxfId="3629" priority="1059">
      <formula>I109&gt;40</formula>
    </cfRule>
  </conditionalFormatting>
  <conditionalFormatting sqref="L109">
    <cfRule type="cellIs" dxfId="3628" priority="1052" operator="between">
      <formula>30</formula>
      <formula>30.9</formula>
    </cfRule>
    <cfRule type="cellIs" dxfId="3627" priority="1053" operator="between">
      <formula>37.1</formula>
      <formula>40</formula>
    </cfRule>
    <cfRule type="expression" dxfId="3626" priority="1054">
      <formula>L109&lt;30</formula>
    </cfRule>
    <cfRule type="expression" dxfId="3625" priority="1055">
      <formula>L109&gt;40</formula>
    </cfRule>
  </conditionalFormatting>
  <conditionalFormatting sqref="P109">
    <cfRule type="cellIs" dxfId="3624" priority="1048" operator="between">
      <formula>30</formula>
      <formula>30.9</formula>
    </cfRule>
    <cfRule type="cellIs" dxfId="3623" priority="1049" operator="between">
      <formula>37.1</formula>
      <formula>40</formula>
    </cfRule>
    <cfRule type="expression" dxfId="3622" priority="1050">
      <formula>P109&lt;30</formula>
    </cfRule>
    <cfRule type="expression" dxfId="3621" priority="1051">
      <formula>P109&gt;40</formula>
    </cfRule>
  </conditionalFormatting>
  <conditionalFormatting sqref="S109">
    <cfRule type="cellIs" dxfId="3620" priority="1044" operator="between">
      <formula>30</formula>
      <formula>30.9</formula>
    </cfRule>
    <cfRule type="cellIs" dxfId="3619" priority="1045" operator="between">
      <formula>37.1</formula>
      <formula>40</formula>
    </cfRule>
    <cfRule type="expression" dxfId="3618" priority="1046">
      <formula>S109&lt;30</formula>
    </cfRule>
    <cfRule type="expression" dxfId="3617" priority="1047">
      <formula>S109&gt;40</formula>
    </cfRule>
  </conditionalFormatting>
  <conditionalFormatting sqref="W109">
    <cfRule type="cellIs" dxfId="3616" priority="1040" operator="between">
      <formula>30</formula>
      <formula>30.9</formula>
    </cfRule>
    <cfRule type="cellIs" dxfId="3615" priority="1041" operator="between">
      <formula>37.1</formula>
      <formula>40</formula>
    </cfRule>
    <cfRule type="expression" dxfId="3614" priority="1042">
      <formula>W109&lt;30</formula>
    </cfRule>
    <cfRule type="expression" dxfId="3613" priority="1043">
      <formula>W109&gt;40</formula>
    </cfRule>
  </conditionalFormatting>
  <conditionalFormatting sqref="Z109">
    <cfRule type="cellIs" dxfId="3612" priority="1036" operator="between">
      <formula>30</formula>
      <formula>30.9</formula>
    </cfRule>
    <cfRule type="cellIs" dxfId="3611" priority="1037" operator="between">
      <formula>37.1</formula>
      <formula>40</formula>
    </cfRule>
    <cfRule type="expression" dxfId="3610" priority="1038">
      <formula>Z109&lt;30</formula>
    </cfRule>
    <cfRule type="expression" dxfId="3609" priority="1039">
      <formula>Z109&gt;40</formula>
    </cfRule>
  </conditionalFormatting>
  <conditionalFormatting sqref="AD109">
    <cfRule type="cellIs" dxfId="3608" priority="1032" operator="between">
      <formula>30</formula>
      <formula>30.9</formula>
    </cfRule>
    <cfRule type="cellIs" dxfId="3607" priority="1033" operator="between">
      <formula>37.1</formula>
      <formula>40</formula>
    </cfRule>
    <cfRule type="expression" dxfId="3606" priority="1034">
      <formula>AD109&lt;30</formula>
    </cfRule>
    <cfRule type="expression" dxfId="3605" priority="1035">
      <formula>AD109&gt;40</formula>
    </cfRule>
  </conditionalFormatting>
  <conditionalFormatting sqref="AG109">
    <cfRule type="cellIs" dxfId="3604" priority="1028" operator="between">
      <formula>30</formula>
      <formula>30.9</formula>
    </cfRule>
    <cfRule type="cellIs" dxfId="3603" priority="1029" operator="between">
      <formula>37.1</formula>
      <formula>40</formula>
    </cfRule>
    <cfRule type="expression" dxfId="3602" priority="1030">
      <formula>AG109&lt;30</formula>
    </cfRule>
    <cfRule type="expression" dxfId="3601" priority="1031">
      <formula>AG109&gt;40</formula>
    </cfRule>
  </conditionalFormatting>
  <conditionalFormatting sqref="AK109">
    <cfRule type="cellIs" dxfId="3600" priority="1024" operator="between">
      <formula>30</formula>
      <formula>30.9</formula>
    </cfRule>
    <cfRule type="cellIs" dxfId="3599" priority="1025" operator="between">
      <formula>37.1</formula>
      <formula>40</formula>
    </cfRule>
    <cfRule type="expression" dxfId="3598" priority="1026">
      <formula>AK109&lt;30</formula>
    </cfRule>
    <cfRule type="expression" dxfId="3597" priority="1027">
      <formula>AK109&gt;40</formula>
    </cfRule>
  </conditionalFormatting>
  <conditionalFormatting sqref="AN109">
    <cfRule type="cellIs" dxfId="3596" priority="1020" operator="between">
      <formula>30</formula>
      <formula>30.9</formula>
    </cfRule>
    <cfRule type="cellIs" dxfId="3595" priority="1021" operator="between">
      <formula>37.1</formula>
      <formula>40</formula>
    </cfRule>
    <cfRule type="expression" dxfId="3594" priority="1022">
      <formula>AN109&lt;30</formula>
    </cfRule>
    <cfRule type="expression" dxfId="3593" priority="1023">
      <formula>AN109&gt;40</formula>
    </cfRule>
  </conditionalFormatting>
  <conditionalFormatting sqref="AR109">
    <cfRule type="cellIs" dxfId="3592" priority="1016" operator="between">
      <formula>30</formula>
      <formula>30.9</formula>
    </cfRule>
    <cfRule type="cellIs" dxfId="3591" priority="1017" operator="between">
      <formula>37.1</formula>
      <formula>40</formula>
    </cfRule>
    <cfRule type="expression" dxfId="3590" priority="1018">
      <formula>AR109&lt;30</formula>
    </cfRule>
    <cfRule type="expression" dxfId="3589" priority="1019">
      <formula>AR109&gt;40</formula>
    </cfRule>
  </conditionalFormatting>
  <conditionalFormatting sqref="AU109">
    <cfRule type="cellIs" dxfId="3588" priority="1012" operator="between">
      <formula>30</formula>
      <formula>30.9</formula>
    </cfRule>
    <cfRule type="cellIs" dxfId="3587" priority="1013" operator="between">
      <formula>37.1</formula>
      <formula>40</formula>
    </cfRule>
    <cfRule type="expression" dxfId="3586" priority="1014">
      <formula>AU109&lt;30</formula>
    </cfRule>
    <cfRule type="expression" dxfId="3585" priority="1015">
      <formula>AU109&gt;40</formula>
    </cfRule>
  </conditionalFormatting>
  <conditionalFormatting sqref="I110">
    <cfRule type="expression" dxfId="3584" priority="5379">
      <formula>I110&lt;55</formula>
    </cfRule>
    <cfRule type="expression" dxfId="3583" priority="5380">
      <formula>I110&gt;65</formula>
    </cfRule>
  </conditionalFormatting>
  <conditionalFormatting sqref="L110 O110">
    <cfRule type="expression" dxfId="3582" priority="1010">
      <formula>L110&lt;55</formula>
    </cfRule>
    <cfRule type="expression" dxfId="3581" priority="1011">
      <formula>L110&gt;65</formula>
    </cfRule>
  </conditionalFormatting>
  <conditionalFormatting sqref="P110 V110">
    <cfRule type="expression" dxfId="3580" priority="1008">
      <formula>P110&lt;55</formula>
    </cfRule>
    <cfRule type="expression" dxfId="3579" priority="1009">
      <formula>P110&gt;65</formula>
    </cfRule>
  </conditionalFormatting>
  <conditionalFormatting sqref="S110">
    <cfRule type="expression" dxfId="3578" priority="1006">
      <formula>S110&lt;55</formula>
    </cfRule>
    <cfRule type="expression" dxfId="3577" priority="1007">
      <formula>S110&gt;65</formula>
    </cfRule>
  </conditionalFormatting>
  <conditionalFormatting sqref="W110 AC110">
    <cfRule type="expression" dxfId="3576" priority="1004">
      <formula>W110&lt;55</formula>
    </cfRule>
    <cfRule type="expression" dxfId="3575" priority="1005">
      <formula>W110&gt;65</formula>
    </cfRule>
  </conditionalFormatting>
  <conditionalFormatting sqref="Z110">
    <cfRule type="expression" dxfId="3574" priority="1002">
      <formula>Z110&lt;55</formula>
    </cfRule>
    <cfRule type="expression" dxfId="3573" priority="1003">
      <formula>Z110&gt;65</formula>
    </cfRule>
  </conditionalFormatting>
  <conditionalFormatting sqref="AD110 AJ110">
    <cfRule type="expression" dxfId="3572" priority="1000">
      <formula>AD110&lt;55</formula>
    </cfRule>
    <cfRule type="expression" dxfId="3571" priority="1001">
      <formula>AD110&gt;65</formula>
    </cfRule>
  </conditionalFormatting>
  <conditionalFormatting sqref="AG110">
    <cfRule type="expression" dxfId="3570" priority="998">
      <formula>AG110&lt;55</formula>
    </cfRule>
    <cfRule type="expression" dxfId="3569" priority="999">
      <formula>AG110&gt;65</formula>
    </cfRule>
  </conditionalFormatting>
  <conditionalFormatting sqref="AK110 AQ110">
    <cfRule type="expression" dxfId="3568" priority="996">
      <formula>AK110&lt;55</formula>
    </cfRule>
    <cfRule type="expression" dxfId="3567" priority="997">
      <formula>AK110&gt;65</formula>
    </cfRule>
  </conditionalFormatting>
  <conditionalFormatting sqref="AN110">
    <cfRule type="expression" dxfId="3566" priority="994">
      <formula>AN110&lt;55</formula>
    </cfRule>
    <cfRule type="expression" dxfId="3565" priority="995">
      <formula>AN110&gt;65</formula>
    </cfRule>
  </conditionalFormatting>
  <conditionalFormatting sqref="AR110">
    <cfRule type="expression" dxfId="3564" priority="992">
      <formula>AR110&lt;55</formula>
    </cfRule>
    <cfRule type="expression" dxfId="3563" priority="993">
      <formula>AR110&gt;65</formula>
    </cfRule>
  </conditionalFormatting>
  <conditionalFormatting sqref="AU110">
    <cfRule type="expression" dxfId="3562" priority="990">
      <formula>AU110&lt;55</formula>
    </cfRule>
    <cfRule type="expression" dxfId="3561" priority="991">
      <formula>AU110&gt;65</formula>
    </cfRule>
  </conditionalFormatting>
  <conditionalFormatting sqref="L111">
    <cfRule type="cellIs" dxfId="3560" priority="986" operator="between">
      <formula>80</formula>
      <formula>84.9</formula>
    </cfRule>
    <cfRule type="cellIs" dxfId="3559" priority="987" operator="between">
      <formula>95.1</formula>
      <formula>100</formula>
    </cfRule>
    <cfRule type="expression" dxfId="3558" priority="988">
      <formula>L111&lt;80</formula>
    </cfRule>
    <cfRule type="expression" dxfId="3557" priority="989">
      <formula>L111&gt;100</formula>
    </cfRule>
  </conditionalFormatting>
  <conditionalFormatting sqref="S111">
    <cfRule type="cellIs" dxfId="3556" priority="982" operator="between">
      <formula>80</formula>
      <formula>84.9</formula>
    </cfRule>
    <cfRule type="cellIs" dxfId="3555" priority="983" operator="between">
      <formula>95.1</formula>
      <formula>100</formula>
    </cfRule>
    <cfRule type="expression" dxfId="3554" priority="984">
      <formula>S111&lt;80</formula>
    </cfRule>
    <cfRule type="expression" dxfId="3553" priority="985">
      <formula>S111&gt;100</formula>
    </cfRule>
  </conditionalFormatting>
  <conditionalFormatting sqref="Z111">
    <cfRule type="cellIs" dxfId="3552" priority="978" operator="between">
      <formula>80</formula>
      <formula>84.9</formula>
    </cfRule>
    <cfRule type="cellIs" dxfId="3551" priority="979" operator="between">
      <formula>95.1</formula>
      <formula>100</formula>
    </cfRule>
    <cfRule type="expression" dxfId="3550" priority="980">
      <formula>Z111&lt;80</formula>
    </cfRule>
    <cfRule type="expression" dxfId="3549" priority="981">
      <formula>Z111&gt;100</formula>
    </cfRule>
  </conditionalFormatting>
  <conditionalFormatting sqref="AG111">
    <cfRule type="cellIs" dxfId="3548" priority="974" operator="between">
      <formula>80</formula>
      <formula>84.9</formula>
    </cfRule>
    <cfRule type="cellIs" dxfId="3547" priority="975" operator="between">
      <formula>95.1</formula>
      <formula>100</formula>
    </cfRule>
    <cfRule type="expression" dxfId="3546" priority="976">
      <formula>AG111&lt;80</formula>
    </cfRule>
    <cfRule type="expression" dxfId="3545" priority="977">
      <formula>AG111&gt;100</formula>
    </cfRule>
  </conditionalFormatting>
  <conditionalFormatting sqref="AN111">
    <cfRule type="cellIs" dxfId="3544" priority="970" operator="between">
      <formula>80</formula>
      <formula>84.9</formula>
    </cfRule>
    <cfRule type="cellIs" dxfId="3543" priority="971" operator="between">
      <formula>95.1</formula>
      <formula>100</formula>
    </cfRule>
    <cfRule type="expression" dxfId="3542" priority="972">
      <formula>AN111&lt;80</formula>
    </cfRule>
    <cfRule type="expression" dxfId="3541" priority="973">
      <formula>AN111&gt;100</formula>
    </cfRule>
  </conditionalFormatting>
  <conditionalFormatting sqref="AU111">
    <cfRule type="cellIs" dxfId="3540" priority="966" operator="between">
      <formula>80</formula>
      <formula>84.9</formula>
    </cfRule>
    <cfRule type="cellIs" dxfId="3539" priority="967" operator="between">
      <formula>95.1</formula>
      <formula>100</formula>
    </cfRule>
    <cfRule type="expression" dxfId="3538" priority="968">
      <formula>AU111&lt;80</formula>
    </cfRule>
    <cfRule type="expression" dxfId="3537" priority="969">
      <formula>AU111&gt;100</formula>
    </cfRule>
  </conditionalFormatting>
  <conditionalFormatting sqref="I112">
    <cfRule type="expression" dxfId="3536" priority="2032">
      <formula>I112&lt;40</formula>
    </cfRule>
    <cfRule type="expression" dxfId="3535" priority="2033">
      <formula>I112&gt;60</formula>
    </cfRule>
  </conditionalFormatting>
  <conditionalFormatting sqref="L112">
    <cfRule type="expression" dxfId="3534" priority="964">
      <formula>L112&lt;40</formula>
    </cfRule>
    <cfRule type="expression" dxfId="3533" priority="965">
      <formula>L112&gt;60</formula>
    </cfRule>
  </conditionalFormatting>
  <conditionalFormatting sqref="P112">
    <cfRule type="expression" dxfId="3532" priority="962">
      <formula>P112&lt;40</formula>
    </cfRule>
    <cfRule type="expression" dxfId="3531" priority="963">
      <formula>P112&gt;60</formula>
    </cfRule>
  </conditionalFormatting>
  <conditionalFormatting sqref="S112">
    <cfRule type="expression" dxfId="3530" priority="960">
      <formula>S112&lt;40</formula>
    </cfRule>
    <cfRule type="expression" dxfId="3529" priority="961">
      <formula>S112&gt;60</formula>
    </cfRule>
  </conditionalFormatting>
  <conditionalFormatting sqref="W112">
    <cfRule type="expression" dxfId="3528" priority="958">
      <formula>W112&lt;40</formula>
    </cfRule>
    <cfRule type="expression" dxfId="3527" priority="959">
      <formula>W112&gt;60</formula>
    </cfRule>
  </conditionalFormatting>
  <conditionalFormatting sqref="Z112">
    <cfRule type="expression" dxfId="3526" priority="956">
      <formula>Z112&lt;40</formula>
    </cfRule>
    <cfRule type="expression" dxfId="3525" priority="957">
      <formula>Z112&gt;60</formula>
    </cfRule>
  </conditionalFormatting>
  <conditionalFormatting sqref="AD112">
    <cfRule type="expression" dxfId="3524" priority="954">
      <formula>AD112&lt;40</formula>
    </cfRule>
    <cfRule type="expression" dxfId="3523" priority="955">
      <formula>AD112&gt;60</formula>
    </cfRule>
  </conditionalFormatting>
  <conditionalFormatting sqref="AG112">
    <cfRule type="expression" dxfId="3522" priority="952">
      <formula>AG112&lt;40</formula>
    </cfRule>
    <cfRule type="expression" dxfId="3521" priority="953">
      <formula>AG112&gt;60</formula>
    </cfRule>
  </conditionalFormatting>
  <conditionalFormatting sqref="AK112">
    <cfRule type="expression" dxfId="3520" priority="950">
      <formula>AK112&lt;40</formula>
    </cfRule>
    <cfRule type="expression" dxfId="3519" priority="951">
      <formula>AK112&gt;60</formula>
    </cfRule>
  </conditionalFormatting>
  <conditionalFormatting sqref="AN112">
    <cfRule type="expression" dxfId="3518" priority="948">
      <formula>AN112&lt;40</formula>
    </cfRule>
    <cfRule type="expression" dxfId="3517" priority="949">
      <formula>AN112&gt;60</formula>
    </cfRule>
  </conditionalFormatting>
  <conditionalFormatting sqref="AR112">
    <cfRule type="expression" dxfId="3516" priority="946">
      <formula>AR112&lt;40</formula>
    </cfRule>
    <cfRule type="expression" dxfId="3515" priority="947">
      <formula>AR112&gt;60</formula>
    </cfRule>
  </conditionalFormatting>
  <conditionalFormatting sqref="AU112">
    <cfRule type="expression" dxfId="3514" priority="944">
      <formula>AU112&lt;40</formula>
    </cfRule>
    <cfRule type="expression" dxfId="3513" priority="945">
      <formula>AU112&gt;60</formula>
    </cfRule>
  </conditionalFormatting>
  <conditionalFormatting sqref="I113">
    <cfRule type="expression" dxfId="3512" priority="942">
      <formula>I113&lt;50</formula>
    </cfRule>
    <cfRule type="expression" dxfId="3511" priority="943">
      <formula>I113&gt;70</formula>
    </cfRule>
  </conditionalFormatting>
  <conditionalFormatting sqref="L113">
    <cfRule type="expression" dxfId="3510" priority="940">
      <formula>L113&lt;50</formula>
    </cfRule>
    <cfRule type="expression" dxfId="3509" priority="941">
      <formula>L113&gt;70</formula>
    </cfRule>
  </conditionalFormatting>
  <conditionalFormatting sqref="P113">
    <cfRule type="expression" dxfId="3508" priority="938">
      <formula>P113&lt;50</formula>
    </cfRule>
    <cfRule type="expression" dxfId="3507" priority="939">
      <formula>P113&gt;70</formula>
    </cfRule>
  </conditionalFormatting>
  <conditionalFormatting sqref="S113">
    <cfRule type="expression" dxfId="3506" priority="936">
      <formula>S113&lt;50</formula>
    </cfRule>
    <cfRule type="expression" dxfId="3505" priority="937">
      <formula>S113&gt;70</formula>
    </cfRule>
  </conditionalFormatting>
  <conditionalFormatting sqref="W113">
    <cfRule type="expression" dxfId="3504" priority="934">
      <formula>W113&lt;50</formula>
    </cfRule>
    <cfRule type="expression" dxfId="3503" priority="935">
      <formula>W113&gt;70</formula>
    </cfRule>
  </conditionalFormatting>
  <conditionalFormatting sqref="Z113">
    <cfRule type="expression" dxfId="3502" priority="932">
      <formula>Z113&lt;50</formula>
    </cfRule>
    <cfRule type="expression" dxfId="3501" priority="933">
      <formula>Z113&gt;70</formula>
    </cfRule>
  </conditionalFormatting>
  <conditionalFormatting sqref="AD113">
    <cfRule type="expression" dxfId="3500" priority="930">
      <formula>AD113&lt;50</formula>
    </cfRule>
    <cfRule type="expression" dxfId="3499" priority="931">
      <formula>AD113&gt;70</formula>
    </cfRule>
  </conditionalFormatting>
  <conditionalFormatting sqref="AG113">
    <cfRule type="expression" dxfId="3498" priority="928">
      <formula>AG113&lt;50</formula>
    </cfRule>
    <cfRule type="expression" dxfId="3497" priority="929">
      <formula>AG113&gt;70</formula>
    </cfRule>
  </conditionalFormatting>
  <conditionalFormatting sqref="AK113">
    <cfRule type="expression" dxfId="3496" priority="926">
      <formula>AK113&lt;50</formula>
    </cfRule>
    <cfRule type="expression" dxfId="3495" priority="927">
      <formula>AK113&gt;70</formula>
    </cfRule>
  </conditionalFormatting>
  <conditionalFormatting sqref="AN113">
    <cfRule type="expression" dxfId="3494" priority="924">
      <formula>AN113&lt;50</formula>
    </cfRule>
    <cfRule type="expression" dxfId="3493" priority="925">
      <formula>AN113&gt;70</formula>
    </cfRule>
  </conditionalFormatting>
  <conditionalFormatting sqref="AR113">
    <cfRule type="expression" dxfId="3492" priority="922">
      <formula>AR113&lt;50</formula>
    </cfRule>
    <cfRule type="expression" dxfId="3491" priority="923">
      <formula>AR113&gt;70</formula>
    </cfRule>
  </conditionalFormatting>
  <conditionalFormatting sqref="AU113">
    <cfRule type="expression" dxfId="3490" priority="920">
      <formula>AU113&lt;50</formula>
    </cfRule>
    <cfRule type="expression" dxfId="3489" priority="921">
      <formula>AU113&gt;70</formula>
    </cfRule>
  </conditionalFormatting>
  <conditionalFormatting sqref="I34">
    <cfRule type="expression" dxfId="3488" priority="918">
      <formula>I34&lt;50</formula>
    </cfRule>
    <cfRule type="expression" dxfId="3487" priority="919">
      <formula>I34&gt;70</formula>
    </cfRule>
  </conditionalFormatting>
  <conditionalFormatting sqref="L34">
    <cfRule type="expression" dxfId="3486" priority="914">
      <formula>L34&lt;50</formula>
    </cfRule>
    <cfRule type="expression" dxfId="3485" priority="915">
      <formula>L34&gt;70</formula>
    </cfRule>
  </conditionalFormatting>
  <conditionalFormatting sqref="P34">
    <cfRule type="expression" dxfId="3484" priority="912">
      <formula>P34&lt;50</formula>
    </cfRule>
    <cfRule type="expression" dxfId="3483" priority="913">
      <formula>P34&gt;70</formula>
    </cfRule>
  </conditionalFormatting>
  <conditionalFormatting sqref="S34">
    <cfRule type="expression" dxfId="3482" priority="910">
      <formula>S34&lt;50</formula>
    </cfRule>
    <cfRule type="expression" dxfId="3481" priority="911">
      <formula>S34&gt;70</formula>
    </cfRule>
  </conditionalFormatting>
  <conditionalFormatting sqref="W34">
    <cfRule type="expression" dxfId="3480" priority="908">
      <formula>W34&lt;50</formula>
    </cfRule>
    <cfRule type="expression" dxfId="3479" priority="909">
      <formula>W34&gt;70</formula>
    </cfRule>
  </conditionalFormatting>
  <conditionalFormatting sqref="Z34">
    <cfRule type="expression" dxfId="3478" priority="906">
      <formula>Z34&lt;50</formula>
    </cfRule>
    <cfRule type="expression" dxfId="3477" priority="907">
      <formula>Z34&gt;70</formula>
    </cfRule>
  </conditionalFormatting>
  <conditionalFormatting sqref="AD34">
    <cfRule type="expression" dxfId="3476" priority="904">
      <formula>AD34&lt;50</formula>
    </cfRule>
    <cfRule type="expression" dxfId="3475" priority="905">
      <formula>AD34&gt;70</formula>
    </cfRule>
  </conditionalFormatting>
  <conditionalFormatting sqref="AG34">
    <cfRule type="expression" dxfId="3474" priority="902">
      <formula>AG34&lt;50</formula>
    </cfRule>
    <cfRule type="expression" dxfId="3473" priority="903">
      <formula>AG34&gt;70</formula>
    </cfRule>
  </conditionalFormatting>
  <conditionalFormatting sqref="AK34">
    <cfRule type="expression" dxfId="3472" priority="900">
      <formula>AK34&lt;50</formula>
    </cfRule>
    <cfRule type="expression" dxfId="3471" priority="901">
      <formula>AK34&gt;70</formula>
    </cfRule>
  </conditionalFormatting>
  <conditionalFormatting sqref="AN34">
    <cfRule type="expression" dxfId="3470" priority="898">
      <formula>AN34&lt;50</formula>
    </cfRule>
    <cfRule type="expression" dxfId="3469" priority="899">
      <formula>AN34&gt;70</formula>
    </cfRule>
  </conditionalFormatting>
  <conditionalFormatting sqref="AR34">
    <cfRule type="expression" dxfId="3468" priority="896">
      <formula>AR34&lt;50</formula>
    </cfRule>
    <cfRule type="expression" dxfId="3467" priority="897">
      <formula>AR34&gt;70</formula>
    </cfRule>
  </conditionalFormatting>
  <conditionalFormatting sqref="AU34">
    <cfRule type="expression" dxfId="3466" priority="894">
      <formula>AU34&lt;50</formula>
    </cfRule>
    <cfRule type="expression" dxfId="3465" priority="895">
      <formula>AU34&gt;70</formula>
    </cfRule>
  </conditionalFormatting>
  <conditionalFormatting sqref="I69">
    <cfRule type="expression" dxfId="3464" priority="892">
      <formula>I69&lt;50</formula>
    </cfRule>
    <cfRule type="expression" dxfId="3463" priority="893">
      <formula>I69&gt;70</formula>
    </cfRule>
  </conditionalFormatting>
  <conditionalFormatting sqref="L69">
    <cfRule type="expression" dxfId="3462" priority="890">
      <formula>L69&lt;50</formula>
    </cfRule>
    <cfRule type="expression" dxfId="3461" priority="891">
      <formula>L69&gt;70</formula>
    </cfRule>
  </conditionalFormatting>
  <conditionalFormatting sqref="P69">
    <cfRule type="expression" dxfId="3460" priority="888">
      <formula>P69&lt;50</formula>
    </cfRule>
    <cfRule type="expression" dxfId="3459" priority="889">
      <formula>P69&gt;70</formula>
    </cfRule>
  </conditionalFormatting>
  <conditionalFormatting sqref="S69">
    <cfRule type="expression" dxfId="3458" priority="886">
      <formula>S69&lt;50</formula>
    </cfRule>
    <cfRule type="expression" dxfId="3457" priority="887">
      <formula>S69&gt;70</formula>
    </cfRule>
  </conditionalFormatting>
  <conditionalFormatting sqref="W69">
    <cfRule type="expression" dxfId="3456" priority="884">
      <formula>W69&lt;50</formula>
    </cfRule>
    <cfRule type="expression" dxfId="3455" priority="885">
      <formula>W69&gt;70</formula>
    </cfRule>
  </conditionalFormatting>
  <conditionalFormatting sqref="Z69">
    <cfRule type="expression" dxfId="3454" priority="882">
      <formula>Z69&lt;50</formula>
    </cfRule>
    <cfRule type="expression" dxfId="3453" priority="883">
      <formula>Z69&gt;70</formula>
    </cfRule>
  </conditionalFormatting>
  <conditionalFormatting sqref="AD69">
    <cfRule type="expression" dxfId="3452" priority="880">
      <formula>AD69&lt;50</formula>
    </cfRule>
    <cfRule type="expression" dxfId="3451" priority="881">
      <formula>AD69&gt;70</formula>
    </cfRule>
  </conditionalFormatting>
  <conditionalFormatting sqref="AG69">
    <cfRule type="expression" dxfId="3450" priority="878">
      <formula>AG69&lt;50</formula>
    </cfRule>
    <cfRule type="expression" dxfId="3449" priority="879">
      <formula>AG69&gt;70</formula>
    </cfRule>
  </conditionalFormatting>
  <conditionalFormatting sqref="AK69">
    <cfRule type="expression" dxfId="3448" priority="876">
      <formula>AK69&lt;50</formula>
    </cfRule>
    <cfRule type="expression" dxfId="3447" priority="877">
      <formula>AK69&gt;70</formula>
    </cfRule>
  </conditionalFormatting>
  <conditionalFormatting sqref="AN69">
    <cfRule type="expression" dxfId="3446" priority="874">
      <formula>AN69&lt;50</formula>
    </cfRule>
    <cfRule type="expression" dxfId="3445" priority="875">
      <formula>AN69&gt;70</formula>
    </cfRule>
  </conditionalFormatting>
  <conditionalFormatting sqref="AR69">
    <cfRule type="expression" dxfId="3444" priority="872">
      <formula>AR69&lt;50</formula>
    </cfRule>
    <cfRule type="expression" dxfId="3443" priority="873">
      <formula>AR69&gt;70</formula>
    </cfRule>
  </conditionalFormatting>
  <conditionalFormatting sqref="AU69">
    <cfRule type="expression" dxfId="3442" priority="870">
      <formula>AU69&lt;50</formula>
    </cfRule>
    <cfRule type="expression" dxfId="3441" priority="871">
      <formula>AU69&gt;70</formula>
    </cfRule>
  </conditionalFormatting>
  <conditionalFormatting sqref="I107 L107:M107 P107 S107:T107 W107 Z107:AA107 AD107 AG107:AH107 AK107 AN107:AO107 AR107 AU107:AV107">
    <cfRule type="cellIs" dxfId="3440" priority="866" operator="between">
      <formula>50</formula>
      <formula>54.9</formula>
    </cfRule>
    <cfRule type="cellIs" dxfId="3439" priority="867" operator="between">
      <formula>65.1</formula>
      <formula>70</formula>
    </cfRule>
    <cfRule type="expression" dxfId="3438" priority="868">
      <formula>I107&lt;50</formula>
    </cfRule>
    <cfRule type="expression" dxfId="3437" priority="869">
      <formula>I107&gt;70</formula>
    </cfRule>
  </conditionalFormatting>
  <conditionalFormatting sqref="I24">
    <cfRule type="cellIs" dxfId="3436" priority="862" operator="between">
      <formula>5</formula>
      <formula>6.49</formula>
    </cfRule>
    <cfRule type="cellIs" dxfId="3435" priority="863" operator="between">
      <formula>8.51</formula>
      <formula>10</formula>
    </cfRule>
    <cfRule type="expression" dxfId="3434" priority="864">
      <formula>I24&lt;5</formula>
    </cfRule>
    <cfRule type="expression" dxfId="3433" priority="865">
      <formula>I24&gt;10</formula>
    </cfRule>
  </conditionalFormatting>
  <conditionalFormatting sqref="P24">
    <cfRule type="cellIs" dxfId="3432" priority="851" operator="between">
      <formula>5</formula>
      <formula>6.49</formula>
    </cfRule>
    <cfRule type="cellIs" dxfId="3431" priority="852" operator="between">
      <formula>8.51</formula>
      <formula>10</formula>
    </cfRule>
    <cfRule type="expression" dxfId="3430" priority="853">
      <formula>P24&lt;5</formula>
    </cfRule>
    <cfRule type="expression" dxfId="3429" priority="854">
      <formula>P24&gt;10</formula>
    </cfRule>
  </conditionalFormatting>
  <conditionalFormatting sqref="W24">
    <cfRule type="cellIs" dxfId="3428" priority="843" operator="between">
      <formula>5</formula>
      <formula>6.49</formula>
    </cfRule>
    <cfRule type="cellIs" dxfId="3427" priority="844" operator="between">
      <formula>8.51</formula>
      <formula>10</formula>
    </cfRule>
    <cfRule type="expression" dxfId="3426" priority="845">
      <formula>W24&lt;5</formula>
    </cfRule>
    <cfRule type="expression" dxfId="3425" priority="846">
      <formula>W24&gt;10</formula>
    </cfRule>
  </conditionalFormatting>
  <conditionalFormatting sqref="AD24">
    <cfRule type="cellIs" dxfId="3424" priority="835" operator="between">
      <formula>5</formula>
      <formula>6.49</formula>
    </cfRule>
    <cfRule type="cellIs" dxfId="3423" priority="836" operator="between">
      <formula>8.51</formula>
      <formula>10</formula>
    </cfRule>
    <cfRule type="expression" dxfId="3422" priority="837">
      <formula>AD24&lt;5</formula>
    </cfRule>
    <cfRule type="expression" dxfId="3421" priority="838">
      <formula>AD24&gt;10</formula>
    </cfRule>
  </conditionalFormatting>
  <conditionalFormatting sqref="AK24">
    <cfRule type="cellIs" dxfId="3420" priority="827" operator="between">
      <formula>5</formula>
      <formula>6.49</formula>
    </cfRule>
    <cfRule type="cellIs" dxfId="3419" priority="828" operator="between">
      <formula>8.51</formula>
      <formula>10</formula>
    </cfRule>
    <cfRule type="expression" dxfId="3418" priority="829">
      <formula>AK24&lt;5</formula>
    </cfRule>
    <cfRule type="expression" dxfId="3417" priority="830">
      <formula>AK24&gt;10</formula>
    </cfRule>
  </conditionalFormatting>
  <conditionalFormatting sqref="AR24">
    <cfRule type="cellIs" dxfId="3416" priority="819" operator="between">
      <formula>5</formula>
      <formula>6.49</formula>
    </cfRule>
    <cfRule type="cellIs" dxfId="3415" priority="820" operator="between">
      <formula>8.51</formula>
      <formula>10</formula>
    </cfRule>
    <cfRule type="expression" dxfId="3414" priority="821">
      <formula>AR24&lt;5</formula>
    </cfRule>
    <cfRule type="expression" dxfId="3413" priority="822">
      <formula>AR24&gt;10</formula>
    </cfRule>
  </conditionalFormatting>
  <conditionalFormatting sqref="I87">
    <cfRule type="cellIs" dxfId="3412" priority="617" operator="between">
      <formula>7</formula>
      <formula>7.499</formula>
    </cfRule>
    <cfRule type="cellIs" dxfId="3411" priority="618" operator="between">
      <formula>9.51</formula>
      <formula>10</formula>
    </cfRule>
    <cfRule type="expression" dxfId="3410" priority="619">
      <formula>I87&lt;7</formula>
    </cfRule>
    <cfRule type="expression" dxfId="3409" priority="620">
      <formula>I87&gt;10</formula>
    </cfRule>
  </conditionalFormatting>
  <conditionalFormatting sqref="P87">
    <cfRule type="cellIs" dxfId="3408" priority="613" operator="between">
      <formula>7</formula>
      <formula>7.499</formula>
    </cfRule>
    <cfRule type="cellIs" dxfId="3407" priority="614" operator="between">
      <formula>9.51</formula>
      <formula>10</formula>
    </cfRule>
    <cfRule type="expression" dxfId="3406" priority="615">
      <formula>P87&lt;7</formula>
    </cfRule>
    <cfRule type="expression" dxfId="3405" priority="616">
      <formula>P87&gt;10</formula>
    </cfRule>
  </conditionalFormatting>
  <conditionalFormatting sqref="W87">
    <cfRule type="cellIs" dxfId="3404" priority="609" operator="between">
      <formula>7</formula>
      <formula>7.499</formula>
    </cfRule>
    <cfRule type="cellIs" dxfId="3403" priority="610" operator="between">
      <formula>9.51</formula>
      <formula>10</formula>
    </cfRule>
    <cfRule type="expression" dxfId="3402" priority="611">
      <formula>W87&lt;7</formula>
    </cfRule>
    <cfRule type="expression" dxfId="3401" priority="612">
      <formula>W87&gt;10</formula>
    </cfRule>
  </conditionalFormatting>
  <conditionalFormatting sqref="AD87">
    <cfRule type="cellIs" dxfId="3400" priority="605" operator="between">
      <formula>7</formula>
      <formula>7.499</formula>
    </cfRule>
    <cfRule type="cellIs" dxfId="3399" priority="606" operator="between">
      <formula>9.51</formula>
      <formula>10</formula>
    </cfRule>
    <cfRule type="expression" dxfId="3398" priority="607">
      <formula>AD87&lt;7</formula>
    </cfRule>
    <cfRule type="expression" dxfId="3397" priority="608">
      <formula>AD87&gt;10</formula>
    </cfRule>
  </conditionalFormatting>
  <conditionalFormatting sqref="AK87">
    <cfRule type="cellIs" dxfId="3396" priority="601" operator="between">
      <formula>7</formula>
      <formula>7.499</formula>
    </cfRule>
    <cfRule type="cellIs" dxfId="3395" priority="602" operator="between">
      <formula>9.51</formula>
      <formula>10</formula>
    </cfRule>
    <cfRule type="expression" dxfId="3394" priority="603">
      <formula>AK87&lt;7</formula>
    </cfRule>
    <cfRule type="expression" dxfId="3393" priority="604">
      <formula>AK87&gt;10</formula>
    </cfRule>
  </conditionalFormatting>
  <conditionalFormatting sqref="AR87">
    <cfRule type="cellIs" dxfId="3392" priority="597" operator="between">
      <formula>7</formula>
      <formula>7.499</formula>
    </cfRule>
    <cfRule type="cellIs" dxfId="3391" priority="598" operator="between">
      <formula>9.51</formula>
      <formula>10</formula>
    </cfRule>
    <cfRule type="expression" dxfId="3390" priority="599">
      <formula>AR87&lt;7</formula>
    </cfRule>
    <cfRule type="expression" dxfId="3389" priority="600">
      <formula>AR87&gt;10</formula>
    </cfRule>
  </conditionalFormatting>
  <conditionalFormatting sqref="I114">
    <cfRule type="expression" dxfId="3388" priority="595">
      <formula>I114&lt;20</formula>
    </cfRule>
    <cfRule type="expression" dxfId="3387" priority="596">
      <formula>I114&gt;30</formula>
    </cfRule>
  </conditionalFormatting>
  <conditionalFormatting sqref="L114">
    <cfRule type="expression" dxfId="3386" priority="593">
      <formula>L114&lt;20</formula>
    </cfRule>
    <cfRule type="expression" dxfId="3385" priority="594">
      <formula>L114&gt;30</formula>
    </cfRule>
  </conditionalFormatting>
  <conditionalFormatting sqref="P114">
    <cfRule type="expression" dxfId="3384" priority="591">
      <formula>P114&lt;20</formula>
    </cfRule>
    <cfRule type="expression" dxfId="3383" priority="592">
      <formula>P114&gt;30</formula>
    </cfRule>
  </conditionalFormatting>
  <conditionalFormatting sqref="S114">
    <cfRule type="expression" dxfId="3382" priority="589">
      <formula>S114&lt;20</formula>
    </cfRule>
    <cfRule type="expression" dxfId="3381" priority="590">
      <formula>S114&gt;30</formula>
    </cfRule>
  </conditionalFormatting>
  <conditionalFormatting sqref="W114">
    <cfRule type="expression" dxfId="3380" priority="587">
      <formula>W114&lt;20</formula>
    </cfRule>
    <cfRule type="expression" dxfId="3379" priority="588">
      <formula>W114&gt;30</formula>
    </cfRule>
  </conditionalFormatting>
  <conditionalFormatting sqref="Z114">
    <cfRule type="expression" dxfId="3378" priority="585">
      <formula>Z114&lt;20</formula>
    </cfRule>
    <cfRule type="expression" dxfId="3377" priority="586">
      <formula>Z114&gt;30</formula>
    </cfRule>
  </conditionalFormatting>
  <conditionalFormatting sqref="AD114">
    <cfRule type="expression" dxfId="3376" priority="583">
      <formula>AD114&lt;20</formula>
    </cfRule>
    <cfRule type="expression" dxfId="3375" priority="584">
      <formula>AD114&gt;30</formula>
    </cfRule>
  </conditionalFormatting>
  <conditionalFormatting sqref="AG114">
    <cfRule type="expression" dxfId="3374" priority="581">
      <formula>AG114&lt;20</formula>
    </cfRule>
    <cfRule type="expression" dxfId="3373" priority="582">
      <formula>AG114&gt;30</formula>
    </cfRule>
  </conditionalFormatting>
  <conditionalFormatting sqref="AK114">
    <cfRule type="expression" dxfId="3372" priority="579">
      <formula>AK114&lt;20</formula>
    </cfRule>
    <cfRule type="expression" dxfId="3371" priority="580">
      <formula>AK114&gt;30</formula>
    </cfRule>
  </conditionalFormatting>
  <conditionalFormatting sqref="AN114">
    <cfRule type="expression" dxfId="3370" priority="577">
      <formula>AN114&lt;20</formula>
    </cfRule>
    <cfRule type="expression" dxfId="3369" priority="578">
      <formula>AN114&gt;30</formula>
    </cfRule>
  </conditionalFormatting>
  <conditionalFormatting sqref="AR114">
    <cfRule type="expression" dxfId="3368" priority="575">
      <formula>AR114&lt;20</formula>
    </cfRule>
    <cfRule type="expression" dxfId="3367" priority="576">
      <formula>AR114&gt;30</formula>
    </cfRule>
  </conditionalFormatting>
  <conditionalFormatting sqref="AU114">
    <cfRule type="expression" dxfId="3366" priority="573">
      <formula>AU114&lt;20</formula>
    </cfRule>
    <cfRule type="expression" dxfId="3365" priority="574">
      <formula>AU114&gt;30</formula>
    </cfRule>
  </conditionalFormatting>
  <conditionalFormatting sqref="I59">
    <cfRule type="cellIs" dxfId="3364" priority="569" operator="between">
      <formula>5</formula>
      <formula>5.499</formula>
    </cfRule>
    <cfRule type="cellIs" dxfId="3363" priority="570" operator="between">
      <formula>6.51</formula>
      <formula>8</formula>
    </cfRule>
    <cfRule type="expression" dxfId="3362" priority="571">
      <formula>I59&lt;5</formula>
    </cfRule>
    <cfRule type="expression" dxfId="3361" priority="572">
      <formula>I59&gt;8</formula>
    </cfRule>
  </conditionalFormatting>
  <conditionalFormatting sqref="P59">
    <cfRule type="cellIs" dxfId="3360" priority="565" operator="between">
      <formula>5</formula>
      <formula>5.499</formula>
    </cfRule>
    <cfRule type="cellIs" dxfId="3359" priority="566" operator="between">
      <formula>6.51</formula>
      <formula>8</formula>
    </cfRule>
    <cfRule type="expression" dxfId="3358" priority="567">
      <formula>P59&lt;5</formula>
    </cfRule>
    <cfRule type="expression" dxfId="3357" priority="568">
      <formula>P59&gt;8</formula>
    </cfRule>
  </conditionalFormatting>
  <conditionalFormatting sqref="W59">
    <cfRule type="cellIs" dxfId="3356" priority="561" operator="between">
      <formula>5</formula>
      <formula>5.499</formula>
    </cfRule>
    <cfRule type="cellIs" dxfId="3355" priority="562" operator="between">
      <formula>6.51</formula>
      <formula>8</formula>
    </cfRule>
    <cfRule type="expression" dxfId="3354" priority="563">
      <formula>W59&lt;5</formula>
    </cfRule>
    <cfRule type="expression" dxfId="3353" priority="564">
      <formula>W59&gt;8</formula>
    </cfRule>
  </conditionalFormatting>
  <conditionalFormatting sqref="AD59">
    <cfRule type="cellIs" dxfId="3352" priority="557" operator="between">
      <formula>5</formula>
      <formula>5.499</formula>
    </cfRule>
    <cfRule type="cellIs" dxfId="3351" priority="558" operator="between">
      <formula>6.51</formula>
      <formula>8</formula>
    </cfRule>
    <cfRule type="expression" dxfId="3350" priority="559">
      <formula>AD59&lt;5</formula>
    </cfRule>
    <cfRule type="expression" dxfId="3349" priority="560">
      <formula>AD59&gt;8</formula>
    </cfRule>
  </conditionalFormatting>
  <conditionalFormatting sqref="AK59">
    <cfRule type="cellIs" dxfId="3348" priority="553" operator="between">
      <formula>5</formula>
      <formula>5.499</formula>
    </cfRule>
    <cfRule type="cellIs" dxfId="3347" priority="554" operator="between">
      <formula>6.51</formula>
      <formula>8</formula>
    </cfRule>
    <cfRule type="expression" dxfId="3346" priority="555">
      <formula>AK59&lt;5</formula>
    </cfRule>
    <cfRule type="expression" dxfId="3345" priority="556">
      <formula>AK59&gt;8</formula>
    </cfRule>
  </conditionalFormatting>
  <conditionalFormatting sqref="AR59">
    <cfRule type="cellIs" dxfId="3344" priority="549" operator="between">
      <formula>5</formula>
      <formula>5.499</formula>
    </cfRule>
    <cfRule type="cellIs" dxfId="3343" priority="550" operator="between">
      <formula>6.51</formula>
      <formula>8</formula>
    </cfRule>
    <cfRule type="expression" dxfId="3342" priority="551">
      <formula>AR59&lt;5</formula>
    </cfRule>
    <cfRule type="expression" dxfId="3341" priority="552">
      <formula>AR59&gt;8</formula>
    </cfRule>
  </conditionalFormatting>
  <conditionalFormatting sqref="I30">
    <cfRule type="cellIs" dxfId="3340" priority="545" operator="between">
      <formula>40</formula>
      <formula>44.99</formula>
    </cfRule>
    <cfRule type="cellIs" dxfId="3339" priority="546" operator="between">
      <formula>55.1</formula>
      <formula>60</formula>
    </cfRule>
    <cfRule type="expression" dxfId="3338" priority="547">
      <formula>I30&lt;40</formula>
    </cfRule>
    <cfRule type="expression" dxfId="3337" priority="548">
      <formula>I30&gt;60</formula>
    </cfRule>
  </conditionalFormatting>
  <conditionalFormatting sqref="I31">
    <cfRule type="cellIs" dxfId="3336" priority="541" operator="between">
      <formula>40</formula>
      <formula>44.99</formula>
    </cfRule>
    <cfRule type="cellIs" dxfId="3335" priority="542" operator="between">
      <formula>55.1</formula>
      <formula>60</formula>
    </cfRule>
    <cfRule type="expression" dxfId="3334" priority="543">
      <formula>I31&lt;40</formula>
    </cfRule>
    <cfRule type="expression" dxfId="3333" priority="544">
      <formula>I31&gt;60</formula>
    </cfRule>
  </conditionalFormatting>
  <conditionalFormatting sqref="L30">
    <cfRule type="cellIs" dxfId="3332" priority="537" operator="between">
      <formula>40</formula>
      <formula>44.99</formula>
    </cfRule>
    <cfRule type="cellIs" dxfId="3331" priority="538" operator="between">
      <formula>55.1</formula>
      <formula>60</formula>
    </cfRule>
    <cfRule type="expression" dxfId="3330" priority="539">
      <formula>L30&lt;40</formula>
    </cfRule>
    <cfRule type="expression" dxfId="3329" priority="540">
      <formula>L30&gt;60</formula>
    </cfRule>
  </conditionalFormatting>
  <conditionalFormatting sqref="L31">
    <cfRule type="cellIs" dxfId="3328" priority="533" operator="between">
      <formula>40</formula>
      <formula>44.99</formula>
    </cfRule>
    <cfRule type="cellIs" dxfId="3327" priority="534" operator="between">
      <formula>55.1</formula>
      <formula>60</formula>
    </cfRule>
    <cfRule type="expression" dxfId="3326" priority="535">
      <formula>L31&lt;40</formula>
    </cfRule>
    <cfRule type="expression" dxfId="3325" priority="536">
      <formula>L31&gt;60</formula>
    </cfRule>
  </conditionalFormatting>
  <conditionalFormatting sqref="P30">
    <cfRule type="cellIs" dxfId="3324" priority="529" operator="between">
      <formula>40</formula>
      <formula>44.99</formula>
    </cfRule>
    <cfRule type="cellIs" dxfId="3323" priority="530" operator="between">
      <formula>55.1</formula>
      <formula>60</formula>
    </cfRule>
    <cfRule type="expression" dxfId="3322" priority="531">
      <formula>P30&lt;40</formula>
    </cfRule>
    <cfRule type="expression" dxfId="3321" priority="532">
      <formula>P30&gt;60</formula>
    </cfRule>
  </conditionalFormatting>
  <conditionalFormatting sqref="P31">
    <cfRule type="cellIs" dxfId="3320" priority="525" operator="between">
      <formula>40</formula>
      <formula>44.99</formula>
    </cfRule>
    <cfRule type="cellIs" dxfId="3319" priority="526" operator="between">
      <formula>55.1</formula>
      <formula>60</formula>
    </cfRule>
    <cfRule type="expression" dxfId="3318" priority="527">
      <formula>P31&lt;40</formula>
    </cfRule>
    <cfRule type="expression" dxfId="3317" priority="528">
      <formula>P31&gt;60</formula>
    </cfRule>
  </conditionalFormatting>
  <conditionalFormatting sqref="S30">
    <cfRule type="cellIs" dxfId="3316" priority="521" operator="between">
      <formula>40</formula>
      <formula>44.99</formula>
    </cfRule>
    <cfRule type="cellIs" dxfId="3315" priority="522" operator="between">
      <formula>55.1</formula>
      <formula>60</formula>
    </cfRule>
    <cfRule type="expression" dxfId="3314" priority="523">
      <formula>S30&lt;40</formula>
    </cfRule>
    <cfRule type="expression" dxfId="3313" priority="524">
      <formula>S30&gt;60</formula>
    </cfRule>
  </conditionalFormatting>
  <conditionalFormatting sqref="S31">
    <cfRule type="cellIs" dxfId="3312" priority="517" operator="between">
      <formula>40</formula>
      <formula>44.99</formula>
    </cfRule>
    <cfRule type="cellIs" dxfId="3311" priority="518" operator="between">
      <formula>55.1</formula>
      <formula>60</formula>
    </cfRule>
    <cfRule type="expression" dxfId="3310" priority="519">
      <formula>S31&lt;40</formula>
    </cfRule>
    <cfRule type="expression" dxfId="3309" priority="520">
      <formula>S31&gt;60</formula>
    </cfRule>
  </conditionalFormatting>
  <conditionalFormatting sqref="W30">
    <cfRule type="cellIs" dxfId="3308" priority="513" operator="between">
      <formula>40</formula>
      <formula>44.99</formula>
    </cfRule>
    <cfRule type="cellIs" dxfId="3307" priority="514" operator="between">
      <formula>55.1</formula>
      <formula>60</formula>
    </cfRule>
    <cfRule type="expression" dxfId="3306" priority="515">
      <formula>W30&lt;40</formula>
    </cfRule>
    <cfRule type="expression" dxfId="3305" priority="516">
      <formula>W30&gt;60</formula>
    </cfRule>
  </conditionalFormatting>
  <conditionalFormatting sqref="W31">
    <cfRule type="cellIs" dxfId="3304" priority="509" operator="between">
      <formula>40</formula>
      <formula>44.99</formula>
    </cfRule>
    <cfRule type="cellIs" dxfId="3303" priority="510" operator="between">
      <formula>55.1</formula>
      <formula>60</formula>
    </cfRule>
    <cfRule type="expression" dxfId="3302" priority="511">
      <formula>W31&lt;40</formula>
    </cfRule>
    <cfRule type="expression" dxfId="3301" priority="512">
      <formula>W31&gt;60</formula>
    </cfRule>
  </conditionalFormatting>
  <conditionalFormatting sqref="Z30">
    <cfRule type="cellIs" dxfId="3300" priority="505" operator="between">
      <formula>40</formula>
      <formula>44.99</formula>
    </cfRule>
    <cfRule type="cellIs" dxfId="3299" priority="506" operator="between">
      <formula>55.1</formula>
      <formula>60</formula>
    </cfRule>
    <cfRule type="expression" dxfId="3298" priority="507">
      <formula>Z30&lt;40</formula>
    </cfRule>
    <cfRule type="expression" dxfId="3297" priority="508">
      <formula>Z30&gt;60</formula>
    </cfRule>
  </conditionalFormatting>
  <conditionalFormatting sqref="Z31">
    <cfRule type="cellIs" dxfId="3296" priority="501" operator="between">
      <formula>40</formula>
      <formula>44.99</formula>
    </cfRule>
    <cfRule type="cellIs" dxfId="3295" priority="502" operator="between">
      <formula>55.1</formula>
      <formula>60</formula>
    </cfRule>
    <cfRule type="expression" dxfId="3294" priority="503">
      <formula>Z31&lt;40</formula>
    </cfRule>
    <cfRule type="expression" dxfId="3293" priority="504">
      <formula>Z31&gt;60</formula>
    </cfRule>
  </conditionalFormatting>
  <conditionalFormatting sqref="AD30">
    <cfRule type="cellIs" dxfId="3292" priority="497" operator="between">
      <formula>40</formula>
      <formula>44.99</formula>
    </cfRule>
    <cfRule type="cellIs" dxfId="3291" priority="498" operator="between">
      <formula>55.1</formula>
      <formula>60</formula>
    </cfRule>
    <cfRule type="expression" dxfId="3290" priority="499">
      <formula>AD30&lt;40</formula>
    </cfRule>
    <cfRule type="expression" dxfId="3289" priority="500">
      <formula>AD30&gt;60</formula>
    </cfRule>
  </conditionalFormatting>
  <conditionalFormatting sqref="AD31">
    <cfRule type="cellIs" dxfId="3288" priority="493" operator="between">
      <formula>40</formula>
      <formula>44.99</formula>
    </cfRule>
    <cfRule type="cellIs" dxfId="3287" priority="494" operator="between">
      <formula>55.1</formula>
      <formula>60</formula>
    </cfRule>
    <cfRule type="expression" dxfId="3286" priority="495">
      <formula>AD31&lt;40</formula>
    </cfRule>
    <cfRule type="expression" dxfId="3285" priority="496">
      <formula>AD31&gt;60</formula>
    </cfRule>
  </conditionalFormatting>
  <conditionalFormatting sqref="AG30">
    <cfRule type="cellIs" dxfId="3284" priority="489" operator="between">
      <formula>40</formula>
      <formula>44.99</formula>
    </cfRule>
    <cfRule type="cellIs" dxfId="3283" priority="490" operator="between">
      <formula>55.1</formula>
      <formula>60</formula>
    </cfRule>
    <cfRule type="expression" dxfId="3282" priority="491">
      <formula>AG30&lt;40</formula>
    </cfRule>
    <cfRule type="expression" dxfId="3281" priority="492">
      <formula>AG30&gt;60</formula>
    </cfRule>
  </conditionalFormatting>
  <conditionalFormatting sqref="AG31">
    <cfRule type="cellIs" dxfId="3280" priority="485" operator="between">
      <formula>40</formula>
      <formula>44.99</formula>
    </cfRule>
    <cfRule type="cellIs" dxfId="3279" priority="486" operator="between">
      <formula>55.1</formula>
      <formula>60</formula>
    </cfRule>
    <cfRule type="expression" dxfId="3278" priority="487">
      <formula>AG31&lt;40</formula>
    </cfRule>
    <cfRule type="expression" dxfId="3277" priority="488">
      <formula>AG31&gt;60</formula>
    </cfRule>
  </conditionalFormatting>
  <conditionalFormatting sqref="AK30">
    <cfRule type="cellIs" dxfId="3276" priority="481" operator="between">
      <formula>40</formula>
      <formula>44.99</formula>
    </cfRule>
    <cfRule type="cellIs" dxfId="3275" priority="482" operator="between">
      <formula>55.1</formula>
      <formula>60</formula>
    </cfRule>
    <cfRule type="expression" dxfId="3274" priority="483">
      <formula>AK30&lt;40</formula>
    </cfRule>
    <cfRule type="expression" dxfId="3273" priority="484">
      <formula>AK30&gt;60</formula>
    </cfRule>
  </conditionalFormatting>
  <conditionalFormatting sqref="AK31">
    <cfRule type="cellIs" dxfId="3272" priority="477" operator="between">
      <formula>40</formula>
      <formula>44.99</formula>
    </cfRule>
    <cfRule type="cellIs" dxfId="3271" priority="478" operator="between">
      <formula>55.1</formula>
      <formula>60</formula>
    </cfRule>
    <cfRule type="expression" dxfId="3270" priority="479">
      <formula>AK31&lt;40</formula>
    </cfRule>
    <cfRule type="expression" dxfId="3269" priority="480">
      <formula>AK31&gt;60</formula>
    </cfRule>
  </conditionalFormatting>
  <conditionalFormatting sqref="AN30">
    <cfRule type="cellIs" dxfId="3268" priority="473" operator="between">
      <formula>40</formula>
      <formula>44.99</formula>
    </cfRule>
    <cfRule type="cellIs" dxfId="3267" priority="474" operator="between">
      <formula>55.1</formula>
      <formula>60</formula>
    </cfRule>
    <cfRule type="expression" dxfId="3266" priority="475">
      <formula>AN30&lt;40</formula>
    </cfRule>
    <cfRule type="expression" dxfId="3265" priority="476">
      <formula>AN30&gt;60</formula>
    </cfRule>
  </conditionalFormatting>
  <conditionalFormatting sqref="AN31">
    <cfRule type="cellIs" dxfId="3264" priority="469" operator="between">
      <formula>40</formula>
      <formula>44.99</formula>
    </cfRule>
    <cfRule type="cellIs" dxfId="3263" priority="470" operator="between">
      <formula>55.1</formula>
      <formula>60</formula>
    </cfRule>
    <cfRule type="expression" dxfId="3262" priority="471">
      <formula>AN31&lt;40</formula>
    </cfRule>
    <cfRule type="expression" dxfId="3261" priority="472">
      <formula>AN31&gt;60</formula>
    </cfRule>
  </conditionalFormatting>
  <conditionalFormatting sqref="AR30">
    <cfRule type="cellIs" dxfId="3260" priority="465" operator="between">
      <formula>40</formula>
      <formula>44.99</formula>
    </cfRule>
    <cfRule type="cellIs" dxfId="3259" priority="466" operator="between">
      <formula>55.1</formula>
      <formula>60</formula>
    </cfRule>
    <cfRule type="expression" dxfId="3258" priority="467">
      <formula>AR30&lt;40</formula>
    </cfRule>
    <cfRule type="expression" dxfId="3257" priority="468">
      <formula>AR30&gt;60</formula>
    </cfRule>
  </conditionalFormatting>
  <conditionalFormatting sqref="AR31">
    <cfRule type="cellIs" dxfId="3256" priority="461" operator="between">
      <formula>40</formula>
      <formula>44.99</formula>
    </cfRule>
    <cfRule type="cellIs" dxfId="3255" priority="462" operator="between">
      <formula>55.1</formula>
      <formula>60</formula>
    </cfRule>
    <cfRule type="expression" dxfId="3254" priority="463">
      <formula>AR31&lt;40</formula>
    </cfRule>
    <cfRule type="expression" dxfId="3253" priority="464">
      <formula>AR31&gt;60</formula>
    </cfRule>
  </conditionalFormatting>
  <conditionalFormatting sqref="AU30">
    <cfRule type="cellIs" dxfId="3252" priority="457" operator="between">
      <formula>40</formula>
      <formula>44.99</formula>
    </cfRule>
    <cfRule type="cellIs" dxfId="3251" priority="458" operator="between">
      <formula>55.1</formula>
      <formula>60</formula>
    </cfRule>
    <cfRule type="expression" dxfId="3250" priority="459">
      <formula>AU30&lt;40</formula>
    </cfRule>
    <cfRule type="expression" dxfId="3249" priority="460">
      <formula>AU30&gt;60</formula>
    </cfRule>
  </conditionalFormatting>
  <conditionalFormatting sqref="AU31">
    <cfRule type="cellIs" dxfId="3248" priority="453" operator="between">
      <formula>40</formula>
      <formula>44.99</formula>
    </cfRule>
    <cfRule type="cellIs" dxfId="3247" priority="454" operator="between">
      <formula>55.1</formula>
      <formula>60</formula>
    </cfRule>
    <cfRule type="expression" dxfId="3246" priority="455">
      <formula>AU31&lt;40</formula>
    </cfRule>
    <cfRule type="expression" dxfId="3245" priority="456">
      <formula>AU31&gt;60</formula>
    </cfRule>
  </conditionalFormatting>
  <conditionalFormatting sqref="I65">
    <cfRule type="cellIs" dxfId="3244" priority="449" operator="between">
      <formula>40</formula>
      <formula>44.99</formula>
    </cfRule>
    <cfRule type="cellIs" dxfId="3243" priority="450" operator="between">
      <formula>55.1</formula>
      <formula>60</formula>
    </cfRule>
    <cfRule type="expression" dxfId="3242" priority="451">
      <formula>I65&lt;40</formula>
    </cfRule>
    <cfRule type="expression" dxfId="3241" priority="452">
      <formula>I65&gt;60</formula>
    </cfRule>
  </conditionalFormatting>
  <conditionalFormatting sqref="I66">
    <cfRule type="cellIs" dxfId="3240" priority="445" operator="between">
      <formula>40</formula>
      <formula>44.99</formula>
    </cfRule>
    <cfRule type="cellIs" dxfId="3239" priority="446" operator="between">
      <formula>55.1</formula>
      <formula>60</formula>
    </cfRule>
    <cfRule type="expression" dxfId="3238" priority="447">
      <formula>I66&lt;40</formula>
    </cfRule>
    <cfRule type="expression" dxfId="3237" priority="448">
      <formula>I66&gt;60</formula>
    </cfRule>
  </conditionalFormatting>
  <conditionalFormatting sqref="L65">
    <cfRule type="cellIs" dxfId="3236" priority="441" operator="between">
      <formula>40</formula>
      <formula>44.99</formula>
    </cfRule>
    <cfRule type="cellIs" dxfId="3235" priority="442" operator="between">
      <formula>55.1</formula>
      <formula>60</formula>
    </cfRule>
    <cfRule type="expression" dxfId="3234" priority="443">
      <formula>L65&lt;40</formula>
    </cfRule>
    <cfRule type="expression" dxfId="3233" priority="444">
      <formula>L65&gt;60</formula>
    </cfRule>
  </conditionalFormatting>
  <conditionalFormatting sqref="L66">
    <cfRule type="cellIs" dxfId="3232" priority="437" operator="between">
      <formula>40</formula>
      <formula>44.99</formula>
    </cfRule>
    <cfRule type="cellIs" dxfId="3231" priority="438" operator="between">
      <formula>55.1</formula>
      <formula>60</formula>
    </cfRule>
    <cfRule type="expression" dxfId="3230" priority="439">
      <formula>L66&lt;40</formula>
    </cfRule>
    <cfRule type="expression" dxfId="3229" priority="440">
      <formula>L66&gt;60</formula>
    </cfRule>
  </conditionalFormatting>
  <conditionalFormatting sqref="P65">
    <cfRule type="cellIs" dxfId="3228" priority="433" operator="between">
      <formula>40</formula>
      <formula>44.99</formula>
    </cfRule>
    <cfRule type="cellIs" dxfId="3227" priority="434" operator="between">
      <formula>55.1</formula>
      <formula>60</formula>
    </cfRule>
    <cfRule type="expression" dxfId="3226" priority="435">
      <formula>P65&lt;40</formula>
    </cfRule>
    <cfRule type="expression" dxfId="3225" priority="436">
      <formula>P65&gt;60</formula>
    </cfRule>
  </conditionalFormatting>
  <conditionalFormatting sqref="P66">
    <cfRule type="cellIs" dxfId="3224" priority="429" operator="between">
      <formula>40</formula>
      <formula>44.99</formula>
    </cfRule>
    <cfRule type="cellIs" dxfId="3223" priority="430" operator="between">
      <formula>55.1</formula>
      <formula>60</formula>
    </cfRule>
    <cfRule type="expression" dxfId="3222" priority="431">
      <formula>P66&lt;40</formula>
    </cfRule>
    <cfRule type="expression" dxfId="3221" priority="432">
      <formula>P66&gt;60</formula>
    </cfRule>
  </conditionalFormatting>
  <conditionalFormatting sqref="S65">
    <cfRule type="cellIs" dxfId="3220" priority="425" operator="between">
      <formula>40</formula>
      <formula>44.99</formula>
    </cfRule>
    <cfRule type="cellIs" dxfId="3219" priority="426" operator="between">
      <formula>55.1</formula>
      <formula>60</formula>
    </cfRule>
    <cfRule type="expression" dxfId="3218" priority="427">
      <formula>S65&lt;40</formula>
    </cfRule>
    <cfRule type="expression" dxfId="3217" priority="428">
      <formula>S65&gt;60</formula>
    </cfRule>
  </conditionalFormatting>
  <conditionalFormatting sqref="S66">
    <cfRule type="cellIs" dxfId="3216" priority="421" operator="between">
      <formula>40</formula>
      <formula>44.99</formula>
    </cfRule>
    <cfRule type="cellIs" dxfId="3215" priority="422" operator="between">
      <formula>55.1</formula>
      <formula>60</formula>
    </cfRule>
    <cfRule type="expression" dxfId="3214" priority="423">
      <formula>S66&lt;40</formula>
    </cfRule>
    <cfRule type="expression" dxfId="3213" priority="424">
      <formula>S66&gt;60</formula>
    </cfRule>
  </conditionalFormatting>
  <conditionalFormatting sqref="W65">
    <cfRule type="cellIs" dxfId="3212" priority="417" operator="between">
      <formula>40</formula>
      <formula>44.99</formula>
    </cfRule>
    <cfRule type="cellIs" dxfId="3211" priority="418" operator="between">
      <formula>55.1</formula>
      <formula>60</formula>
    </cfRule>
    <cfRule type="expression" dxfId="3210" priority="419">
      <formula>W65&lt;40</formula>
    </cfRule>
    <cfRule type="expression" dxfId="3209" priority="420">
      <formula>W65&gt;60</formula>
    </cfRule>
  </conditionalFormatting>
  <conditionalFormatting sqref="W66">
    <cfRule type="cellIs" dxfId="3208" priority="413" operator="between">
      <formula>40</formula>
      <formula>44.99</formula>
    </cfRule>
    <cfRule type="cellIs" dxfId="3207" priority="414" operator="between">
      <formula>55.1</formula>
      <formula>60</formula>
    </cfRule>
    <cfRule type="expression" dxfId="3206" priority="415">
      <formula>W66&lt;40</formula>
    </cfRule>
    <cfRule type="expression" dxfId="3205" priority="416">
      <formula>W66&gt;60</formula>
    </cfRule>
  </conditionalFormatting>
  <conditionalFormatting sqref="Z65">
    <cfRule type="cellIs" dxfId="3204" priority="409" operator="between">
      <formula>40</formula>
      <formula>44.99</formula>
    </cfRule>
    <cfRule type="cellIs" dxfId="3203" priority="410" operator="between">
      <formula>55.1</formula>
      <formula>60</formula>
    </cfRule>
    <cfRule type="expression" dxfId="3202" priority="411">
      <formula>Z65&lt;40</formula>
    </cfRule>
    <cfRule type="expression" dxfId="3201" priority="412">
      <formula>Z65&gt;60</formula>
    </cfRule>
  </conditionalFormatting>
  <conditionalFormatting sqref="Z66">
    <cfRule type="cellIs" dxfId="3200" priority="405" operator="between">
      <formula>40</formula>
      <formula>44.99</formula>
    </cfRule>
    <cfRule type="cellIs" dxfId="3199" priority="406" operator="between">
      <formula>55.1</formula>
      <formula>60</formula>
    </cfRule>
    <cfRule type="expression" dxfId="3198" priority="407">
      <formula>Z66&lt;40</formula>
    </cfRule>
    <cfRule type="expression" dxfId="3197" priority="408">
      <formula>Z66&gt;60</formula>
    </cfRule>
  </conditionalFormatting>
  <conditionalFormatting sqref="AD65">
    <cfRule type="cellIs" dxfId="3196" priority="401" operator="between">
      <formula>40</formula>
      <formula>44.99</formula>
    </cfRule>
    <cfRule type="cellIs" dxfId="3195" priority="402" operator="between">
      <formula>55.1</formula>
      <formula>60</formula>
    </cfRule>
    <cfRule type="expression" dxfId="3194" priority="403">
      <formula>AD65&lt;40</formula>
    </cfRule>
    <cfRule type="expression" dxfId="3193" priority="404">
      <formula>AD65&gt;60</formula>
    </cfRule>
  </conditionalFormatting>
  <conditionalFormatting sqref="AD66">
    <cfRule type="cellIs" dxfId="3192" priority="397" operator="between">
      <formula>40</formula>
      <formula>44.99</formula>
    </cfRule>
    <cfRule type="cellIs" dxfId="3191" priority="398" operator="between">
      <formula>55.1</formula>
      <formula>60</formula>
    </cfRule>
    <cfRule type="expression" dxfId="3190" priority="399">
      <formula>AD66&lt;40</formula>
    </cfRule>
    <cfRule type="expression" dxfId="3189" priority="400">
      <formula>AD66&gt;60</formula>
    </cfRule>
  </conditionalFormatting>
  <conditionalFormatting sqref="AG65">
    <cfRule type="cellIs" dxfId="3188" priority="393" operator="between">
      <formula>40</formula>
      <formula>44.99</formula>
    </cfRule>
    <cfRule type="cellIs" dxfId="3187" priority="394" operator="between">
      <formula>55.1</formula>
      <formula>60</formula>
    </cfRule>
    <cfRule type="expression" dxfId="3186" priority="395">
      <formula>AG65&lt;40</formula>
    </cfRule>
    <cfRule type="expression" dxfId="3185" priority="396">
      <formula>AG65&gt;60</formula>
    </cfRule>
  </conditionalFormatting>
  <conditionalFormatting sqref="AG66">
    <cfRule type="cellIs" dxfId="3184" priority="389" operator="between">
      <formula>40</formula>
      <formula>44.99</formula>
    </cfRule>
    <cfRule type="cellIs" dxfId="3183" priority="390" operator="between">
      <formula>55.1</formula>
      <formula>60</formula>
    </cfRule>
    <cfRule type="expression" dxfId="3182" priority="391">
      <formula>AG66&lt;40</formula>
    </cfRule>
    <cfRule type="expression" dxfId="3181" priority="392">
      <formula>AG66&gt;60</formula>
    </cfRule>
  </conditionalFormatting>
  <conditionalFormatting sqref="AK65">
    <cfRule type="cellIs" dxfId="3180" priority="385" operator="between">
      <formula>40</formula>
      <formula>44.99</formula>
    </cfRule>
    <cfRule type="cellIs" dxfId="3179" priority="386" operator="between">
      <formula>55.1</formula>
      <formula>60</formula>
    </cfRule>
    <cfRule type="expression" dxfId="3178" priority="387">
      <formula>AK65&lt;40</formula>
    </cfRule>
    <cfRule type="expression" dxfId="3177" priority="388">
      <formula>AK65&gt;60</formula>
    </cfRule>
  </conditionalFormatting>
  <conditionalFormatting sqref="AK66">
    <cfRule type="cellIs" dxfId="3176" priority="381" operator="between">
      <formula>40</formula>
      <formula>44.99</formula>
    </cfRule>
    <cfRule type="cellIs" dxfId="3175" priority="382" operator="between">
      <formula>55.1</formula>
      <formula>60</formula>
    </cfRule>
    <cfRule type="expression" dxfId="3174" priority="383">
      <formula>AK66&lt;40</formula>
    </cfRule>
    <cfRule type="expression" dxfId="3173" priority="384">
      <formula>AK66&gt;60</formula>
    </cfRule>
  </conditionalFormatting>
  <conditionalFormatting sqref="AN65">
    <cfRule type="cellIs" dxfId="3172" priority="377" operator="between">
      <formula>40</formula>
      <formula>44.99</formula>
    </cfRule>
    <cfRule type="cellIs" dxfId="3171" priority="378" operator="between">
      <formula>55.1</formula>
      <formula>60</formula>
    </cfRule>
    <cfRule type="expression" dxfId="3170" priority="379">
      <formula>AN65&lt;40</formula>
    </cfRule>
    <cfRule type="expression" dxfId="3169" priority="380">
      <formula>AN65&gt;60</formula>
    </cfRule>
  </conditionalFormatting>
  <conditionalFormatting sqref="AN66">
    <cfRule type="cellIs" dxfId="3168" priority="373" operator="between">
      <formula>40</formula>
      <formula>44.99</formula>
    </cfRule>
    <cfRule type="cellIs" dxfId="3167" priority="374" operator="between">
      <formula>55.1</formula>
      <formula>60</formula>
    </cfRule>
    <cfRule type="expression" dxfId="3166" priority="375">
      <formula>AN66&lt;40</formula>
    </cfRule>
    <cfRule type="expression" dxfId="3165" priority="376">
      <formula>AN66&gt;60</formula>
    </cfRule>
  </conditionalFormatting>
  <conditionalFormatting sqref="AR65">
    <cfRule type="cellIs" dxfId="3164" priority="369" operator="between">
      <formula>40</formula>
      <formula>44.99</formula>
    </cfRule>
    <cfRule type="cellIs" dxfId="3163" priority="370" operator="between">
      <formula>55.1</formula>
      <formula>60</formula>
    </cfRule>
    <cfRule type="expression" dxfId="3162" priority="371">
      <formula>AR65&lt;40</formula>
    </cfRule>
    <cfRule type="expression" dxfId="3161" priority="372">
      <formula>AR65&gt;60</formula>
    </cfRule>
  </conditionalFormatting>
  <conditionalFormatting sqref="AR66">
    <cfRule type="cellIs" dxfId="3160" priority="365" operator="between">
      <formula>40</formula>
      <formula>44.99</formula>
    </cfRule>
    <cfRule type="cellIs" dxfId="3159" priority="366" operator="between">
      <formula>55.1</formula>
      <formula>60</formula>
    </cfRule>
    <cfRule type="expression" dxfId="3158" priority="367">
      <formula>AR66&lt;40</formula>
    </cfRule>
    <cfRule type="expression" dxfId="3157" priority="368">
      <formula>AR66&gt;60</formula>
    </cfRule>
  </conditionalFormatting>
  <conditionalFormatting sqref="AU65">
    <cfRule type="cellIs" dxfId="3156" priority="361" operator="between">
      <formula>40</formula>
      <formula>44.99</formula>
    </cfRule>
    <cfRule type="cellIs" dxfId="3155" priority="362" operator="between">
      <formula>55.1</formula>
      <formula>60</formula>
    </cfRule>
    <cfRule type="expression" dxfId="3154" priority="363">
      <formula>AU65&lt;40</formula>
    </cfRule>
    <cfRule type="expression" dxfId="3153" priority="364">
      <formula>AU65&gt;60</formula>
    </cfRule>
  </conditionalFormatting>
  <conditionalFormatting sqref="AU66">
    <cfRule type="cellIs" dxfId="3152" priority="357" operator="between">
      <formula>40</formula>
      <formula>44.99</formula>
    </cfRule>
    <cfRule type="cellIs" dxfId="3151" priority="358" operator="between">
      <formula>55.1</formula>
      <formula>60</formula>
    </cfRule>
    <cfRule type="expression" dxfId="3150" priority="359">
      <formula>AU66&lt;40</formula>
    </cfRule>
    <cfRule type="expression" dxfId="3149" priority="360">
      <formula>AU66&gt;60</formula>
    </cfRule>
  </conditionalFormatting>
  <conditionalFormatting sqref="I25">
    <cfRule type="cellIs" dxfId="3148" priority="335" operator="between">
      <formula>1.8</formula>
      <formula>1.899</formula>
    </cfRule>
    <cfRule type="cellIs" dxfId="3147" priority="336" operator="between">
      <formula>2.11</formula>
      <formula>2.2</formula>
    </cfRule>
    <cfRule type="expression" dxfId="3146" priority="337">
      <formula>I25&lt;1.8</formula>
    </cfRule>
    <cfRule type="expression" dxfId="3145" priority="338">
      <formula>I25&gt;2.2</formula>
    </cfRule>
  </conditionalFormatting>
  <conditionalFormatting sqref="I60">
    <cfRule type="cellIs" dxfId="3144" priority="307" operator="between">
      <formula>1.8</formula>
      <formula>1.999</formula>
    </cfRule>
    <cfRule type="cellIs" dxfId="3143" priority="308" operator="between">
      <formula>2.21</formula>
      <formula>2.4</formula>
    </cfRule>
    <cfRule type="expression" dxfId="3142" priority="309">
      <formula>I60&lt;1.8</formula>
    </cfRule>
    <cfRule type="expression" dxfId="3141" priority="310">
      <formula>I60&gt;2.4</formula>
    </cfRule>
  </conditionalFormatting>
  <conditionalFormatting sqref="P60">
    <cfRule type="cellIs" dxfId="3140" priority="303" operator="between">
      <formula>1.8</formula>
      <formula>1.999</formula>
    </cfRule>
    <cfRule type="cellIs" dxfId="3139" priority="304" operator="between">
      <formula>2.21</formula>
      <formula>2.4</formula>
    </cfRule>
    <cfRule type="expression" dxfId="3138" priority="305">
      <formula>P60&lt;1.8</formula>
    </cfRule>
    <cfRule type="expression" dxfId="3137" priority="306">
      <formula>P60&gt;2.4</formula>
    </cfRule>
  </conditionalFormatting>
  <conditionalFormatting sqref="W60">
    <cfRule type="cellIs" dxfId="3136" priority="299" operator="between">
      <formula>1.8</formula>
      <formula>1.999</formula>
    </cfRule>
    <cfRule type="cellIs" dxfId="3135" priority="300" operator="between">
      <formula>2.21</formula>
      <formula>2.4</formula>
    </cfRule>
    <cfRule type="expression" dxfId="3134" priority="301">
      <formula>W60&lt;1.8</formula>
    </cfRule>
    <cfRule type="expression" dxfId="3133" priority="302">
      <formula>W60&gt;2.4</formula>
    </cfRule>
  </conditionalFormatting>
  <conditionalFormatting sqref="AD60">
    <cfRule type="cellIs" dxfId="3132" priority="295" operator="between">
      <formula>1.8</formula>
      <formula>1.999</formula>
    </cfRule>
    <cfRule type="cellIs" dxfId="3131" priority="296" operator="between">
      <formula>2.21</formula>
      <formula>2.4</formula>
    </cfRule>
    <cfRule type="expression" dxfId="3130" priority="297">
      <formula>AD60&lt;1.8</formula>
    </cfRule>
    <cfRule type="expression" dxfId="3129" priority="298">
      <formula>AD60&gt;2.4</formula>
    </cfRule>
  </conditionalFormatting>
  <conditionalFormatting sqref="AK60">
    <cfRule type="cellIs" dxfId="3128" priority="291" operator="between">
      <formula>1.8</formula>
      <formula>1.999</formula>
    </cfRule>
    <cfRule type="cellIs" dxfId="3127" priority="292" operator="between">
      <formula>2.21</formula>
      <formula>2.4</formula>
    </cfRule>
    <cfRule type="expression" dxfId="3126" priority="293">
      <formula>AK60&lt;1.8</formula>
    </cfRule>
    <cfRule type="expression" dxfId="3125" priority="294">
      <formula>AK60&gt;2.4</formula>
    </cfRule>
  </conditionalFormatting>
  <conditionalFormatting sqref="AR60">
    <cfRule type="cellIs" dxfId="3124" priority="287" operator="between">
      <formula>1.8</formula>
      <formula>1.999</formula>
    </cfRule>
    <cfRule type="cellIs" dxfId="3123" priority="288" operator="between">
      <formula>2.21</formula>
      <formula>2.4</formula>
    </cfRule>
    <cfRule type="expression" dxfId="3122" priority="289">
      <formula>AR60&lt;1.8</formula>
    </cfRule>
    <cfRule type="expression" dxfId="3121" priority="290">
      <formula>AR60&gt;2.4</formula>
    </cfRule>
  </conditionalFormatting>
  <conditionalFormatting sqref="I89">
    <cfRule type="cellIs" dxfId="3120" priority="257" operator="between">
      <formula>2</formula>
      <formula>2.099</formula>
    </cfRule>
    <cfRule type="cellIs" dxfId="3119" priority="258" operator="between">
      <formula>2.31</formula>
      <formula>2.4</formula>
    </cfRule>
    <cfRule type="expression" dxfId="3118" priority="259">
      <formula>I89&lt;2</formula>
    </cfRule>
    <cfRule type="expression" dxfId="3117" priority="260">
      <formula>I89&gt;2.4</formula>
    </cfRule>
  </conditionalFormatting>
  <conditionalFormatting sqref="P89">
    <cfRule type="cellIs" dxfId="3116" priority="253" operator="between">
      <formula>2</formula>
      <formula>2.099</formula>
    </cfRule>
    <cfRule type="cellIs" dxfId="3115" priority="254" operator="between">
      <formula>2.31</formula>
      <formula>2.4</formula>
    </cfRule>
    <cfRule type="expression" dxfId="3114" priority="255">
      <formula>P89&lt;2</formula>
    </cfRule>
    <cfRule type="expression" dxfId="3113" priority="256">
      <formula>P89&gt;2.4</formula>
    </cfRule>
  </conditionalFormatting>
  <conditionalFormatting sqref="W89">
    <cfRule type="cellIs" dxfId="3112" priority="249" operator="between">
      <formula>2</formula>
      <formula>2.099</formula>
    </cfRule>
    <cfRule type="cellIs" dxfId="3111" priority="250" operator="between">
      <formula>2.31</formula>
      <formula>2.4</formula>
    </cfRule>
    <cfRule type="expression" dxfId="3110" priority="251">
      <formula>W89&lt;2</formula>
    </cfRule>
    <cfRule type="expression" dxfId="3109" priority="252">
      <formula>W89&gt;2.4</formula>
    </cfRule>
  </conditionalFormatting>
  <conditionalFormatting sqref="AD89">
    <cfRule type="cellIs" dxfId="3108" priority="245" operator="between">
      <formula>2</formula>
      <formula>2.099</formula>
    </cfRule>
    <cfRule type="cellIs" dxfId="3107" priority="246" operator="between">
      <formula>2.31</formula>
      <formula>2.4</formula>
    </cfRule>
    <cfRule type="expression" dxfId="3106" priority="247">
      <formula>AD89&lt;2</formula>
    </cfRule>
    <cfRule type="expression" dxfId="3105" priority="248">
      <formula>AD89&gt;2.4</formula>
    </cfRule>
  </conditionalFormatting>
  <conditionalFormatting sqref="AK89">
    <cfRule type="cellIs" dxfId="3104" priority="241" operator="between">
      <formula>2</formula>
      <formula>2.099</formula>
    </cfRule>
    <cfRule type="cellIs" dxfId="3103" priority="242" operator="between">
      <formula>2.31</formula>
      <formula>2.4</formula>
    </cfRule>
    <cfRule type="expression" dxfId="3102" priority="243">
      <formula>AK89&lt;2</formula>
    </cfRule>
    <cfRule type="expression" dxfId="3101" priority="244">
      <formula>AK89&gt;2.4</formula>
    </cfRule>
  </conditionalFormatting>
  <conditionalFormatting sqref="AR89">
    <cfRule type="cellIs" dxfId="3100" priority="237" operator="between">
      <formula>2</formula>
      <formula>2.099</formula>
    </cfRule>
    <cfRule type="cellIs" dxfId="3099" priority="238" operator="between">
      <formula>2.31</formula>
      <formula>2.4</formula>
    </cfRule>
    <cfRule type="expression" dxfId="3098" priority="239">
      <formula>AR89&lt;2</formula>
    </cfRule>
    <cfRule type="expression" dxfId="3097" priority="240">
      <formula>AR89&gt;2.4</formula>
    </cfRule>
  </conditionalFormatting>
  <conditionalFormatting sqref="P25">
    <cfRule type="cellIs" dxfId="3096" priority="233" operator="between">
      <formula>1.8</formula>
      <formula>1.899</formula>
    </cfRule>
    <cfRule type="cellIs" dxfId="3095" priority="234" operator="between">
      <formula>2.11</formula>
      <formula>2.2</formula>
    </cfRule>
    <cfRule type="expression" dxfId="3094" priority="235">
      <formula>P25&lt;1.8</formula>
    </cfRule>
    <cfRule type="expression" dxfId="3093" priority="236">
      <formula>P25&gt;2.2</formula>
    </cfRule>
  </conditionalFormatting>
  <conditionalFormatting sqref="W25">
    <cfRule type="cellIs" dxfId="3092" priority="229" operator="between">
      <formula>1.8</formula>
      <formula>1.899</formula>
    </cfRule>
    <cfRule type="cellIs" dxfId="3091" priority="230" operator="between">
      <formula>2.11</formula>
      <formula>2.2</formula>
    </cfRule>
    <cfRule type="expression" dxfId="3090" priority="231">
      <formula>W25&lt;1.8</formula>
    </cfRule>
    <cfRule type="expression" dxfId="3089" priority="232">
      <formula>W25&gt;2.2</formula>
    </cfRule>
  </conditionalFormatting>
  <conditionalFormatting sqref="AD25">
    <cfRule type="cellIs" dxfId="3088" priority="225" operator="between">
      <formula>1.8</formula>
      <formula>1.899</formula>
    </cfRule>
    <cfRule type="cellIs" dxfId="3087" priority="226" operator="between">
      <formula>2.11</formula>
      <formula>2.2</formula>
    </cfRule>
    <cfRule type="expression" dxfId="3086" priority="227">
      <formula>AD25&lt;1.8</formula>
    </cfRule>
    <cfRule type="expression" dxfId="3085" priority="228">
      <formula>AD25&gt;2.2</formula>
    </cfRule>
  </conditionalFormatting>
  <conditionalFormatting sqref="AK25">
    <cfRule type="cellIs" dxfId="3084" priority="221" operator="between">
      <formula>1.8</formula>
      <formula>1.899</formula>
    </cfRule>
    <cfRule type="cellIs" dxfId="3083" priority="222" operator="between">
      <formula>2.11</formula>
      <formula>2.2</formula>
    </cfRule>
    <cfRule type="expression" dxfId="3082" priority="223">
      <formula>AK25&lt;1.8</formula>
    </cfRule>
    <cfRule type="expression" dxfId="3081" priority="224">
      <formula>AK25&gt;2.2</formula>
    </cfRule>
  </conditionalFormatting>
  <conditionalFormatting sqref="AR25">
    <cfRule type="cellIs" dxfId="3080" priority="217" operator="between">
      <formula>1.8</formula>
      <formula>1.899</formula>
    </cfRule>
    <cfRule type="cellIs" dxfId="3079" priority="218" operator="between">
      <formula>2.11</formula>
      <formula>2.2</formula>
    </cfRule>
    <cfRule type="expression" dxfId="3078" priority="219">
      <formula>AR25&lt;1.8</formula>
    </cfRule>
    <cfRule type="expression" dxfId="3077" priority="220">
      <formula>AR25&gt;2.2</formula>
    </cfRule>
  </conditionalFormatting>
  <conditionalFormatting sqref="P24">
    <cfRule type="cellIs" dxfId="3076" priority="213" operator="between">
      <formula>5</formula>
      <formula>6.49</formula>
    </cfRule>
    <cfRule type="cellIs" dxfId="3075" priority="214" operator="between">
      <formula>8.51</formula>
      <formula>10</formula>
    </cfRule>
    <cfRule type="expression" dxfId="3074" priority="215">
      <formula>P24&lt;5</formula>
    </cfRule>
    <cfRule type="expression" dxfId="3073" priority="216">
      <formula>P24&gt;10</formula>
    </cfRule>
  </conditionalFormatting>
  <conditionalFormatting sqref="W24">
    <cfRule type="cellIs" dxfId="3072" priority="209" operator="between">
      <formula>5</formula>
      <formula>6.49</formula>
    </cfRule>
    <cfRule type="cellIs" dxfId="3071" priority="210" operator="between">
      <formula>8.51</formula>
      <formula>10</formula>
    </cfRule>
    <cfRule type="expression" dxfId="3070" priority="211">
      <formula>W24&lt;5</formula>
    </cfRule>
    <cfRule type="expression" dxfId="3069" priority="212">
      <formula>W24&gt;10</formula>
    </cfRule>
  </conditionalFormatting>
  <conditionalFormatting sqref="W24">
    <cfRule type="cellIs" dxfId="3068" priority="205" operator="between">
      <formula>5</formula>
      <formula>6.49</formula>
    </cfRule>
    <cfRule type="cellIs" dxfId="3067" priority="206" operator="between">
      <formula>8.51</formula>
      <formula>10</formula>
    </cfRule>
    <cfRule type="expression" dxfId="3066" priority="207">
      <formula>W24&lt;5</formula>
    </cfRule>
    <cfRule type="expression" dxfId="3065" priority="208">
      <formula>W24&gt;10</formula>
    </cfRule>
  </conditionalFormatting>
  <conditionalFormatting sqref="AD24">
    <cfRule type="cellIs" dxfId="3064" priority="201" operator="between">
      <formula>5</formula>
      <formula>6.49</formula>
    </cfRule>
    <cfRule type="cellIs" dxfId="3063" priority="202" operator="between">
      <formula>8.51</formula>
      <formula>10</formula>
    </cfRule>
    <cfRule type="expression" dxfId="3062" priority="203">
      <formula>AD24&lt;5</formula>
    </cfRule>
    <cfRule type="expression" dxfId="3061" priority="204">
      <formula>AD24&gt;10</formula>
    </cfRule>
  </conditionalFormatting>
  <conditionalFormatting sqref="AD24">
    <cfRule type="cellIs" dxfId="3060" priority="197" operator="between">
      <formula>5</formula>
      <formula>6.49</formula>
    </cfRule>
    <cfRule type="cellIs" dxfId="3059" priority="198" operator="between">
      <formula>8.51</formula>
      <formula>10</formula>
    </cfRule>
    <cfRule type="expression" dxfId="3058" priority="199">
      <formula>AD24&lt;5</formula>
    </cfRule>
    <cfRule type="expression" dxfId="3057" priority="200">
      <formula>AD24&gt;10</formula>
    </cfRule>
  </conditionalFormatting>
  <conditionalFormatting sqref="AK24">
    <cfRule type="cellIs" dxfId="3056" priority="193" operator="between">
      <formula>5</formula>
      <formula>6.49</formula>
    </cfRule>
    <cfRule type="cellIs" dxfId="3055" priority="194" operator="between">
      <formula>8.51</formula>
      <formula>10</formula>
    </cfRule>
    <cfRule type="expression" dxfId="3054" priority="195">
      <formula>AK24&lt;5</formula>
    </cfRule>
    <cfRule type="expression" dxfId="3053" priority="196">
      <formula>AK24&gt;10</formula>
    </cfRule>
  </conditionalFormatting>
  <conditionalFormatting sqref="AK24">
    <cfRule type="cellIs" dxfId="3052" priority="189" operator="between">
      <formula>5</formula>
      <formula>6.49</formula>
    </cfRule>
    <cfRule type="cellIs" dxfId="3051" priority="190" operator="between">
      <formula>8.51</formula>
      <formula>10</formula>
    </cfRule>
    <cfRule type="expression" dxfId="3050" priority="191">
      <formula>AK24&lt;5</formula>
    </cfRule>
    <cfRule type="expression" dxfId="3049" priority="192">
      <formula>AK24&gt;10</formula>
    </cfRule>
  </conditionalFormatting>
  <conditionalFormatting sqref="AR24">
    <cfRule type="cellIs" dxfId="3048" priority="185" operator="between">
      <formula>5</formula>
      <formula>6.49</formula>
    </cfRule>
    <cfRule type="cellIs" dxfId="3047" priority="186" operator="between">
      <formula>8.51</formula>
      <formula>10</formula>
    </cfRule>
    <cfRule type="expression" dxfId="3046" priority="187">
      <formula>AR24&lt;5</formula>
    </cfRule>
    <cfRule type="expression" dxfId="3045" priority="188">
      <formula>AR24&gt;10</formula>
    </cfRule>
  </conditionalFormatting>
  <conditionalFormatting sqref="AR24">
    <cfRule type="cellIs" dxfId="3044" priority="181" operator="between">
      <formula>5</formula>
      <formula>6.49</formula>
    </cfRule>
    <cfRule type="cellIs" dxfId="3043" priority="182" operator="between">
      <formula>8.51</formula>
      <formula>10</formula>
    </cfRule>
    <cfRule type="expression" dxfId="3042" priority="183">
      <formula>AR24&lt;5</formula>
    </cfRule>
    <cfRule type="expression" dxfId="3041" priority="184">
      <formula>AR24&gt;10</formula>
    </cfRule>
  </conditionalFormatting>
  <conditionalFormatting sqref="I95">
    <cfRule type="cellIs" dxfId="3040" priority="133" operator="between">
      <formula>3</formula>
      <formula>4.99</formula>
    </cfRule>
    <cfRule type="cellIs" dxfId="3039" priority="134" operator="between">
      <formula>7.01</formula>
      <formula>9</formula>
    </cfRule>
    <cfRule type="expression" dxfId="3038" priority="135">
      <formula>I95&lt;3</formula>
    </cfRule>
    <cfRule type="expression" dxfId="3037" priority="136">
      <formula>I95&gt;9</formula>
    </cfRule>
  </conditionalFormatting>
  <conditionalFormatting sqref="P95">
    <cfRule type="cellIs" dxfId="3036" priority="109" operator="between">
      <formula>5</formula>
      <formula>5.499</formula>
    </cfRule>
    <cfRule type="cellIs" dxfId="3035" priority="110" operator="between">
      <formula>6.51</formula>
      <formula>8</formula>
    </cfRule>
    <cfRule type="expression" dxfId="3034" priority="111">
      <formula>P95&lt;5</formula>
    </cfRule>
    <cfRule type="expression" dxfId="3033" priority="112">
      <formula>P95&gt;8</formula>
    </cfRule>
  </conditionalFormatting>
  <conditionalFormatting sqref="W95">
    <cfRule type="cellIs" dxfId="3032" priority="101" operator="between">
      <formula>5</formula>
      <formula>5.499</formula>
    </cfRule>
    <cfRule type="cellIs" dxfId="3031" priority="102" operator="between">
      <formula>6.51</formula>
      <formula>8</formula>
    </cfRule>
    <cfRule type="expression" dxfId="3030" priority="103">
      <formula>W95&lt;5</formula>
    </cfRule>
    <cfRule type="expression" dxfId="3029" priority="104">
      <formula>W95&gt;8</formula>
    </cfRule>
  </conditionalFormatting>
  <conditionalFormatting sqref="AD95">
    <cfRule type="cellIs" dxfId="3028" priority="93" operator="between">
      <formula>5</formula>
      <formula>5.499</formula>
    </cfRule>
    <cfRule type="cellIs" dxfId="3027" priority="94" operator="between">
      <formula>6.51</formula>
      <formula>8</formula>
    </cfRule>
    <cfRule type="expression" dxfId="3026" priority="95">
      <formula>AD95&lt;5</formula>
    </cfRule>
    <cfRule type="expression" dxfId="3025" priority="96">
      <formula>AD95&gt;8</formula>
    </cfRule>
  </conditionalFormatting>
  <conditionalFormatting sqref="AK95">
    <cfRule type="cellIs" dxfId="3024" priority="85" operator="between">
      <formula>5</formula>
      <formula>5.499</formula>
    </cfRule>
    <cfRule type="cellIs" dxfId="3023" priority="86" operator="between">
      <formula>6.51</formula>
      <formula>8</formula>
    </cfRule>
    <cfRule type="expression" dxfId="3022" priority="87">
      <formula>AK95&lt;5</formula>
    </cfRule>
    <cfRule type="expression" dxfId="3021" priority="88">
      <formula>AK95&gt;8</formula>
    </cfRule>
  </conditionalFormatting>
  <conditionalFormatting sqref="AR95">
    <cfRule type="cellIs" dxfId="3020" priority="77" operator="between">
      <formula>5</formula>
      <formula>5.499</formula>
    </cfRule>
    <cfRule type="cellIs" dxfId="3019" priority="78" operator="between">
      <formula>6.51</formula>
      <formula>8</formula>
    </cfRule>
    <cfRule type="expression" dxfId="3018" priority="79">
      <formula>AR95&lt;5</formula>
    </cfRule>
    <cfRule type="expression" dxfId="3017" priority="80">
      <formula>AR95&gt;8</formula>
    </cfRule>
  </conditionalFormatting>
  <conditionalFormatting sqref="I96 AL96">
    <cfRule type="cellIs" dxfId="3016" priority="69" operator="between">
      <formula>1.8</formula>
      <formula>1.999</formula>
    </cfRule>
    <cfRule type="cellIs" dxfId="3015" priority="70" operator="between">
      <formula>2.21</formula>
      <formula>2.4</formula>
    </cfRule>
    <cfRule type="expression" dxfId="3014" priority="71">
      <formula>I96&lt;1.8</formula>
    </cfRule>
    <cfRule type="expression" dxfId="3013" priority="72">
      <formula>I96&gt;2.4</formula>
    </cfRule>
  </conditionalFormatting>
  <conditionalFormatting sqref="P96">
    <cfRule type="cellIs" dxfId="3012" priority="65" operator="between">
      <formula>1.8</formula>
      <formula>1.999</formula>
    </cfRule>
    <cfRule type="cellIs" dxfId="3011" priority="66" operator="between">
      <formula>2.21</formula>
      <formula>2.4</formula>
    </cfRule>
    <cfRule type="expression" dxfId="3010" priority="67">
      <formula>P96&lt;1.8</formula>
    </cfRule>
    <cfRule type="expression" dxfId="3009" priority="68">
      <formula>P96&gt;2.4</formula>
    </cfRule>
  </conditionalFormatting>
  <conditionalFormatting sqref="W96">
    <cfRule type="cellIs" dxfId="3008" priority="61" operator="between">
      <formula>1.8</formula>
      <formula>1.999</formula>
    </cfRule>
    <cfRule type="cellIs" dxfId="3007" priority="62" operator="between">
      <formula>2.21</formula>
      <formula>2.4</formula>
    </cfRule>
    <cfRule type="expression" dxfId="3006" priority="63">
      <formula>W96&lt;1.8</formula>
    </cfRule>
    <cfRule type="expression" dxfId="3005" priority="64">
      <formula>W96&gt;2.4</formula>
    </cfRule>
  </conditionalFormatting>
  <conditionalFormatting sqref="AD96">
    <cfRule type="cellIs" dxfId="3004" priority="57" operator="between">
      <formula>1.8</formula>
      <formula>1.999</formula>
    </cfRule>
    <cfRule type="cellIs" dxfId="3003" priority="58" operator="between">
      <formula>2.21</formula>
      <formula>2.4</formula>
    </cfRule>
    <cfRule type="expression" dxfId="3002" priority="59">
      <formula>AD96&lt;1.8</formula>
    </cfRule>
    <cfRule type="expression" dxfId="3001" priority="60">
      <formula>AD96&gt;2.4</formula>
    </cfRule>
  </conditionalFormatting>
  <conditionalFormatting sqref="AK96">
    <cfRule type="cellIs" dxfId="3000" priority="53" operator="between">
      <formula>1.8</formula>
      <formula>1.999</formula>
    </cfRule>
    <cfRule type="cellIs" dxfId="2999" priority="54" operator="between">
      <formula>2.21</formula>
      <formula>2.4</formula>
    </cfRule>
    <cfRule type="expression" dxfId="2998" priority="55">
      <formula>AK96&lt;1.8</formula>
    </cfRule>
    <cfRule type="expression" dxfId="2997" priority="56">
      <formula>AK96&gt;2.4</formula>
    </cfRule>
  </conditionalFormatting>
  <conditionalFormatting sqref="AR96">
    <cfRule type="cellIs" dxfId="2996" priority="49" operator="between">
      <formula>1.8</formula>
      <formula>1.999</formula>
    </cfRule>
    <cfRule type="cellIs" dxfId="2995" priority="50" operator="between">
      <formula>2.21</formula>
      <formula>2.4</formula>
    </cfRule>
    <cfRule type="expression" dxfId="2994" priority="51">
      <formula>AR96&lt;1.8</formula>
    </cfRule>
    <cfRule type="expression" dxfId="2993" priority="52">
      <formula>AR96&gt;2.4</formula>
    </cfRule>
  </conditionalFormatting>
  <conditionalFormatting sqref="P60">
    <cfRule type="cellIs" dxfId="2992" priority="45" operator="between">
      <formula>1.8</formula>
      <formula>1.999</formula>
    </cfRule>
    <cfRule type="cellIs" dxfId="2991" priority="46" operator="between">
      <formula>2.21</formula>
      <formula>2.4</formula>
    </cfRule>
    <cfRule type="expression" dxfId="2990" priority="47">
      <formula>P60&lt;1.8</formula>
    </cfRule>
    <cfRule type="expression" dxfId="2989" priority="48">
      <formula>P60&gt;2.4</formula>
    </cfRule>
  </conditionalFormatting>
  <conditionalFormatting sqref="P59:P60">
    <cfRule type="cellIs" dxfId="2988" priority="41" operator="between">
      <formula>5</formula>
      <formula>5.499</formula>
    </cfRule>
    <cfRule type="cellIs" dxfId="2987" priority="42" operator="between">
      <formula>6.51</formula>
      <formula>8</formula>
    </cfRule>
    <cfRule type="expression" dxfId="2986" priority="43">
      <formula>P59&lt;5</formula>
    </cfRule>
    <cfRule type="expression" dxfId="2985" priority="44">
      <formula>P59&gt;8</formula>
    </cfRule>
  </conditionalFormatting>
  <conditionalFormatting sqref="W60">
    <cfRule type="cellIs" dxfId="2984" priority="37" operator="between">
      <formula>1.8</formula>
      <formula>1.999</formula>
    </cfRule>
    <cfRule type="cellIs" dxfId="2983" priority="38" operator="between">
      <formula>2.21</formula>
      <formula>2.4</formula>
    </cfRule>
    <cfRule type="expression" dxfId="2982" priority="39">
      <formula>W60&lt;1.8</formula>
    </cfRule>
    <cfRule type="expression" dxfId="2981" priority="40">
      <formula>W60&gt;2.4</formula>
    </cfRule>
  </conditionalFormatting>
  <conditionalFormatting sqref="W59:W60">
    <cfRule type="cellIs" dxfId="2980" priority="33" operator="between">
      <formula>5</formula>
      <formula>5.499</formula>
    </cfRule>
    <cfRule type="cellIs" dxfId="2979" priority="34" operator="between">
      <formula>6.51</formula>
      <formula>8</formula>
    </cfRule>
    <cfRule type="expression" dxfId="2978" priority="35">
      <formula>W59&lt;5</formula>
    </cfRule>
    <cfRule type="expression" dxfId="2977" priority="36">
      <formula>W59&gt;8</formula>
    </cfRule>
  </conditionalFormatting>
  <conditionalFormatting sqref="AD59">
    <cfRule type="cellIs" dxfId="2976" priority="29" operator="between">
      <formula>5</formula>
      <formula>5.499</formula>
    </cfRule>
    <cfRule type="cellIs" dxfId="2975" priority="30" operator="between">
      <formula>6.51</formula>
      <formula>8</formula>
    </cfRule>
    <cfRule type="expression" dxfId="2974" priority="31">
      <formula>AD59&lt;5</formula>
    </cfRule>
    <cfRule type="expression" dxfId="2973" priority="32">
      <formula>AD59&gt;8</formula>
    </cfRule>
  </conditionalFormatting>
  <conditionalFormatting sqref="AD60">
    <cfRule type="cellIs" dxfId="2972" priority="25" operator="between">
      <formula>1.8</formula>
      <formula>1.999</formula>
    </cfRule>
    <cfRule type="cellIs" dxfId="2971" priority="26" operator="between">
      <formula>2.21</formula>
      <formula>2.4</formula>
    </cfRule>
    <cfRule type="expression" dxfId="2970" priority="27">
      <formula>AD60&lt;1.8</formula>
    </cfRule>
    <cfRule type="expression" dxfId="2969" priority="28">
      <formula>AD60&gt;2.4</formula>
    </cfRule>
  </conditionalFormatting>
  <conditionalFormatting sqref="AD60">
    <cfRule type="cellIs" dxfId="2968" priority="21" operator="between">
      <formula>1.8</formula>
      <formula>1.999</formula>
    </cfRule>
    <cfRule type="cellIs" dxfId="2967" priority="22" operator="between">
      <formula>2.21</formula>
      <formula>2.4</formula>
    </cfRule>
    <cfRule type="expression" dxfId="2966" priority="23">
      <formula>AD60&lt;1.8</formula>
    </cfRule>
    <cfRule type="expression" dxfId="2965" priority="24">
      <formula>AD60&gt;2.4</formula>
    </cfRule>
  </conditionalFormatting>
  <conditionalFormatting sqref="AD59:AD60">
    <cfRule type="cellIs" dxfId="2964" priority="17" operator="between">
      <formula>5</formula>
      <formula>5.499</formula>
    </cfRule>
    <cfRule type="cellIs" dxfId="2963" priority="18" operator="between">
      <formula>6.51</formula>
      <formula>8</formula>
    </cfRule>
    <cfRule type="expression" dxfId="2962" priority="19">
      <formula>AD59&lt;5</formula>
    </cfRule>
    <cfRule type="expression" dxfId="2961" priority="20">
      <formula>AD59&gt;8</formula>
    </cfRule>
  </conditionalFormatting>
  <conditionalFormatting sqref="AR59">
    <cfRule type="cellIs" dxfId="2960" priority="13" operator="between">
      <formula>5</formula>
      <formula>5.499</formula>
    </cfRule>
    <cfRule type="cellIs" dxfId="2959" priority="14" operator="between">
      <formula>6.51</formula>
      <formula>8</formula>
    </cfRule>
    <cfRule type="expression" dxfId="2958" priority="15">
      <formula>AR59&lt;5</formula>
    </cfRule>
    <cfRule type="expression" dxfId="2957" priority="16">
      <formula>AR59&gt;8</formula>
    </cfRule>
  </conditionalFormatting>
  <conditionalFormatting sqref="AR60">
    <cfRule type="cellIs" dxfId="2956" priority="9" operator="between">
      <formula>1.8</formula>
      <formula>1.999</formula>
    </cfRule>
    <cfRule type="cellIs" dxfId="2955" priority="10" operator="between">
      <formula>2.21</formula>
      <formula>2.4</formula>
    </cfRule>
    <cfRule type="expression" dxfId="2954" priority="11">
      <formula>AR60&lt;1.8</formula>
    </cfRule>
    <cfRule type="expression" dxfId="2953" priority="12">
      <formula>AR60&gt;2.4</formula>
    </cfRule>
  </conditionalFormatting>
  <conditionalFormatting sqref="AR60">
    <cfRule type="cellIs" dxfId="2952" priority="5" operator="between">
      <formula>1.8</formula>
      <formula>1.999</formula>
    </cfRule>
    <cfRule type="cellIs" dxfId="2951" priority="6" operator="between">
      <formula>2.21</formula>
      <formula>2.4</formula>
    </cfRule>
    <cfRule type="expression" dxfId="2950" priority="7">
      <formula>AR60&lt;1.8</formula>
    </cfRule>
    <cfRule type="expression" dxfId="2949" priority="8">
      <formula>AR60&gt;2.4</formula>
    </cfRule>
  </conditionalFormatting>
  <conditionalFormatting sqref="AR59:AR60">
    <cfRule type="cellIs" dxfId="2948" priority="1" operator="between">
      <formula>5</formula>
      <formula>5.499</formula>
    </cfRule>
    <cfRule type="cellIs" dxfId="2947" priority="2" operator="between">
      <formula>6.51</formula>
      <formula>8</formula>
    </cfRule>
    <cfRule type="expression" dxfId="2946" priority="3">
      <formula>AR59&lt;5</formula>
    </cfRule>
    <cfRule type="expression" dxfId="2945" priority="4">
      <formula>AR59&gt;8</formula>
    </cfRule>
  </conditionalFormatting>
  <hyperlinks>
    <hyperlink ref="BA20" r:id="rId1"/>
    <hyperlink ref="BA22" r:id="rId2"/>
    <hyperlink ref="BA23" r:id="rId3"/>
    <hyperlink ref="BA55" r:id="rId4"/>
    <hyperlink ref="BA57" r:id="rId5"/>
    <hyperlink ref="BA58" r:id="rId6"/>
    <hyperlink ref="BA90:BA93" r:id="rId7" display="D:\2. Data hoa nghiem\1. PP HÓA NGHIỆM CÁC BỒN-XLBM\HCL đặc, loãng-XT.pdf"/>
    <hyperlink ref="BA18" r:id="rId8"/>
    <hyperlink ref="BA6:BA14" r:id="rId9" display="D:\2. Data hoa nghiem\1. PP HÓA NGHIỆM CÁC BỒN-XLBM\JASCO-XB,ĐG-XL-1E.pdf"/>
    <hyperlink ref="BA17" r:id="rId10"/>
    <hyperlink ref="BA52" r:id="rId11"/>
    <hyperlink ref="BA87" r:id="rId12"/>
    <hyperlink ref="BA99" r:id="rId13"/>
    <hyperlink ref="BA100" r:id="rId14"/>
    <hyperlink ref="BA16" r:id="rId15"/>
    <hyperlink ref="BA51" r:id="rId16"/>
    <hyperlink ref="BA86" r:id="rId17"/>
    <hyperlink ref="BA43:BA49" r:id="rId18" display="..\..\..\2. Data hoa nghiem\1. PP HÓA NGHIỆM CÁC BỒN-XLBM\XB,ĐG-1F,XT.pdf"/>
    <hyperlink ref="BA78:BA84" r:id="rId19" display="..\..\..\2. Data hoa nghiem\1. PP HÓA NGHIỆM CÁC BỒN-XLBM\XB,ĐG-1F,XT.pdf"/>
    <hyperlink ref="BA88" r:id="rId20"/>
    <hyperlink ref="BA53" r:id="rId21"/>
    <hyperlink ref="BA94" r:id="rId22"/>
    <hyperlink ref="BA95" r:id="rId23"/>
    <hyperlink ref="BA24" r:id="rId24"/>
  </hyperlinks>
  <printOptions horizontalCentered="1"/>
  <pageMargins left="0.26" right="0.16" top="0.3" bottom="0.45" header="0.17" footer="0.27559055118110237"/>
  <pageSetup paperSize="9" scale="42" orientation="portrait" verticalDpi="300" r:id="rId25"/>
  <headerFooter alignWithMargins="0"/>
  <drawing r:id="rId26"/>
</worksheet>
</file>

<file path=xl/worksheets/sheet19.xml><?xml version="1.0" encoding="utf-8"?>
<worksheet xmlns="http://schemas.openxmlformats.org/spreadsheetml/2006/main" xmlns:r="http://schemas.openxmlformats.org/officeDocument/2006/relationships">
  <sheetPr codeName="Sheet8">
    <tabColor rgb="FFFF0000"/>
  </sheetPr>
  <dimension ref="A1:AM40"/>
  <sheetViews>
    <sheetView zoomScale="55" zoomScaleNormal="55" zoomScaleSheetLayoutView="70" workbookViewId="0">
      <selection activeCell="A21" sqref="A21:XFD21"/>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4.875" style="15" customWidth="1"/>
    <col min="24" max="24" width="7.875" style="15" customWidth="1"/>
    <col min="25" max="25" width="3.75" style="15" customWidth="1"/>
    <col min="26" max="26" width="9" style="15"/>
    <col min="27" max="27" width="9.875" style="15" customWidth="1"/>
    <col min="28" max="28" width="12.875" style="15" customWidth="1"/>
    <col min="29" max="29" width="6" style="15" customWidth="1"/>
    <col min="30" max="30" width="12.125" style="15" customWidth="1"/>
    <col min="31" max="31" width="5.5" style="15" customWidth="1"/>
    <col min="32" max="32" width="11.5" style="15" customWidth="1"/>
    <col min="33" max="33" width="6.75" style="15" customWidth="1"/>
    <col min="34" max="34" width="11.625" style="15" customWidth="1"/>
    <col min="35" max="35" width="5.625" style="15" customWidth="1"/>
    <col min="36" max="36" width="13.75" style="15" customWidth="1"/>
    <col min="37" max="37" width="5" style="15" customWidth="1"/>
    <col min="38" max="38" width="12.125" style="15" customWidth="1"/>
    <col min="39" max="39" width="7.375" style="15" customWidth="1"/>
    <col min="40" max="16384" width="9" style="15"/>
  </cols>
  <sheetData>
    <row r="1" spans="1:39" ht="28.5" customHeight="1">
      <c r="A1" s="3130" t="s">
        <v>568</v>
      </c>
      <c r="B1" s="3130"/>
      <c r="C1" s="3130"/>
      <c r="D1" s="3130"/>
      <c r="E1" s="3130"/>
      <c r="F1" s="3130"/>
      <c r="G1" s="3130"/>
      <c r="H1" s="3130"/>
      <c r="I1" s="3130"/>
      <c r="J1" s="3130"/>
      <c r="K1" s="3130"/>
      <c r="L1" s="3130"/>
      <c r="M1" s="3130"/>
      <c r="N1" s="3130"/>
      <c r="O1" s="3130"/>
      <c r="P1" s="3130"/>
      <c r="Q1" s="3130"/>
      <c r="R1" s="3130"/>
      <c r="S1" s="1048"/>
      <c r="T1" s="1048"/>
      <c r="U1" s="1534" t="s">
        <v>1376</v>
      </c>
      <c r="W1" s="1530"/>
      <c r="X1" s="1530"/>
      <c r="Y1" s="1706"/>
      <c r="Z1" s="1912"/>
      <c r="AA1" s="1706"/>
      <c r="AB1" s="1706"/>
      <c r="AC1" s="1706"/>
      <c r="AD1" s="1706"/>
      <c r="AE1" s="1530"/>
      <c r="AF1" s="1530"/>
      <c r="AG1" s="1530"/>
      <c r="AH1" s="1530"/>
      <c r="AI1" s="1530"/>
      <c r="AJ1" s="1530"/>
      <c r="AK1" s="1530"/>
      <c r="AL1" s="1530"/>
      <c r="AM1" s="1535" t="s">
        <v>1377</v>
      </c>
    </row>
    <row r="2" spans="1:39" ht="47.25" customHeight="1">
      <c r="A2" s="2865" t="s">
        <v>220</v>
      </c>
      <c r="B2" s="2865"/>
      <c r="C2" s="2865"/>
      <c r="D2" s="2865"/>
      <c r="E2" s="2865"/>
      <c r="F2" s="2865"/>
      <c r="G2" s="2865"/>
      <c r="H2" s="2865"/>
      <c r="I2" s="2865"/>
      <c r="J2" s="2865"/>
      <c r="K2" s="2865"/>
      <c r="L2" s="2865"/>
      <c r="M2" s="2865"/>
      <c r="N2" s="2865"/>
      <c r="O2" s="2865"/>
      <c r="P2" s="2865"/>
      <c r="Q2" s="2865"/>
      <c r="R2" s="2866"/>
      <c r="S2" s="2863" t="s">
        <v>89</v>
      </c>
      <c r="T2" s="2864"/>
      <c r="U2" s="1527" t="s">
        <v>1371</v>
      </c>
      <c r="W2" s="1529"/>
      <c r="X2" s="1529"/>
      <c r="Y2" s="1529"/>
      <c r="Z2" s="1529"/>
      <c r="AA2" s="1529"/>
      <c r="AB2" s="1596"/>
      <c r="AC2" s="1596"/>
      <c r="AD2" s="1596"/>
      <c r="AE2" s="1596"/>
      <c r="AF2" s="1529"/>
      <c r="AG2" s="1529"/>
      <c r="AH2" s="1529"/>
      <c r="AI2" s="1529"/>
      <c r="AJ2" s="1529"/>
      <c r="AK2" s="1529"/>
      <c r="AL2" s="1529"/>
      <c r="AM2" s="1529"/>
    </row>
    <row r="3" spans="1:39" ht="32.25" customHeight="1">
      <c r="B3" s="1498" t="s">
        <v>216</v>
      </c>
      <c r="C3" s="1499"/>
      <c r="E3" s="3141" t="str">
        <f>MENU!$AC$9</f>
        <v>Thứ 3,</v>
      </c>
      <c r="F3" s="3141"/>
      <c r="G3" s="3140" t="str">
        <f>MENU!$AD$9</f>
        <v>2024/01/09</v>
      </c>
      <c r="H3" s="3140"/>
      <c r="I3" s="3131"/>
      <c r="J3" s="3132"/>
      <c r="K3" s="3132"/>
      <c r="L3" s="3132"/>
      <c r="M3" s="1054"/>
      <c r="N3" s="1054"/>
      <c r="O3" s="1054"/>
      <c r="P3" s="1054"/>
      <c r="Q3" s="1054"/>
      <c r="R3" s="1054"/>
      <c r="S3" s="3133" t="str">
        <f>'1. XL-1E kh'!AD3:AD3</f>
        <v>Trang</v>
      </c>
      <c r="T3" s="3134"/>
      <c r="U3" s="1056"/>
      <c r="X3" s="1498" t="s">
        <v>216</v>
      </c>
      <c r="Y3" s="1499"/>
      <c r="Z3" s="1930"/>
      <c r="AA3" s="1930" t="str">
        <f>MENU!$AC$9</f>
        <v>Thứ 3,</v>
      </c>
      <c r="AB3" s="3140" t="str">
        <f>MENU!$AD$9</f>
        <v>2024/01/09</v>
      </c>
      <c r="AC3" s="3140"/>
      <c r="AD3" s="1532"/>
      <c r="AE3" s="1532"/>
      <c r="AF3" s="1532"/>
      <c r="AG3" s="1532"/>
      <c r="AH3" s="1532"/>
      <c r="AI3" s="1532"/>
      <c r="AJ3" s="1532"/>
      <c r="AK3" s="1532"/>
      <c r="AL3" s="1532"/>
      <c r="AM3" s="1468"/>
    </row>
    <row r="4" spans="1:39" s="16" customFormat="1" ht="35.25" customHeight="1">
      <c r="A4" s="3118" t="s">
        <v>7</v>
      </c>
      <c r="B4" s="2877" t="s">
        <v>77</v>
      </c>
      <c r="C4" s="2878"/>
      <c r="D4" s="2878"/>
      <c r="E4" s="2879"/>
      <c r="F4" s="3135" t="s">
        <v>125</v>
      </c>
      <c r="G4" s="2922" t="s">
        <v>1325</v>
      </c>
      <c r="H4" s="2920" t="s">
        <v>1317</v>
      </c>
      <c r="I4" s="2937">
        <v>0.30208333333333331</v>
      </c>
      <c r="J4" s="2904"/>
      <c r="K4" s="2904"/>
      <c r="L4" s="2905"/>
      <c r="M4" s="2903">
        <v>0.46875</v>
      </c>
      <c r="N4" s="2904"/>
      <c r="O4" s="2904"/>
      <c r="P4" s="2905"/>
      <c r="Q4" s="2903">
        <v>0.63541666666666663</v>
      </c>
      <c r="R4" s="2904"/>
      <c r="S4" s="2904"/>
      <c r="T4" s="2905"/>
      <c r="U4" s="1057" t="s">
        <v>91</v>
      </c>
      <c r="W4" s="3118" t="s">
        <v>7</v>
      </c>
      <c r="X4" s="2877" t="s">
        <v>77</v>
      </c>
      <c r="Y4" s="2878"/>
      <c r="Z4" s="2878"/>
      <c r="AA4" s="2879"/>
      <c r="AB4" s="2903">
        <v>0.30208333333333331</v>
      </c>
      <c r="AC4" s="2937"/>
      <c r="AD4" s="2937"/>
      <c r="AE4" s="3105"/>
      <c r="AF4" s="2903">
        <v>0.46875</v>
      </c>
      <c r="AG4" s="2937"/>
      <c r="AH4" s="2937"/>
      <c r="AI4" s="3105"/>
      <c r="AJ4" s="2903">
        <v>0.63541666666666663</v>
      </c>
      <c r="AK4" s="2937"/>
      <c r="AL4" s="2937"/>
      <c r="AM4" s="3105"/>
    </row>
    <row r="5" spans="1:39" s="16" customFormat="1" ht="34.5" customHeight="1">
      <c r="A5" s="3119"/>
      <c r="B5" s="2880"/>
      <c r="C5" s="2881"/>
      <c r="D5" s="2881"/>
      <c r="E5" s="2882"/>
      <c r="F5" s="3136"/>
      <c r="G5" s="2923"/>
      <c r="H5" s="2921"/>
      <c r="I5" s="2448" t="s">
        <v>130</v>
      </c>
      <c r="J5" s="3137" t="s">
        <v>1</v>
      </c>
      <c r="K5" s="3138"/>
      <c r="L5" s="3139"/>
      <c r="M5" s="55" t="s">
        <v>130</v>
      </c>
      <c r="N5" s="3137" t="s">
        <v>1</v>
      </c>
      <c r="O5" s="3138"/>
      <c r="P5" s="3139"/>
      <c r="Q5" s="55" t="s">
        <v>130</v>
      </c>
      <c r="R5" s="2909" t="s">
        <v>1</v>
      </c>
      <c r="S5" s="2910"/>
      <c r="T5" s="2911"/>
      <c r="U5" s="4" t="s">
        <v>92</v>
      </c>
      <c r="W5" s="3119"/>
      <c r="X5" s="2880"/>
      <c r="Y5" s="2881"/>
      <c r="Z5" s="2881"/>
      <c r="AA5" s="2882"/>
      <c r="AB5" s="3108" t="s">
        <v>1468</v>
      </c>
      <c r="AC5" s="3109"/>
      <c r="AD5" s="3107" t="s">
        <v>1501</v>
      </c>
      <c r="AE5" s="2905"/>
      <c r="AF5" s="3108" t="s">
        <v>1468</v>
      </c>
      <c r="AG5" s="3109"/>
      <c r="AH5" s="3107" t="s">
        <v>1501</v>
      </c>
      <c r="AI5" s="2905"/>
      <c r="AJ5" s="3108" t="s">
        <v>1468</v>
      </c>
      <c r="AK5" s="3109"/>
      <c r="AL5" s="3107" t="s">
        <v>1501</v>
      </c>
      <c r="AM5" s="2905"/>
    </row>
    <row r="6" spans="1:39" ht="33.75" customHeight="1">
      <c r="A6" s="3118">
        <v>1</v>
      </c>
      <c r="B6" s="2877" t="s">
        <v>132</v>
      </c>
      <c r="C6" s="3121"/>
      <c r="D6" s="3126" t="s">
        <v>101</v>
      </c>
      <c r="E6" s="3127"/>
      <c r="F6" s="1072" t="s">
        <v>4</v>
      </c>
      <c r="G6" s="929" t="str">
        <f>'XM.GUI MAIL'!$E$6</f>
        <v>20~40</v>
      </c>
      <c r="H6" s="2449" t="str">
        <f>'XM.GUI MAIL'!$F$6</f>
        <v>(30±5)</v>
      </c>
      <c r="I6" s="2415">
        <f>'XM.GUI MAIL'!I6</f>
        <v>0</v>
      </c>
      <c r="J6" s="1480" t="s">
        <v>8</v>
      </c>
      <c r="K6" s="1481">
        <f>'XM.GUI MAIL'!L6</f>
        <v>0</v>
      </c>
      <c r="L6" s="1482" t="s">
        <v>9</v>
      </c>
      <c r="M6" s="1501">
        <f>'XM.GUI MAIL'!P6</f>
        <v>0</v>
      </c>
      <c r="N6" s="1480" t="s">
        <v>8</v>
      </c>
      <c r="O6" s="1481">
        <f>'XM.GUI MAIL'!S6</f>
        <v>0</v>
      </c>
      <c r="P6" s="1482" t="s">
        <v>9</v>
      </c>
      <c r="Q6" s="1501">
        <f>'XM.GUI MAIL'!W6</f>
        <v>0</v>
      </c>
      <c r="R6" s="1480" t="s">
        <v>8</v>
      </c>
      <c r="S6" s="1481">
        <f>'XM.GUI MAIL'!Z6</f>
        <v>0</v>
      </c>
      <c r="T6" s="18" t="s">
        <v>9</v>
      </c>
      <c r="U6" s="108" t="s">
        <v>40</v>
      </c>
      <c r="W6" s="3118">
        <v>1</v>
      </c>
      <c r="X6" s="2877" t="s">
        <v>132</v>
      </c>
      <c r="Y6" s="3121"/>
      <c r="Z6" s="3126" t="s">
        <v>101</v>
      </c>
      <c r="AA6" s="3127"/>
      <c r="AB6" s="2171"/>
      <c r="AC6" s="1848" t="s">
        <v>9</v>
      </c>
      <c r="AD6" s="1906"/>
      <c r="AE6" s="1907" t="s">
        <v>4</v>
      </c>
      <c r="AF6" s="2171"/>
      <c r="AG6" s="1848" t="s">
        <v>9</v>
      </c>
      <c r="AH6" s="1906"/>
      <c r="AI6" s="1907" t="s">
        <v>4</v>
      </c>
      <c r="AJ6" s="2171"/>
      <c r="AK6" s="1848" t="s">
        <v>9</v>
      </c>
      <c r="AL6" s="1906"/>
      <c r="AM6" s="1907" t="s">
        <v>4</v>
      </c>
    </row>
    <row r="7" spans="1:39" ht="33.75" customHeight="1">
      <c r="A7" s="3120"/>
      <c r="B7" s="3122"/>
      <c r="C7" s="3123"/>
      <c r="D7" s="3108" t="s">
        <v>102</v>
      </c>
      <c r="E7" s="3111"/>
      <c r="F7" s="1072" t="s">
        <v>56</v>
      </c>
      <c r="G7" s="929" t="s">
        <v>103</v>
      </c>
      <c r="H7" s="2449"/>
      <c r="I7" s="2416"/>
      <c r="J7" s="1099" t="s">
        <v>8</v>
      </c>
      <c r="K7" s="60">
        <f>K6/25*840/1000</f>
        <v>0</v>
      </c>
      <c r="L7" s="59" t="s">
        <v>10</v>
      </c>
      <c r="M7" s="1783"/>
      <c r="N7" s="1099" t="s">
        <v>8</v>
      </c>
      <c r="O7" s="60">
        <f>O6/25*840/1000</f>
        <v>0</v>
      </c>
      <c r="P7" s="59" t="s">
        <v>10</v>
      </c>
      <c r="Q7" s="1783"/>
      <c r="R7" s="1099" t="s">
        <v>8</v>
      </c>
      <c r="S7" s="60">
        <f>S6/25*840/1000</f>
        <v>0</v>
      </c>
      <c r="T7" s="59" t="s">
        <v>10</v>
      </c>
      <c r="U7" s="108"/>
      <c r="W7" s="3120"/>
      <c r="X7" s="3122"/>
      <c r="Y7" s="3123"/>
      <c r="Z7" s="3108" t="s">
        <v>102</v>
      </c>
      <c r="AA7" s="3111"/>
      <c r="AB7" s="2171"/>
      <c r="AC7" s="1848" t="s">
        <v>10</v>
      </c>
      <c r="AD7" s="1906"/>
      <c r="AE7" s="1867"/>
      <c r="AF7" s="2171"/>
      <c r="AG7" s="1848" t="s">
        <v>10</v>
      </c>
      <c r="AH7" s="1906"/>
      <c r="AI7" s="1867"/>
      <c r="AJ7" s="2171"/>
      <c r="AK7" s="1848" t="s">
        <v>10</v>
      </c>
      <c r="AL7" s="1906"/>
      <c r="AM7" s="1867"/>
    </row>
    <row r="8" spans="1:39" ht="33.75" customHeight="1">
      <c r="A8" s="3119"/>
      <c r="B8" s="3124"/>
      <c r="C8" s="3125"/>
      <c r="D8" s="3108" t="s">
        <v>104</v>
      </c>
      <c r="E8" s="3111"/>
      <c r="F8" s="1072" t="s">
        <v>56</v>
      </c>
      <c r="G8" s="929" t="s">
        <v>103</v>
      </c>
      <c r="H8" s="2449"/>
      <c r="I8" s="2416"/>
      <c r="J8" s="1099" t="s">
        <v>8</v>
      </c>
      <c r="K8" s="60">
        <f>K7*10</f>
        <v>0</v>
      </c>
      <c r="L8" s="59" t="s">
        <v>10</v>
      </c>
      <c r="M8" s="1783"/>
      <c r="N8" s="1099" t="s">
        <v>8</v>
      </c>
      <c r="O8" s="60">
        <f>O7*10</f>
        <v>0</v>
      </c>
      <c r="P8" s="59" t="s">
        <v>10</v>
      </c>
      <c r="Q8" s="1783"/>
      <c r="R8" s="1099" t="s">
        <v>8</v>
      </c>
      <c r="S8" s="60">
        <f>S7*10</f>
        <v>0</v>
      </c>
      <c r="T8" s="59" t="s">
        <v>10</v>
      </c>
      <c r="U8" s="108"/>
      <c r="W8" s="3119"/>
      <c r="X8" s="3124"/>
      <c r="Y8" s="3125"/>
      <c r="Z8" s="3108" t="s">
        <v>104</v>
      </c>
      <c r="AA8" s="3111"/>
      <c r="AB8" s="2171"/>
      <c r="AC8" s="1848" t="s">
        <v>10</v>
      </c>
      <c r="AD8" s="1906"/>
      <c r="AE8" s="1867"/>
      <c r="AF8" s="2171"/>
      <c r="AG8" s="1848" t="s">
        <v>10</v>
      </c>
      <c r="AH8" s="1906"/>
      <c r="AI8" s="1867"/>
      <c r="AJ8" s="2171"/>
      <c r="AK8" s="1848" t="s">
        <v>10</v>
      </c>
      <c r="AL8" s="1906"/>
      <c r="AM8" s="1867"/>
    </row>
    <row r="9" spans="1:39" ht="33.75" customHeight="1">
      <c r="A9" s="3118">
        <v>2</v>
      </c>
      <c r="B9" s="2877" t="s">
        <v>133</v>
      </c>
      <c r="C9" s="3121"/>
      <c r="D9" s="3126" t="s">
        <v>101</v>
      </c>
      <c r="E9" s="3127"/>
      <c r="F9" s="1072" t="s">
        <v>4</v>
      </c>
      <c r="G9" s="929" t="str">
        <f>'XM.GUI MAIL'!$E$9</f>
        <v>20~40</v>
      </c>
      <c r="H9" s="2449" t="str">
        <f>'XM.GUI MAIL'!$F$9</f>
        <v>(30±5)</v>
      </c>
      <c r="I9" s="2415">
        <f>'XM.GUI MAIL'!I9</f>
        <v>0</v>
      </c>
      <c r="J9" s="1480" t="s">
        <v>8</v>
      </c>
      <c r="K9" s="1481">
        <f>'XM.GUI MAIL'!L9</f>
        <v>0</v>
      </c>
      <c r="L9" s="1482" t="s">
        <v>9</v>
      </c>
      <c r="M9" s="1501">
        <f>'XM.GUI MAIL'!P9</f>
        <v>0</v>
      </c>
      <c r="N9" s="1480" t="s">
        <v>8</v>
      </c>
      <c r="O9" s="1481">
        <f>'XM.GUI MAIL'!S9</f>
        <v>0</v>
      </c>
      <c r="P9" s="1482" t="s">
        <v>9</v>
      </c>
      <c r="Q9" s="1501">
        <f>'XM.GUI MAIL'!W9</f>
        <v>0</v>
      </c>
      <c r="R9" s="1480" t="s">
        <v>8</v>
      </c>
      <c r="S9" s="1481">
        <f>'XM.GUI MAIL'!Z9</f>
        <v>0</v>
      </c>
      <c r="T9" s="18" t="s">
        <v>9</v>
      </c>
      <c r="U9" s="108" t="s">
        <v>40</v>
      </c>
      <c r="W9" s="3118">
        <v>2</v>
      </c>
      <c r="X9" s="2877" t="s">
        <v>133</v>
      </c>
      <c r="Y9" s="3121"/>
      <c r="Z9" s="3126" t="s">
        <v>101</v>
      </c>
      <c r="AA9" s="3127"/>
      <c r="AB9" s="2171"/>
      <c r="AC9" s="1848" t="s">
        <v>9</v>
      </c>
      <c r="AD9" s="1906"/>
      <c r="AE9" s="1907" t="s">
        <v>4</v>
      </c>
      <c r="AF9" s="2171"/>
      <c r="AG9" s="1848" t="s">
        <v>9</v>
      </c>
      <c r="AH9" s="1906"/>
      <c r="AI9" s="1907" t="s">
        <v>4</v>
      </c>
      <c r="AJ9" s="2171"/>
      <c r="AK9" s="1848" t="s">
        <v>9</v>
      </c>
      <c r="AL9" s="1906"/>
      <c r="AM9" s="1907" t="s">
        <v>4</v>
      </c>
    </row>
    <row r="10" spans="1:39" ht="33.75" customHeight="1">
      <c r="A10" s="3120"/>
      <c r="B10" s="3122"/>
      <c r="C10" s="3123"/>
      <c r="D10" s="3108" t="s">
        <v>102</v>
      </c>
      <c r="E10" s="3111"/>
      <c r="F10" s="1072" t="s">
        <v>56</v>
      </c>
      <c r="G10" s="929" t="s">
        <v>103</v>
      </c>
      <c r="H10" s="2449"/>
      <c r="I10" s="2416"/>
      <c r="J10" s="1099" t="s">
        <v>8</v>
      </c>
      <c r="K10" s="60">
        <f>K9/25*840/1000</f>
        <v>0</v>
      </c>
      <c r="L10" s="59" t="s">
        <v>10</v>
      </c>
      <c r="M10" s="1783"/>
      <c r="N10" s="1099" t="s">
        <v>8</v>
      </c>
      <c r="O10" s="60">
        <f>O9/25*840/1000</f>
        <v>0</v>
      </c>
      <c r="P10" s="59" t="s">
        <v>10</v>
      </c>
      <c r="Q10" s="1783"/>
      <c r="R10" s="1099" t="s">
        <v>8</v>
      </c>
      <c r="S10" s="60">
        <f>S9/25*840/1000</f>
        <v>0</v>
      </c>
      <c r="T10" s="59" t="s">
        <v>10</v>
      </c>
      <c r="U10" s="108"/>
      <c r="W10" s="3120"/>
      <c r="X10" s="3122"/>
      <c r="Y10" s="3123"/>
      <c r="Z10" s="3108" t="s">
        <v>102</v>
      </c>
      <c r="AA10" s="3111"/>
      <c r="AB10" s="2171"/>
      <c r="AC10" s="1848" t="s">
        <v>10</v>
      </c>
      <c r="AD10" s="1906"/>
      <c r="AE10" s="1867"/>
      <c r="AF10" s="2171"/>
      <c r="AG10" s="1848" t="s">
        <v>10</v>
      </c>
      <c r="AH10" s="1906"/>
      <c r="AI10" s="1867"/>
      <c r="AJ10" s="2171"/>
      <c r="AK10" s="1848" t="s">
        <v>10</v>
      </c>
      <c r="AL10" s="1906"/>
      <c r="AM10" s="1867"/>
    </row>
    <row r="11" spans="1:39" ht="33.75" customHeight="1">
      <c r="A11" s="3119"/>
      <c r="B11" s="3124"/>
      <c r="C11" s="3125"/>
      <c r="D11" s="3108" t="s">
        <v>104</v>
      </c>
      <c r="E11" s="3111"/>
      <c r="F11" s="1072" t="s">
        <v>56</v>
      </c>
      <c r="G11" s="929" t="s">
        <v>103</v>
      </c>
      <c r="H11" s="2449"/>
      <c r="I11" s="2416"/>
      <c r="J11" s="1099" t="s">
        <v>8</v>
      </c>
      <c r="K11" s="60">
        <f>K10*10</f>
        <v>0</v>
      </c>
      <c r="L11" s="59" t="s">
        <v>10</v>
      </c>
      <c r="M11" s="1783"/>
      <c r="N11" s="1099" t="s">
        <v>8</v>
      </c>
      <c r="O11" s="60">
        <f>O10*10</f>
        <v>0</v>
      </c>
      <c r="P11" s="59" t="s">
        <v>10</v>
      </c>
      <c r="Q11" s="1783"/>
      <c r="R11" s="1099" t="s">
        <v>8</v>
      </c>
      <c r="S11" s="60">
        <f>S10*10</f>
        <v>0</v>
      </c>
      <c r="T11" s="59" t="s">
        <v>10</v>
      </c>
      <c r="U11" s="108"/>
      <c r="W11" s="3119"/>
      <c r="X11" s="3124"/>
      <c r="Y11" s="3125"/>
      <c r="Z11" s="3108" t="s">
        <v>104</v>
      </c>
      <c r="AA11" s="3111"/>
      <c r="AB11" s="2171"/>
      <c r="AC11" s="1848" t="s">
        <v>10</v>
      </c>
      <c r="AD11" s="1906"/>
      <c r="AE11" s="1867"/>
      <c r="AF11" s="2171"/>
      <c r="AG11" s="1848" t="s">
        <v>10</v>
      </c>
      <c r="AH11" s="1906"/>
      <c r="AI11" s="1867"/>
      <c r="AJ11" s="2171"/>
      <c r="AK11" s="1848" t="s">
        <v>10</v>
      </c>
      <c r="AL11" s="1906"/>
      <c r="AM11" s="1867"/>
    </row>
    <row r="12" spans="1:39" ht="33.75" customHeight="1">
      <c r="A12" s="3118">
        <v>3</v>
      </c>
      <c r="B12" s="3128" t="s">
        <v>134</v>
      </c>
      <c r="C12" s="3129"/>
      <c r="D12" s="3126" t="s">
        <v>101</v>
      </c>
      <c r="E12" s="3127"/>
      <c r="F12" s="1072" t="s">
        <v>4</v>
      </c>
      <c r="G12" s="929" t="str">
        <f>'XM.GUI MAIL'!$E$12</f>
        <v>60~80</v>
      </c>
      <c r="H12" s="2449" t="str">
        <f>'XM.GUI MAIL'!$F$12</f>
        <v>(70±10)</v>
      </c>
      <c r="I12" s="2417">
        <f>'XM.GUI MAIL'!I12</f>
        <v>0</v>
      </c>
      <c r="J12" s="1480" t="s">
        <v>8</v>
      </c>
      <c r="K12" s="1481">
        <f>'XM.GUI MAIL'!L12</f>
        <v>0</v>
      </c>
      <c r="L12" s="1482" t="s">
        <v>9</v>
      </c>
      <c r="M12" s="1477">
        <f>'XM.GUI MAIL'!P12</f>
        <v>0</v>
      </c>
      <c r="N12" s="1480" t="s">
        <v>8</v>
      </c>
      <c r="O12" s="1481">
        <f>'XM.GUI MAIL'!S12</f>
        <v>0</v>
      </c>
      <c r="P12" s="1482" t="s">
        <v>9</v>
      </c>
      <c r="Q12" s="1477">
        <f>'XM.GUI MAIL'!W12</f>
        <v>0</v>
      </c>
      <c r="R12" s="1480" t="s">
        <v>8</v>
      </c>
      <c r="S12" s="1481">
        <f>'XM.GUI MAIL'!Z12</f>
        <v>0</v>
      </c>
      <c r="T12" s="18" t="s">
        <v>9</v>
      </c>
      <c r="U12" s="108" t="s">
        <v>40</v>
      </c>
      <c r="W12" s="3118">
        <v>3</v>
      </c>
      <c r="X12" s="3128" t="s">
        <v>134</v>
      </c>
      <c r="Y12" s="3129"/>
      <c r="Z12" s="3126" t="s">
        <v>101</v>
      </c>
      <c r="AA12" s="3127"/>
      <c r="AB12" s="2171"/>
      <c r="AC12" s="1848" t="s">
        <v>9</v>
      </c>
      <c r="AD12" s="1906"/>
      <c r="AE12" s="1907" t="s">
        <v>4</v>
      </c>
      <c r="AF12" s="2171"/>
      <c r="AG12" s="1848" t="s">
        <v>9</v>
      </c>
      <c r="AH12" s="1906"/>
      <c r="AI12" s="1907" t="s">
        <v>4</v>
      </c>
      <c r="AJ12" s="2171"/>
      <c r="AK12" s="1848" t="s">
        <v>9</v>
      </c>
      <c r="AL12" s="1906"/>
      <c r="AM12" s="1907" t="s">
        <v>4</v>
      </c>
    </row>
    <row r="13" spans="1:39" ht="33.75" customHeight="1">
      <c r="A13" s="3119"/>
      <c r="B13" s="3129"/>
      <c r="C13" s="3129"/>
      <c r="D13" s="3108" t="s">
        <v>105</v>
      </c>
      <c r="E13" s="3111"/>
      <c r="F13" s="1072" t="s">
        <v>56</v>
      </c>
      <c r="G13" s="929" t="s">
        <v>103</v>
      </c>
      <c r="H13" s="2449"/>
      <c r="I13" s="2418"/>
      <c r="J13" s="1099" t="s">
        <v>8</v>
      </c>
      <c r="K13" s="60">
        <f>K12/25*7.5</f>
        <v>0</v>
      </c>
      <c r="L13" s="59" t="s">
        <v>10</v>
      </c>
      <c r="M13" s="1780"/>
      <c r="N13" s="1099" t="s">
        <v>8</v>
      </c>
      <c r="O13" s="60">
        <f>O12/25*7.5</f>
        <v>0</v>
      </c>
      <c r="P13" s="59" t="s">
        <v>10</v>
      </c>
      <c r="Q13" s="1780"/>
      <c r="R13" s="1099" t="s">
        <v>8</v>
      </c>
      <c r="S13" s="60">
        <f>S12/25*7.5</f>
        <v>0</v>
      </c>
      <c r="T13" s="59" t="s">
        <v>10</v>
      </c>
      <c r="U13" s="108"/>
      <c r="W13" s="3119"/>
      <c r="X13" s="3129"/>
      <c r="Y13" s="3129"/>
      <c r="Z13" s="3108" t="s">
        <v>105</v>
      </c>
      <c r="AA13" s="3111"/>
      <c r="AB13" s="2171"/>
      <c r="AC13" s="1848" t="s">
        <v>10</v>
      </c>
      <c r="AD13" s="1906"/>
      <c r="AE13" s="1867"/>
      <c r="AF13" s="2171"/>
      <c r="AG13" s="1848" t="s">
        <v>10</v>
      </c>
      <c r="AH13" s="1906"/>
      <c r="AI13" s="1867"/>
      <c r="AJ13" s="2171"/>
      <c r="AK13" s="1848" t="s">
        <v>10</v>
      </c>
      <c r="AL13" s="1906"/>
      <c r="AM13" s="1867"/>
    </row>
    <row r="14" spans="1:39" ht="33.75" customHeight="1">
      <c r="A14" s="3118">
        <v>4</v>
      </c>
      <c r="B14" s="3128" t="s">
        <v>135</v>
      </c>
      <c r="C14" s="3129"/>
      <c r="D14" s="3126" t="s">
        <v>101</v>
      </c>
      <c r="E14" s="3127"/>
      <c r="F14" s="1072" t="s">
        <v>4</v>
      </c>
      <c r="G14" s="929" t="str">
        <f>'XM.GUI MAIL'!$E$14</f>
        <v>60~80</v>
      </c>
      <c r="H14" s="2449" t="str">
        <f>'XM.GUI MAIL'!$F$14</f>
        <v>(70±10)</v>
      </c>
      <c r="I14" s="2417">
        <f>'XM.GUI MAIL'!I14</f>
        <v>0</v>
      </c>
      <c r="J14" s="1480" t="s">
        <v>8</v>
      </c>
      <c r="K14" s="1481">
        <f>'XM.GUI MAIL'!L14</f>
        <v>0</v>
      </c>
      <c r="L14" s="1482" t="s">
        <v>9</v>
      </c>
      <c r="M14" s="1477">
        <f>'XM.GUI MAIL'!P14</f>
        <v>0</v>
      </c>
      <c r="N14" s="1480" t="s">
        <v>8</v>
      </c>
      <c r="O14" s="1481">
        <f>'XM.GUI MAIL'!S14</f>
        <v>0</v>
      </c>
      <c r="P14" s="1482" t="s">
        <v>9</v>
      </c>
      <c r="Q14" s="1477">
        <f>'XM.GUI MAIL'!W14</f>
        <v>0</v>
      </c>
      <c r="R14" s="1480" t="s">
        <v>8</v>
      </c>
      <c r="S14" s="1481">
        <f>'XM.GUI MAIL'!Z14</f>
        <v>0</v>
      </c>
      <c r="T14" s="18" t="s">
        <v>9</v>
      </c>
      <c r="U14" s="108" t="s">
        <v>40</v>
      </c>
      <c r="W14" s="3118">
        <v>4</v>
      </c>
      <c r="X14" s="3128" t="s">
        <v>135</v>
      </c>
      <c r="Y14" s="3129"/>
      <c r="Z14" s="3126" t="s">
        <v>101</v>
      </c>
      <c r="AA14" s="3127"/>
      <c r="AB14" s="2171"/>
      <c r="AC14" s="1848" t="s">
        <v>9</v>
      </c>
      <c r="AD14" s="1906"/>
      <c r="AE14" s="1907" t="s">
        <v>4</v>
      </c>
      <c r="AF14" s="2171"/>
      <c r="AG14" s="1848" t="s">
        <v>9</v>
      </c>
      <c r="AH14" s="1906"/>
      <c r="AI14" s="1907" t="s">
        <v>4</v>
      </c>
      <c r="AJ14" s="2171"/>
      <c r="AK14" s="1848" t="s">
        <v>9</v>
      </c>
      <c r="AL14" s="1906"/>
      <c r="AM14" s="1907" t="s">
        <v>4</v>
      </c>
    </row>
    <row r="15" spans="1:39" ht="33.75" customHeight="1">
      <c r="A15" s="3119"/>
      <c r="B15" s="3129"/>
      <c r="C15" s="3129"/>
      <c r="D15" s="3108" t="s">
        <v>105</v>
      </c>
      <c r="E15" s="3111"/>
      <c r="F15" s="1072" t="s">
        <v>56</v>
      </c>
      <c r="G15" s="929" t="s">
        <v>103</v>
      </c>
      <c r="H15" s="2449"/>
      <c r="I15" s="2416"/>
      <c r="J15" s="1099" t="s">
        <v>8</v>
      </c>
      <c r="K15" s="60">
        <f>K14/25*7.5</f>
        <v>0</v>
      </c>
      <c r="L15" s="59" t="s">
        <v>10</v>
      </c>
      <c r="M15" s="1783"/>
      <c r="N15" s="1099" t="s">
        <v>8</v>
      </c>
      <c r="O15" s="60">
        <f>O14/25*7.5</f>
        <v>0</v>
      </c>
      <c r="P15" s="59" t="s">
        <v>10</v>
      </c>
      <c r="Q15" s="1783"/>
      <c r="R15" s="1099" t="s">
        <v>8</v>
      </c>
      <c r="S15" s="60">
        <f>S14/25*7.5</f>
        <v>0</v>
      </c>
      <c r="T15" s="59" t="s">
        <v>10</v>
      </c>
      <c r="U15" s="108"/>
      <c r="W15" s="3119"/>
      <c r="X15" s="3129"/>
      <c r="Y15" s="3129"/>
      <c r="Z15" s="3108" t="s">
        <v>105</v>
      </c>
      <c r="AA15" s="3111"/>
      <c r="AB15" s="2171"/>
      <c r="AC15" s="1848" t="s">
        <v>10</v>
      </c>
      <c r="AD15" s="1906"/>
      <c r="AE15" s="1867"/>
      <c r="AF15" s="2171"/>
      <c r="AG15" s="1848" t="s">
        <v>10</v>
      </c>
      <c r="AH15" s="1906"/>
      <c r="AI15" s="1867"/>
      <c r="AJ15" s="2171"/>
      <c r="AK15" s="1848" t="s">
        <v>10</v>
      </c>
      <c r="AL15" s="1906"/>
      <c r="AM15" s="1867"/>
    </row>
    <row r="16" spans="1:39" ht="33.75" customHeight="1">
      <c r="A16" s="3118">
        <v>5</v>
      </c>
      <c r="B16" s="3108" t="s">
        <v>80</v>
      </c>
      <c r="C16" s="3110"/>
      <c r="D16" s="3110"/>
      <c r="E16" s="3111"/>
      <c r="F16" s="1072" t="s">
        <v>4</v>
      </c>
      <c r="G16" s="1042" t="str">
        <f>'XM.GUI MAIL'!$E$16</f>
        <v>130 - 150</v>
      </c>
      <c r="H16" s="2428" t="str">
        <f>'XM.GUI MAIL'!$F$16</f>
        <v>(140±7)</v>
      </c>
      <c r="I16" s="2419">
        <f>'XM.GUI MAIL'!I16</f>
        <v>0</v>
      </c>
      <c r="J16" s="1480" t="s">
        <v>8</v>
      </c>
      <c r="K16" s="1592">
        <f>'XM.GUI MAIL'!L16</f>
        <v>0</v>
      </c>
      <c r="L16" s="1101" t="s">
        <v>9</v>
      </c>
      <c r="M16" s="1862">
        <f>'XM.GUI MAIL'!P16</f>
        <v>0</v>
      </c>
      <c r="N16" s="1480" t="s">
        <v>8</v>
      </c>
      <c r="O16" s="1592">
        <f>'XM.GUI MAIL'!S16</f>
        <v>0</v>
      </c>
      <c r="P16" s="1101" t="s">
        <v>9</v>
      </c>
      <c r="Q16" s="1862">
        <f>'XM.GUI MAIL'!W16</f>
        <v>0</v>
      </c>
      <c r="R16" s="1480" t="s">
        <v>8</v>
      </c>
      <c r="S16" s="1592">
        <f>'XM.GUI MAIL'!Z16</f>
        <v>0</v>
      </c>
      <c r="T16" s="109" t="s">
        <v>9</v>
      </c>
      <c r="U16" s="108" t="s">
        <v>41</v>
      </c>
      <c r="W16" s="3118">
        <v>5</v>
      </c>
      <c r="X16" s="3108" t="s">
        <v>80</v>
      </c>
      <c r="Y16" s="3110"/>
      <c r="Z16" s="3110"/>
      <c r="AA16" s="3111"/>
      <c r="AB16" s="2171"/>
      <c r="AC16" s="1848" t="s">
        <v>9</v>
      </c>
      <c r="AD16" s="1906"/>
      <c r="AE16" s="1908" t="s">
        <v>4</v>
      </c>
      <c r="AF16" s="2171"/>
      <c r="AG16" s="1848" t="s">
        <v>9</v>
      </c>
      <c r="AH16" s="1906"/>
      <c r="AI16" s="1908" t="s">
        <v>4</v>
      </c>
      <c r="AJ16" s="2171"/>
      <c r="AK16" s="1848" t="s">
        <v>9</v>
      </c>
      <c r="AL16" s="1906"/>
      <c r="AM16" s="1908" t="s">
        <v>4</v>
      </c>
    </row>
    <row r="17" spans="1:39" ht="33.75" customHeight="1">
      <c r="A17" s="3119"/>
      <c r="B17" s="3108" t="s">
        <v>58</v>
      </c>
      <c r="C17" s="3110"/>
      <c r="D17" s="3110"/>
      <c r="E17" s="3111"/>
      <c r="F17" s="1072" t="s">
        <v>4</v>
      </c>
      <c r="G17" s="1042" t="str">
        <f>'XM.GUI MAIL'!$E$17</f>
        <v>8~12</v>
      </c>
      <c r="H17" s="2428" t="str">
        <f>'XM.GUI MAIL'!$F$17</f>
        <v>(10±2)</v>
      </c>
      <c r="I17" s="2420">
        <f>'XM.GUI MAIL'!I17</f>
        <v>0</v>
      </c>
      <c r="J17" s="1480" t="s">
        <v>8</v>
      </c>
      <c r="K17" s="1481">
        <f>'XM.GUI MAIL'!L17</f>
        <v>0</v>
      </c>
      <c r="L17" s="1101" t="s">
        <v>9</v>
      </c>
      <c r="M17" s="1869">
        <f>'XM.GUI MAIL'!P17</f>
        <v>0</v>
      </c>
      <c r="N17" s="1480" t="s">
        <v>8</v>
      </c>
      <c r="O17" s="1481">
        <f>'XM.GUI MAIL'!S17</f>
        <v>0</v>
      </c>
      <c r="P17" s="1101" t="s">
        <v>9</v>
      </c>
      <c r="Q17" s="1869">
        <f>'XM.GUI MAIL'!W17</f>
        <v>0</v>
      </c>
      <c r="R17" s="1480" t="s">
        <v>8</v>
      </c>
      <c r="S17" s="1481">
        <f>'XM.GUI MAIL'!Z17</f>
        <v>0</v>
      </c>
      <c r="T17" s="109" t="s">
        <v>9</v>
      </c>
      <c r="U17" s="108" t="s">
        <v>42</v>
      </c>
      <c r="W17" s="3119"/>
      <c r="X17" s="3108" t="s">
        <v>58</v>
      </c>
      <c r="Y17" s="3110"/>
      <c r="Z17" s="3110"/>
      <c r="AA17" s="3111"/>
      <c r="AB17" s="2171"/>
      <c r="AC17" s="1848" t="s">
        <v>9</v>
      </c>
      <c r="AD17" s="1906"/>
      <c r="AE17" s="1908" t="s">
        <v>4</v>
      </c>
      <c r="AF17" s="2171"/>
      <c r="AG17" s="1848" t="s">
        <v>9</v>
      </c>
      <c r="AH17" s="1906"/>
      <c r="AI17" s="1908" t="s">
        <v>4</v>
      </c>
      <c r="AJ17" s="2171"/>
      <c r="AK17" s="1848" t="s">
        <v>9</v>
      </c>
      <c r="AL17" s="1906"/>
      <c r="AM17" s="1908" t="s">
        <v>4</v>
      </c>
    </row>
    <row r="18" spans="1:39" ht="33.75" customHeight="1">
      <c r="A18" s="3118">
        <v>6</v>
      </c>
      <c r="B18" s="2877" t="s">
        <v>986</v>
      </c>
      <c r="C18" s="2878"/>
      <c r="D18" s="2878"/>
      <c r="E18" s="2879"/>
      <c r="F18" s="1072" t="s">
        <v>3</v>
      </c>
      <c r="G18" s="1042" t="str">
        <f>'XM.GUI MAIL'!$E$18</f>
        <v xml:space="preserve">12~18 </v>
      </c>
      <c r="H18" s="2428" t="str">
        <f>'XM.GUI MAIL'!$F$18</f>
        <v>(14±2)</v>
      </c>
      <c r="I18" s="2421">
        <f>'XM.GUI MAIL'!I18</f>
        <v>0</v>
      </c>
      <c r="J18" s="1099" t="s">
        <v>8</v>
      </c>
      <c r="K18" s="58">
        <f>'XM.GUI MAIL'!L18</f>
        <v>0</v>
      </c>
      <c r="L18" s="59" t="s">
        <v>10</v>
      </c>
      <c r="M18" s="1838">
        <f>'XM.GUI MAIL'!P18</f>
        <v>0</v>
      </c>
      <c r="N18" s="1099" t="s">
        <v>8</v>
      </c>
      <c r="O18" s="58">
        <f>'XM.GUI MAIL'!S18</f>
        <v>0</v>
      </c>
      <c r="P18" s="59" t="s">
        <v>10</v>
      </c>
      <c r="Q18" s="1838">
        <f>'XM.GUI MAIL'!W18</f>
        <v>0</v>
      </c>
      <c r="R18" s="1099" t="s">
        <v>8</v>
      </c>
      <c r="S18" s="58">
        <f>'XM.GUI MAIL'!Z18</f>
        <v>0</v>
      </c>
      <c r="T18" s="59" t="s">
        <v>10</v>
      </c>
      <c r="U18" s="108" t="s">
        <v>43</v>
      </c>
      <c r="W18" s="3118">
        <v>6</v>
      </c>
      <c r="X18" s="2877" t="s">
        <v>986</v>
      </c>
      <c r="Y18" s="2878"/>
      <c r="Z18" s="2878"/>
      <c r="AA18" s="2879"/>
      <c r="AB18" s="2171"/>
      <c r="AC18" s="1848" t="s">
        <v>10</v>
      </c>
      <c r="AD18" s="1906"/>
      <c r="AE18" s="1867" t="s">
        <v>3</v>
      </c>
      <c r="AF18" s="2171"/>
      <c r="AG18" s="1848" t="s">
        <v>10</v>
      </c>
      <c r="AH18" s="1906"/>
      <c r="AI18" s="1867" t="s">
        <v>3</v>
      </c>
      <c r="AJ18" s="2171"/>
      <c r="AK18" s="1848" t="s">
        <v>10</v>
      </c>
      <c r="AL18" s="1906"/>
      <c r="AM18" s="1867" t="s">
        <v>3</v>
      </c>
    </row>
    <row r="19" spans="1:39" ht="33.75" customHeight="1">
      <c r="A19" s="3119"/>
      <c r="B19" s="2880"/>
      <c r="C19" s="2881"/>
      <c r="D19" s="2881"/>
      <c r="E19" s="2882"/>
      <c r="F19" s="1072" t="s">
        <v>5</v>
      </c>
      <c r="G19" s="1042" t="str">
        <f>'XM.GUI MAIL'!$E$19</f>
        <v>1.6~2.2</v>
      </c>
      <c r="H19" s="2428" t="str">
        <f>'XM.GUI MAIL'!$F$19</f>
        <v>(2±0.2 )</v>
      </c>
      <c r="I19" s="2420">
        <f>'XM.GUI MAIL'!I19</f>
        <v>0</v>
      </c>
      <c r="J19" s="1483"/>
      <c r="K19" s="1481">
        <f>'XM.GUI MAIL'!L19</f>
        <v>0</v>
      </c>
      <c r="L19" s="1484"/>
      <c r="M19" s="1869">
        <f>'XM.GUI MAIL'!P19</f>
        <v>0</v>
      </c>
      <c r="N19" s="1483"/>
      <c r="O19" s="1481">
        <f>'XM.GUI MAIL'!S19</f>
        <v>0</v>
      </c>
      <c r="P19" s="1484"/>
      <c r="Q19" s="1869">
        <f>'XM.GUI MAIL'!W19</f>
        <v>0</v>
      </c>
      <c r="R19" s="1483"/>
      <c r="S19" s="1481">
        <f>'XM.GUI MAIL'!Z19</f>
        <v>0</v>
      </c>
      <c r="T19" s="6"/>
      <c r="U19" s="108"/>
      <c r="W19" s="3119"/>
      <c r="X19" s="2880"/>
      <c r="Y19" s="2881"/>
      <c r="Z19" s="2881"/>
      <c r="AA19" s="2882"/>
      <c r="AB19" s="2171"/>
      <c r="AC19" s="1848"/>
      <c r="AD19" s="1906"/>
      <c r="AE19" s="1909" t="s">
        <v>5</v>
      </c>
      <c r="AF19" s="2171"/>
      <c r="AG19" s="1848"/>
      <c r="AH19" s="1906"/>
      <c r="AI19" s="1909" t="s">
        <v>5</v>
      </c>
      <c r="AJ19" s="2171"/>
      <c r="AK19" s="1848"/>
      <c r="AL19" s="1906"/>
      <c r="AM19" s="1909" t="s">
        <v>5</v>
      </c>
    </row>
    <row r="20" spans="1:39" ht="33.75" customHeight="1">
      <c r="A20" s="108">
        <v>7</v>
      </c>
      <c r="B20" s="3108" t="s">
        <v>59</v>
      </c>
      <c r="C20" s="3110"/>
      <c r="D20" s="3110"/>
      <c r="E20" s="3111"/>
      <c r="F20" s="1062" t="s">
        <v>6</v>
      </c>
      <c r="G20" s="1042" t="str">
        <f>'XM.GUI MAIL'!$E$20</f>
        <v xml:space="preserve">40~50 </v>
      </c>
      <c r="H20" s="2428" t="str">
        <f>'XM.GUI MAIL'!$F$20</f>
        <v>(45±5)</v>
      </c>
      <c r="I20" s="2422">
        <f>'XM.GUI MAIL'!I20</f>
        <v>0</v>
      </c>
      <c r="J20" s="1480" t="s">
        <v>8</v>
      </c>
      <c r="K20" s="1481">
        <f>'XM.GUI MAIL'!L20</f>
        <v>0</v>
      </c>
      <c r="L20" s="1482" t="s">
        <v>10</v>
      </c>
      <c r="M20" s="1843">
        <f>'XM.GUI MAIL'!P20</f>
        <v>0</v>
      </c>
      <c r="N20" s="1480" t="s">
        <v>8</v>
      </c>
      <c r="O20" s="1481">
        <f>'XM.GUI MAIL'!S20</f>
        <v>0</v>
      </c>
      <c r="P20" s="1482" t="s">
        <v>10</v>
      </c>
      <c r="Q20" s="1843">
        <f>'XM.GUI MAIL'!W20</f>
        <v>0</v>
      </c>
      <c r="R20" s="1480" t="s">
        <v>8</v>
      </c>
      <c r="S20" s="1481">
        <f>'XM.GUI MAIL'!Z20</f>
        <v>0</v>
      </c>
      <c r="T20" s="18" t="s">
        <v>10</v>
      </c>
      <c r="U20" s="108" t="s">
        <v>44</v>
      </c>
      <c r="W20" s="108">
        <v>7</v>
      </c>
      <c r="X20" s="3108" t="s">
        <v>59</v>
      </c>
      <c r="Y20" s="3110"/>
      <c r="Z20" s="3110"/>
      <c r="AA20" s="3111"/>
      <c r="AB20" s="2171"/>
      <c r="AC20" s="1911" t="s">
        <v>10</v>
      </c>
      <c r="AD20" s="1906"/>
      <c r="AE20" s="1907" t="s">
        <v>6</v>
      </c>
      <c r="AF20" s="2171"/>
      <c r="AG20" s="1911" t="s">
        <v>10</v>
      </c>
      <c r="AH20" s="1906"/>
      <c r="AI20" s="1907" t="s">
        <v>6</v>
      </c>
      <c r="AJ20" s="2171"/>
      <c r="AK20" s="1911" t="s">
        <v>10</v>
      </c>
      <c r="AL20" s="1906"/>
      <c r="AM20" s="1907" t="s">
        <v>6</v>
      </c>
    </row>
    <row r="21" spans="1:39" ht="33.75" hidden="1" customHeight="1">
      <c r="A21" s="108">
        <v>8</v>
      </c>
      <c r="B21" s="3108" t="s">
        <v>60</v>
      </c>
      <c r="C21" s="3110"/>
      <c r="D21" s="3110"/>
      <c r="E21" s="3111"/>
      <c r="F21" s="1062" t="s">
        <v>6</v>
      </c>
      <c r="G21" s="1042" t="str">
        <f>'XM.GUI MAIL'!$E$21</f>
        <v>(22±5) =17~27</v>
      </c>
      <c r="H21" s="2428" t="str">
        <f>'XM.GUI MAIL'!$F$21</f>
        <v>(22±5)</v>
      </c>
      <c r="I21" s="2423">
        <f>'XM.GUI MAIL'!I21</f>
        <v>0</v>
      </c>
      <c r="J21" s="1099" t="s">
        <v>8</v>
      </c>
      <c r="K21" s="58">
        <f>'XM.GUI MAIL'!L21</f>
        <v>0</v>
      </c>
      <c r="L21" s="59" t="s">
        <v>10</v>
      </c>
      <c r="M21" s="1873">
        <f>'XM.GUI MAIL'!P21</f>
        <v>0</v>
      </c>
      <c r="N21" s="1099" t="s">
        <v>8</v>
      </c>
      <c r="O21" s="58">
        <f>'XM.GUI MAIL'!S21</f>
        <v>0</v>
      </c>
      <c r="P21" s="59" t="s">
        <v>10</v>
      </c>
      <c r="Q21" s="1873">
        <f>'XM.GUI MAIL'!W21</f>
        <v>0</v>
      </c>
      <c r="R21" s="1099" t="s">
        <v>8</v>
      </c>
      <c r="S21" s="58">
        <f>'XM.GUI MAIL'!Z21</f>
        <v>0</v>
      </c>
      <c r="T21" s="18" t="s">
        <v>10</v>
      </c>
      <c r="U21" s="108" t="s">
        <v>44</v>
      </c>
      <c r="W21" s="108">
        <v>8</v>
      </c>
      <c r="X21" s="3108" t="s">
        <v>60</v>
      </c>
      <c r="Y21" s="3110"/>
      <c r="Z21" s="3110"/>
      <c r="AA21" s="3111"/>
      <c r="AB21" s="2171"/>
      <c r="AC21" s="1911" t="s">
        <v>10</v>
      </c>
      <c r="AD21" s="1906"/>
      <c r="AE21" s="1907" t="s">
        <v>6</v>
      </c>
      <c r="AF21" s="2171"/>
      <c r="AG21" s="1911" t="s">
        <v>10</v>
      </c>
      <c r="AH21" s="1906"/>
      <c r="AI21" s="1907" t="s">
        <v>6</v>
      </c>
      <c r="AJ21" s="2171"/>
      <c r="AK21" s="1911" t="s">
        <v>10</v>
      </c>
      <c r="AL21" s="1906"/>
      <c r="AM21" s="1907" t="s">
        <v>6</v>
      </c>
    </row>
    <row r="22" spans="1:39" ht="33.75" hidden="1" customHeight="1">
      <c r="A22" s="108">
        <v>9</v>
      </c>
      <c r="B22" s="3108" t="s">
        <v>109</v>
      </c>
      <c r="C22" s="3110"/>
      <c r="D22" s="3110"/>
      <c r="E22" s="3111"/>
      <c r="F22" s="1062" t="s">
        <v>6</v>
      </c>
      <c r="G22" s="1042" t="str">
        <f>'XM.GUI MAIL'!$E$22</f>
        <v>5~15</v>
      </c>
      <c r="H22" s="2428" t="str">
        <f>'XM.GUI MAIL'!$F$22</f>
        <v>(30±4)</v>
      </c>
      <c r="I22" s="2423">
        <f>'XM.GUI MAIL'!I22</f>
        <v>0</v>
      </c>
      <c r="J22" s="1480" t="s">
        <v>8</v>
      </c>
      <c r="K22" s="1481">
        <f>'XM.GUI MAIL'!L22</f>
        <v>0</v>
      </c>
      <c r="L22" s="1482" t="s">
        <v>10</v>
      </c>
      <c r="M22" s="1873">
        <f>'XM.GUI MAIL'!P22</f>
        <v>0</v>
      </c>
      <c r="N22" s="1480" t="s">
        <v>8</v>
      </c>
      <c r="O22" s="1481">
        <f>'XM.GUI MAIL'!S22</f>
        <v>0</v>
      </c>
      <c r="P22" s="1482" t="s">
        <v>10</v>
      </c>
      <c r="Q22" s="1873">
        <f>'XM.GUI MAIL'!W22</f>
        <v>0</v>
      </c>
      <c r="R22" s="1480" t="s">
        <v>8</v>
      </c>
      <c r="S22" s="1481">
        <f>'XM.GUI MAIL'!Z22</f>
        <v>0</v>
      </c>
      <c r="T22" s="18" t="s">
        <v>10</v>
      </c>
      <c r="U22" s="108" t="s">
        <v>45</v>
      </c>
      <c r="W22" s="108">
        <v>9</v>
      </c>
      <c r="X22" s="3108" t="s">
        <v>109</v>
      </c>
      <c r="Y22" s="3110"/>
      <c r="Z22" s="3110"/>
      <c r="AA22" s="3111"/>
      <c r="AB22" s="2171"/>
      <c r="AC22" s="1911" t="s">
        <v>10</v>
      </c>
      <c r="AD22" s="1906"/>
      <c r="AE22" s="1907" t="s">
        <v>6</v>
      </c>
      <c r="AF22" s="2171"/>
      <c r="AG22" s="1911" t="s">
        <v>10</v>
      </c>
      <c r="AH22" s="1906"/>
      <c r="AI22" s="1907" t="s">
        <v>6</v>
      </c>
      <c r="AJ22" s="2171"/>
      <c r="AK22" s="1911" t="s">
        <v>10</v>
      </c>
      <c r="AL22" s="1906"/>
      <c r="AM22" s="1907" t="s">
        <v>6</v>
      </c>
    </row>
    <row r="23" spans="1:39" ht="33.75" customHeight="1">
      <c r="A23" s="108">
        <v>10</v>
      </c>
      <c r="B23" s="3108" t="s">
        <v>108</v>
      </c>
      <c r="C23" s="3110"/>
      <c r="D23" s="3110"/>
      <c r="E23" s="3111"/>
      <c r="F23" s="1062" t="s">
        <v>3</v>
      </c>
      <c r="G23" s="1042" t="str">
        <f>'XM.GUI MAIL'!$E$23</f>
        <v>0.5~1.5</v>
      </c>
      <c r="H23" s="2428" t="str">
        <f>'XM.GUI MAIL'!$F$23</f>
        <v>(1±0.4)</v>
      </c>
      <c r="I23" s="2424">
        <f>'XM.GUI MAIL'!I23</f>
        <v>0</v>
      </c>
      <c r="J23" s="1480" t="s">
        <v>8</v>
      </c>
      <c r="K23" s="1485">
        <f>'XM.GUI MAIL'!L23</f>
        <v>0</v>
      </c>
      <c r="L23" s="1482" t="s">
        <v>10</v>
      </c>
      <c r="M23" s="1876">
        <f>'XM.GUI MAIL'!P23</f>
        <v>0</v>
      </c>
      <c r="N23" s="1480" t="s">
        <v>8</v>
      </c>
      <c r="O23" s="1485">
        <f>'XM.GUI MAIL'!S23</f>
        <v>0</v>
      </c>
      <c r="P23" s="1482" t="s">
        <v>10</v>
      </c>
      <c r="Q23" s="1876">
        <f>'XM.GUI MAIL'!W23</f>
        <v>0</v>
      </c>
      <c r="R23" s="1480" t="s">
        <v>8</v>
      </c>
      <c r="S23" s="1485">
        <f>'XM.GUI MAIL'!Z23</f>
        <v>0</v>
      </c>
      <c r="T23" s="18" t="s">
        <v>10</v>
      </c>
      <c r="U23" s="108" t="s">
        <v>45</v>
      </c>
      <c r="W23" s="108">
        <v>10</v>
      </c>
      <c r="X23" s="3108" t="s">
        <v>108</v>
      </c>
      <c r="Y23" s="3110"/>
      <c r="Z23" s="3110"/>
      <c r="AA23" s="3111"/>
      <c r="AB23" s="2171"/>
      <c r="AC23" s="1911" t="s">
        <v>10</v>
      </c>
      <c r="AD23" s="1906"/>
      <c r="AE23" s="1907" t="s">
        <v>3</v>
      </c>
      <c r="AF23" s="2171"/>
      <c r="AG23" s="1911" t="s">
        <v>10</v>
      </c>
      <c r="AH23" s="1906"/>
      <c r="AI23" s="1907" t="s">
        <v>3</v>
      </c>
      <c r="AJ23" s="2171"/>
      <c r="AK23" s="1911" t="s">
        <v>10</v>
      </c>
      <c r="AL23" s="1906"/>
      <c r="AM23" s="1907" t="s">
        <v>3</v>
      </c>
    </row>
    <row r="24" spans="1:39" ht="30.75" customHeight="1">
      <c r="A24" s="3116">
        <v>13</v>
      </c>
      <c r="B24" s="2877" t="s">
        <v>75</v>
      </c>
      <c r="C24" s="2878"/>
      <c r="D24" s="2878"/>
      <c r="E24" s="2879"/>
      <c r="F24" s="1072" t="s">
        <v>3</v>
      </c>
      <c r="G24" s="1042" t="str">
        <f>'XM.GUI MAIL'!$E$24</f>
        <v>5~10</v>
      </c>
      <c r="H24" s="2428" t="str">
        <f>'XM.GUI MAIL'!$F$24</f>
        <v>(7.5±1)</v>
      </c>
      <c r="I24" s="2425" t="str">
        <f>'XM.GUI MAIL'!I24</f>
        <v/>
      </c>
      <c r="J24" s="1099" t="s">
        <v>8</v>
      </c>
      <c r="K24" s="60" t="str">
        <f>'XM.GUI MAIL'!L24</f>
        <v/>
      </c>
      <c r="L24" s="59" t="s">
        <v>10</v>
      </c>
      <c r="M24" s="1952" t="str">
        <f>'XM.GUI MAIL'!P24</f>
        <v/>
      </c>
      <c r="N24" s="1099" t="s">
        <v>8</v>
      </c>
      <c r="O24" s="60" t="str">
        <f>'XM.GUI MAIL'!S24</f>
        <v/>
      </c>
      <c r="P24" s="59" t="s">
        <v>10</v>
      </c>
      <c r="Q24" s="1952" t="str">
        <f>'XM.GUI MAIL'!W24</f>
        <v/>
      </c>
      <c r="R24" s="1099" t="s">
        <v>8</v>
      </c>
      <c r="S24" s="60" t="str">
        <f>'XM.GUI MAIL'!Z24</f>
        <v/>
      </c>
      <c r="T24" s="59" t="s">
        <v>10</v>
      </c>
      <c r="U24" s="108"/>
      <c r="W24" s="3116">
        <v>13</v>
      </c>
      <c r="X24" s="2877" t="s">
        <v>75</v>
      </c>
      <c r="Y24" s="2878"/>
      <c r="Z24" s="2878"/>
      <c r="AA24" s="2879"/>
      <c r="AB24" s="2171"/>
      <c r="AC24" s="1848" t="s">
        <v>10</v>
      </c>
      <c r="AD24" s="1906"/>
      <c r="AE24" s="1867" t="s">
        <v>3</v>
      </c>
      <c r="AF24" s="2171"/>
      <c r="AG24" s="1848" t="s">
        <v>10</v>
      </c>
      <c r="AH24" s="1906"/>
      <c r="AI24" s="1867" t="s">
        <v>3</v>
      </c>
      <c r="AJ24" s="2171"/>
      <c r="AK24" s="1848" t="s">
        <v>10</v>
      </c>
      <c r="AL24" s="1906"/>
      <c r="AM24" s="1867" t="s">
        <v>3</v>
      </c>
    </row>
    <row r="25" spans="1:39" ht="30.75" customHeight="1">
      <c r="A25" s="3117"/>
      <c r="B25" s="2880"/>
      <c r="C25" s="2881"/>
      <c r="D25" s="2881"/>
      <c r="E25" s="2882"/>
      <c r="F25" s="1072" t="s">
        <v>5</v>
      </c>
      <c r="G25" s="1042" t="str">
        <f>'XM.GUI MAIL'!$E$25</f>
        <v>1.8~2.2</v>
      </c>
      <c r="H25" s="2428" t="str">
        <f>'XM.GUI MAIL'!$F$25</f>
        <v>(2±0.1)</v>
      </c>
      <c r="I25" s="2459">
        <f>'XM.GUI MAIL'!I25</f>
        <v>0</v>
      </c>
      <c r="J25" s="1099"/>
      <c r="K25" s="58">
        <f>'XM.GUI MAIL'!L25</f>
        <v>0</v>
      </c>
      <c r="L25" s="2461"/>
      <c r="M25" s="2460">
        <f>'XM.GUI MAIL'!P25</f>
        <v>0</v>
      </c>
      <c r="N25" s="1099"/>
      <c r="O25" s="58">
        <f>'XM.GUI MAIL'!S25</f>
        <v>0</v>
      </c>
      <c r="P25" s="59"/>
      <c r="Q25" s="2460">
        <f>'XM.GUI MAIL'!W25</f>
        <v>0</v>
      </c>
      <c r="R25" s="1099"/>
      <c r="S25" s="58">
        <f>'XM.GUI MAIL'!Z25</f>
        <v>0</v>
      </c>
      <c r="T25" s="59"/>
      <c r="U25" s="108"/>
      <c r="W25" s="3117"/>
      <c r="X25" s="2880"/>
      <c r="Y25" s="2881"/>
      <c r="Z25" s="2881"/>
      <c r="AA25" s="2882"/>
      <c r="AB25" s="2172"/>
      <c r="AC25" s="1848"/>
      <c r="AD25" s="1929"/>
      <c r="AE25" s="1867" t="s">
        <v>5</v>
      </c>
      <c r="AF25" s="2172"/>
      <c r="AG25" s="1848"/>
      <c r="AH25" s="1929"/>
      <c r="AI25" s="1867" t="s">
        <v>5</v>
      </c>
      <c r="AJ25" s="2172"/>
      <c r="AK25" s="1848"/>
      <c r="AL25" s="1929"/>
      <c r="AM25" s="1867" t="s">
        <v>5</v>
      </c>
    </row>
    <row r="26" spans="1:39" ht="33.75" customHeight="1">
      <c r="A26" s="268"/>
      <c r="B26" s="269"/>
      <c r="C26" s="269"/>
      <c r="D26" s="269"/>
      <c r="E26" s="269"/>
      <c r="F26" s="269"/>
      <c r="G26" s="267" t="s">
        <v>110</v>
      </c>
      <c r="H26" s="267"/>
      <c r="I26" s="269"/>
      <c r="J26" s="269"/>
      <c r="K26" s="269"/>
      <c r="L26" s="269"/>
      <c r="M26" s="269"/>
      <c r="N26" s="269"/>
      <c r="O26" s="269"/>
      <c r="P26" s="269"/>
      <c r="Q26" s="269"/>
      <c r="R26" s="269"/>
      <c r="S26" s="269"/>
      <c r="T26" s="269"/>
      <c r="U26" s="270"/>
      <c r="W26" s="1606"/>
      <c r="X26" s="269"/>
      <c r="Y26" s="269"/>
      <c r="Z26" s="269"/>
      <c r="AA26" s="269"/>
      <c r="AB26" s="269"/>
      <c r="AC26" s="269"/>
      <c r="AD26" s="269"/>
      <c r="AE26" s="269"/>
      <c r="AF26" s="269"/>
      <c r="AG26" s="269"/>
      <c r="AH26" s="269"/>
      <c r="AI26" s="269"/>
      <c r="AJ26" s="269"/>
      <c r="AK26" s="269"/>
      <c r="AL26" s="269"/>
      <c r="AM26" s="269"/>
    </row>
    <row r="27" spans="1:39" ht="33.75" customHeight="1">
      <c r="A27" s="108" t="s">
        <v>7</v>
      </c>
      <c r="B27" s="3108" t="s">
        <v>62</v>
      </c>
      <c r="C27" s="3110"/>
      <c r="D27" s="3110"/>
      <c r="E27" s="3111"/>
      <c r="F27" s="1065" t="s">
        <v>64</v>
      </c>
      <c r="G27" s="1010" t="s">
        <v>1325</v>
      </c>
      <c r="H27" s="2429" t="s">
        <v>1317</v>
      </c>
      <c r="I27" s="2933" t="s">
        <v>46</v>
      </c>
      <c r="J27" s="2868"/>
      <c r="K27" s="2868" t="s">
        <v>63</v>
      </c>
      <c r="L27" s="2868"/>
      <c r="M27" s="2868" t="s">
        <v>46</v>
      </c>
      <c r="N27" s="2868"/>
      <c r="O27" s="2868" t="s">
        <v>63</v>
      </c>
      <c r="P27" s="2868"/>
      <c r="Q27" s="2868" t="s">
        <v>46</v>
      </c>
      <c r="R27" s="2868"/>
      <c r="S27" s="2868" t="s">
        <v>63</v>
      </c>
      <c r="T27" s="2868"/>
      <c r="U27" s="1055"/>
      <c r="W27" s="108" t="s">
        <v>7</v>
      </c>
      <c r="X27" s="3108" t="s">
        <v>62</v>
      </c>
      <c r="Y27" s="3110"/>
      <c r="Z27" s="3110"/>
      <c r="AA27" s="3111"/>
      <c r="AB27" s="3106" t="s">
        <v>1375</v>
      </c>
      <c r="AC27" s="2904"/>
      <c r="AD27" s="2904"/>
      <c r="AE27" s="2905"/>
      <c r="AF27" s="3106" t="s">
        <v>1375</v>
      </c>
      <c r="AG27" s="2904"/>
      <c r="AH27" s="2904"/>
      <c r="AI27" s="2905"/>
      <c r="AJ27" s="3106" t="s">
        <v>1375</v>
      </c>
      <c r="AK27" s="2904"/>
      <c r="AL27" s="2904"/>
      <c r="AM27" s="2905"/>
    </row>
    <row r="28" spans="1:39" ht="31.5" customHeight="1">
      <c r="A28" s="108">
        <v>1</v>
      </c>
      <c r="B28" s="3108" t="s">
        <v>66</v>
      </c>
      <c r="C28" s="3110"/>
      <c r="D28" s="3110"/>
      <c r="E28" s="3111"/>
      <c r="F28" s="21" t="s">
        <v>106</v>
      </c>
      <c r="G28" s="1043" t="str">
        <f>'XM.GUI MAIL'!$E$28</f>
        <v>50~70</v>
      </c>
      <c r="H28" s="2450" t="str">
        <f>'XM.GUI MAIL'!$F$28</f>
        <v>(60±5)</v>
      </c>
      <c r="I28" s="2934">
        <f>'XM.FILE GOC'!I28</f>
        <v>0</v>
      </c>
      <c r="J28" s="2867"/>
      <c r="K28" s="2867">
        <f>'XM.GUI MAIL'!L28</f>
        <v>0</v>
      </c>
      <c r="L28" s="2867"/>
      <c r="M28" s="2867">
        <f>'XM.FILE GOC'!P28</f>
        <v>0</v>
      </c>
      <c r="N28" s="2867"/>
      <c r="O28" s="2867">
        <f>'XM.GUI MAIL'!S28</f>
        <v>0</v>
      </c>
      <c r="P28" s="2867"/>
      <c r="Q28" s="2867">
        <f>'XM.FILE GOC'!W28</f>
        <v>0</v>
      </c>
      <c r="R28" s="2867"/>
      <c r="S28" s="2867">
        <f>'XM.GUI MAIL'!Z28</f>
        <v>0</v>
      </c>
      <c r="T28" s="2867"/>
      <c r="U28" s="108"/>
      <c r="W28" s="108">
        <v>1</v>
      </c>
      <c r="X28" s="3108" t="s">
        <v>66</v>
      </c>
      <c r="Y28" s="3110"/>
      <c r="Z28" s="3110"/>
      <c r="AA28" s="3111"/>
      <c r="AB28" s="1597"/>
      <c r="AC28" s="1901"/>
      <c r="AD28" s="1598"/>
      <c r="AE28" s="1901"/>
      <c r="AF28" s="1597"/>
      <c r="AG28" s="1901"/>
      <c r="AH28" s="1901"/>
      <c r="AI28" s="1598"/>
      <c r="AJ28" s="1597"/>
      <c r="AK28" s="1901"/>
      <c r="AL28" s="1901"/>
      <c r="AM28" s="1598"/>
    </row>
    <row r="29" spans="1:39" ht="31.5" customHeight="1">
      <c r="A29" s="108">
        <v>2</v>
      </c>
      <c r="B29" s="3108" t="s">
        <v>67</v>
      </c>
      <c r="C29" s="3110" t="s">
        <v>67</v>
      </c>
      <c r="D29" s="3110" t="s">
        <v>67</v>
      </c>
      <c r="E29" s="3111" t="s">
        <v>67</v>
      </c>
      <c r="F29" s="21" t="s">
        <v>106</v>
      </c>
      <c r="G29" s="1043" t="str">
        <f>'XM.GUI MAIL'!$E$29</f>
        <v>50~70</v>
      </c>
      <c r="H29" s="2450" t="str">
        <f>'XM.GUI MAIL'!$F$29</f>
        <v>(60±5)</v>
      </c>
      <c r="I29" s="2934">
        <f>'XM.FILE GOC'!I29</f>
        <v>0</v>
      </c>
      <c r="J29" s="2867"/>
      <c r="K29" s="2867">
        <f>'XM.GUI MAIL'!L29</f>
        <v>0</v>
      </c>
      <c r="L29" s="2867"/>
      <c r="M29" s="2867">
        <f>'XM.FILE GOC'!P29</f>
        <v>0</v>
      </c>
      <c r="N29" s="2867"/>
      <c r="O29" s="2867">
        <f>'XM.GUI MAIL'!S29</f>
        <v>0</v>
      </c>
      <c r="P29" s="2867"/>
      <c r="Q29" s="2867">
        <f>'XM.FILE GOC'!W29</f>
        <v>0</v>
      </c>
      <c r="R29" s="2867"/>
      <c r="S29" s="2867">
        <f>'XM.GUI MAIL'!Z29</f>
        <v>0</v>
      </c>
      <c r="T29" s="2867"/>
      <c r="U29" s="108"/>
      <c r="W29" s="108">
        <v>2</v>
      </c>
      <c r="X29" s="3108" t="s">
        <v>67</v>
      </c>
      <c r="Y29" s="3110" t="s">
        <v>67</v>
      </c>
      <c r="Z29" s="3110" t="s">
        <v>67</v>
      </c>
      <c r="AA29" s="3111" t="s">
        <v>67</v>
      </c>
      <c r="AB29" s="1597"/>
      <c r="AC29" s="1901"/>
      <c r="AD29" s="1598"/>
      <c r="AE29" s="1901"/>
      <c r="AF29" s="1597"/>
      <c r="AG29" s="1901"/>
      <c r="AH29" s="1901"/>
      <c r="AI29" s="1598"/>
      <c r="AJ29" s="1597"/>
      <c r="AK29" s="1901"/>
      <c r="AL29" s="1901"/>
      <c r="AM29" s="1598"/>
    </row>
    <row r="30" spans="1:39" ht="31.5" customHeight="1">
      <c r="A30" s="108">
        <v>3</v>
      </c>
      <c r="B30" s="3108" t="s">
        <v>69</v>
      </c>
      <c r="C30" s="3110" t="s">
        <v>69</v>
      </c>
      <c r="D30" s="3110" t="s">
        <v>69</v>
      </c>
      <c r="E30" s="3111" t="s">
        <v>69</v>
      </c>
      <c r="F30" s="21" t="s">
        <v>106</v>
      </c>
      <c r="G30" s="1043" t="str">
        <f>'XM.GUI MAIL'!$E$30</f>
        <v>40~60</v>
      </c>
      <c r="H30" s="2450" t="str">
        <f>'XM.GUI MAIL'!$F$30</f>
        <v>(50±5)</v>
      </c>
      <c r="I30" s="2829">
        <f>'XM.FILE GOC'!I30</f>
        <v>0</v>
      </c>
      <c r="J30" s="2819"/>
      <c r="K30" s="2828">
        <f>'XM.GUI MAIL'!L30</f>
        <v>0</v>
      </c>
      <c r="L30" s="2819"/>
      <c r="M30" s="2828">
        <f>'XM.FILE GOC'!P30</f>
        <v>0</v>
      </c>
      <c r="N30" s="2819"/>
      <c r="O30" s="2828">
        <f>'XM.GUI MAIL'!S30</f>
        <v>0</v>
      </c>
      <c r="P30" s="2819"/>
      <c r="Q30" s="2828">
        <f>'XM.FILE GOC'!W30</f>
        <v>0</v>
      </c>
      <c r="R30" s="2819"/>
      <c r="S30" s="2828">
        <f>'XM.GUI MAIL'!Z30</f>
        <v>0</v>
      </c>
      <c r="T30" s="2819"/>
      <c r="U30" s="108"/>
      <c r="W30" s="108">
        <v>3</v>
      </c>
      <c r="X30" s="3108" t="s">
        <v>69</v>
      </c>
      <c r="Y30" s="3110" t="s">
        <v>69</v>
      </c>
      <c r="Z30" s="3110" t="s">
        <v>69</v>
      </c>
      <c r="AA30" s="3111" t="s">
        <v>69</v>
      </c>
      <c r="AB30" s="1597"/>
      <c r="AC30" s="1901"/>
      <c r="AD30" s="1598"/>
      <c r="AE30" s="1901"/>
      <c r="AF30" s="1597"/>
      <c r="AG30" s="1901"/>
      <c r="AH30" s="1901"/>
      <c r="AI30" s="1598"/>
      <c r="AJ30" s="1597"/>
      <c r="AK30" s="1901"/>
      <c r="AL30" s="1901"/>
      <c r="AM30" s="1598"/>
    </row>
    <row r="31" spans="1:39" ht="31.5" customHeight="1">
      <c r="A31" s="108">
        <v>4</v>
      </c>
      <c r="B31" s="3108" t="s">
        <v>68</v>
      </c>
      <c r="C31" s="3110" t="s">
        <v>68</v>
      </c>
      <c r="D31" s="3110" t="s">
        <v>68</v>
      </c>
      <c r="E31" s="3111" t="s">
        <v>68</v>
      </c>
      <c r="F31" s="21" t="s">
        <v>106</v>
      </c>
      <c r="G31" s="1043" t="str">
        <f>'XM.GUI MAIL'!$E$31</f>
        <v>40~60</v>
      </c>
      <c r="H31" s="2450" t="str">
        <f>'XM.GUI MAIL'!$F$31</f>
        <v>(50±5)</v>
      </c>
      <c r="I31" s="2829">
        <f>'XM.FILE GOC'!I31</f>
        <v>0</v>
      </c>
      <c r="J31" s="2819"/>
      <c r="K31" s="2828">
        <f>'XM.GUI MAIL'!L31</f>
        <v>0</v>
      </c>
      <c r="L31" s="2819"/>
      <c r="M31" s="2828">
        <f>'XM.FILE GOC'!P31</f>
        <v>0</v>
      </c>
      <c r="N31" s="2819"/>
      <c r="O31" s="2828">
        <f>'XM.GUI MAIL'!S31</f>
        <v>0</v>
      </c>
      <c r="P31" s="2819"/>
      <c r="Q31" s="2828">
        <f>'XM.FILE GOC'!W31</f>
        <v>0</v>
      </c>
      <c r="R31" s="2819"/>
      <c r="S31" s="2828">
        <f>'XM.GUI MAIL'!Z31</f>
        <v>0</v>
      </c>
      <c r="T31" s="2819"/>
      <c r="U31" s="108"/>
      <c r="W31" s="108">
        <v>4</v>
      </c>
      <c r="X31" s="3108" t="s">
        <v>68</v>
      </c>
      <c r="Y31" s="3110" t="s">
        <v>68</v>
      </c>
      <c r="Z31" s="3110" t="s">
        <v>68</v>
      </c>
      <c r="AA31" s="3111" t="s">
        <v>68</v>
      </c>
      <c r="AB31" s="1597"/>
      <c r="AC31" s="1901"/>
      <c r="AD31" s="1598"/>
      <c r="AE31" s="1901"/>
      <c r="AF31" s="1597"/>
      <c r="AG31" s="1901"/>
      <c r="AH31" s="1901"/>
      <c r="AI31" s="1598"/>
      <c r="AJ31" s="1597"/>
      <c r="AK31" s="1901"/>
      <c r="AL31" s="1901"/>
      <c r="AM31" s="1598"/>
    </row>
    <row r="32" spans="1:39" ht="31.5" customHeight="1">
      <c r="A32" s="108">
        <v>5</v>
      </c>
      <c r="B32" s="3108" t="s">
        <v>70</v>
      </c>
      <c r="C32" s="3110" t="s">
        <v>70</v>
      </c>
      <c r="D32" s="3110" t="s">
        <v>70</v>
      </c>
      <c r="E32" s="3111" t="s">
        <v>70</v>
      </c>
      <c r="F32" s="21" t="s">
        <v>106</v>
      </c>
      <c r="G32" s="1043" t="str">
        <f>'XM.GUI MAIL'!$E$32</f>
        <v>20~35</v>
      </c>
      <c r="H32" s="2450" t="str">
        <f>'XM.GUI MAIL'!$F$32</f>
        <v>(30±4)</v>
      </c>
      <c r="I32" s="2934">
        <f>'XM.FILE GOC'!I32</f>
        <v>0</v>
      </c>
      <c r="J32" s="2867"/>
      <c r="K32" s="2867">
        <f>'XM.GUI MAIL'!L32</f>
        <v>0</v>
      </c>
      <c r="L32" s="2867"/>
      <c r="M32" s="2867">
        <f>'XM.FILE GOC'!P32</f>
        <v>0</v>
      </c>
      <c r="N32" s="2867"/>
      <c r="O32" s="2867">
        <f>'XM.GUI MAIL'!S32</f>
        <v>0</v>
      </c>
      <c r="P32" s="2867"/>
      <c r="Q32" s="2867">
        <f>'XM.FILE GOC'!W32</f>
        <v>0</v>
      </c>
      <c r="R32" s="2867"/>
      <c r="S32" s="2867">
        <f>'XM.GUI MAIL'!Z32</f>
        <v>0</v>
      </c>
      <c r="T32" s="2867"/>
      <c r="U32" s="108"/>
      <c r="W32" s="108">
        <v>5</v>
      </c>
      <c r="X32" s="3108" t="s">
        <v>70</v>
      </c>
      <c r="Y32" s="3110" t="s">
        <v>70</v>
      </c>
      <c r="Z32" s="3110" t="s">
        <v>70</v>
      </c>
      <c r="AA32" s="3111" t="s">
        <v>70</v>
      </c>
      <c r="AB32" s="1597"/>
      <c r="AC32" s="1901"/>
      <c r="AD32" s="1598"/>
      <c r="AE32" s="1901"/>
      <c r="AF32" s="1597"/>
      <c r="AG32" s="1901"/>
      <c r="AH32" s="1901"/>
      <c r="AI32" s="1598"/>
      <c r="AJ32" s="1597"/>
      <c r="AK32" s="1901"/>
      <c r="AL32" s="1901"/>
      <c r="AM32" s="1598"/>
    </row>
    <row r="33" spans="1:39" ht="31.5" customHeight="1">
      <c r="A33" s="108">
        <v>6</v>
      </c>
      <c r="B33" s="3108" t="s">
        <v>985</v>
      </c>
      <c r="C33" s="3110" t="s">
        <v>985</v>
      </c>
      <c r="D33" s="3110" t="s">
        <v>985</v>
      </c>
      <c r="E33" s="3111" t="s">
        <v>985</v>
      </c>
      <c r="F33" s="21" t="s">
        <v>106</v>
      </c>
      <c r="G33" s="1043" t="str">
        <f>'XM.GUI MAIL'!$E$33</f>
        <v>30~40</v>
      </c>
      <c r="H33" s="2450" t="str">
        <f>'XM.GUI MAIL'!$F$33</f>
        <v>(34±3)</v>
      </c>
      <c r="I33" s="2934">
        <f>'XM.FILE GOC'!I33</f>
        <v>0</v>
      </c>
      <c r="J33" s="2867"/>
      <c r="K33" s="2867">
        <f>'XM.GUI MAIL'!L33</f>
        <v>0</v>
      </c>
      <c r="L33" s="2867"/>
      <c r="M33" s="2867">
        <f>'XM.FILE GOC'!P33</f>
        <v>0</v>
      </c>
      <c r="N33" s="2867"/>
      <c r="O33" s="2867">
        <f>'XM.GUI MAIL'!S33</f>
        <v>0</v>
      </c>
      <c r="P33" s="2867"/>
      <c r="Q33" s="2867">
        <f>'XM.FILE GOC'!W33</f>
        <v>0</v>
      </c>
      <c r="R33" s="2867"/>
      <c r="S33" s="2867">
        <f>'XM.GUI MAIL'!Z33</f>
        <v>0</v>
      </c>
      <c r="T33" s="2867"/>
      <c r="U33" s="108"/>
      <c r="W33" s="108">
        <v>6</v>
      </c>
      <c r="X33" s="3108" t="s">
        <v>985</v>
      </c>
      <c r="Y33" s="3110" t="s">
        <v>985</v>
      </c>
      <c r="Z33" s="3110" t="s">
        <v>985</v>
      </c>
      <c r="AA33" s="3111" t="s">
        <v>985</v>
      </c>
      <c r="AB33" s="1597"/>
      <c r="AC33" s="1901"/>
      <c r="AD33" s="1598"/>
      <c r="AE33" s="1901"/>
      <c r="AF33" s="1597"/>
      <c r="AG33" s="1901"/>
      <c r="AH33" s="1901"/>
      <c r="AI33" s="1598"/>
      <c r="AJ33" s="1597"/>
      <c r="AK33" s="1901"/>
      <c r="AL33" s="1901"/>
      <c r="AM33" s="1598"/>
    </row>
    <row r="34" spans="1:39" ht="31.5" customHeight="1">
      <c r="A34" s="108">
        <v>7</v>
      </c>
      <c r="B34" s="3108" t="s">
        <v>71</v>
      </c>
      <c r="C34" s="3110" t="s">
        <v>71</v>
      </c>
      <c r="D34" s="3110" t="s">
        <v>71</v>
      </c>
      <c r="E34" s="3111" t="s">
        <v>71</v>
      </c>
      <c r="F34" s="21" t="s">
        <v>106</v>
      </c>
      <c r="G34" s="1043" t="str">
        <f>'XM.GUI MAIL'!$E$34</f>
        <v>50~70</v>
      </c>
      <c r="H34" s="2450" t="str">
        <f>'XM.GUI MAIL'!$F$34</f>
        <v>(60±10)</v>
      </c>
      <c r="I34" s="2934">
        <f>'XM.FILE GOC'!I34</f>
        <v>0</v>
      </c>
      <c r="J34" s="2867"/>
      <c r="K34" s="2867">
        <f>'XM.GUI MAIL'!L34</f>
        <v>0</v>
      </c>
      <c r="L34" s="2867"/>
      <c r="M34" s="2867">
        <f>'XM.FILE GOC'!P34</f>
        <v>0</v>
      </c>
      <c r="N34" s="2867"/>
      <c r="O34" s="2867">
        <f>'XM.GUI MAIL'!S34</f>
        <v>0</v>
      </c>
      <c r="P34" s="2867"/>
      <c r="Q34" s="2867">
        <f>'XM.FILE GOC'!W34</f>
        <v>0</v>
      </c>
      <c r="R34" s="2867"/>
      <c r="S34" s="2867">
        <f>'XM.GUI MAIL'!Z34</f>
        <v>0</v>
      </c>
      <c r="T34" s="2867"/>
      <c r="U34" s="108"/>
      <c r="W34" s="108">
        <v>7</v>
      </c>
      <c r="X34" s="3108" t="s">
        <v>71</v>
      </c>
      <c r="Y34" s="3110" t="s">
        <v>71</v>
      </c>
      <c r="Z34" s="3110" t="s">
        <v>71</v>
      </c>
      <c r="AA34" s="3111" t="s">
        <v>71</v>
      </c>
      <c r="AB34" s="1597"/>
      <c r="AC34" s="1901"/>
      <c r="AD34" s="1598"/>
      <c r="AE34" s="1901"/>
      <c r="AF34" s="1597"/>
      <c r="AG34" s="1901"/>
      <c r="AH34" s="1901"/>
      <c r="AI34" s="1598"/>
      <c r="AJ34" s="1597"/>
      <c r="AK34" s="1901"/>
      <c r="AL34" s="1901"/>
      <c r="AM34" s="1598"/>
    </row>
    <row r="35" spans="1:39" ht="31.5" customHeight="1">
      <c r="A35" s="108">
        <v>8</v>
      </c>
      <c r="B35" s="3112" t="s">
        <v>72</v>
      </c>
      <c r="C35" s="3113" t="s">
        <v>72</v>
      </c>
      <c r="D35" s="3113" t="s">
        <v>72</v>
      </c>
      <c r="E35" s="3114" t="s">
        <v>72</v>
      </c>
      <c r="F35" s="21" t="s">
        <v>106</v>
      </c>
      <c r="G35" s="1043" t="str">
        <f>'XM.GUI MAIL'!$E$35</f>
        <v>80~100</v>
      </c>
      <c r="H35" s="2450" t="str">
        <f>'XM.GUI MAIL'!$F$35</f>
        <v>(90±5)</v>
      </c>
      <c r="I35" s="2933" t="str">
        <f>'XM.FILE GOC'!I35</f>
        <v>\</v>
      </c>
      <c r="J35" s="2868"/>
      <c r="K35" s="2867">
        <f>'XM.GUI MAIL'!L35</f>
        <v>0</v>
      </c>
      <c r="L35" s="2867"/>
      <c r="M35" s="2868" t="str">
        <f>'XM.FILE GOC'!P35</f>
        <v>\</v>
      </c>
      <c r="N35" s="2868"/>
      <c r="O35" s="2867">
        <f>'XM.GUI MAIL'!S35</f>
        <v>0</v>
      </c>
      <c r="P35" s="2867"/>
      <c r="Q35" s="2868" t="str">
        <f>'XM.FILE GOC'!W35</f>
        <v>\</v>
      </c>
      <c r="R35" s="2868"/>
      <c r="S35" s="2867">
        <f>'XM.GUI MAIL'!Z35</f>
        <v>0</v>
      </c>
      <c r="T35" s="2867"/>
      <c r="U35" s="108"/>
      <c r="W35" s="108">
        <v>8</v>
      </c>
      <c r="X35" s="3112" t="s">
        <v>72</v>
      </c>
      <c r="Y35" s="3113" t="s">
        <v>72</v>
      </c>
      <c r="Z35" s="3113" t="s">
        <v>72</v>
      </c>
      <c r="AA35" s="3114" t="s">
        <v>72</v>
      </c>
      <c r="AB35" s="1597"/>
      <c r="AC35" s="1901"/>
      <c r="AD35" s="1598"/>
      <c r="AE35" s="1901"/>
      <c r="AF35" s="1597"/>
      <c r="AG35" s="1901"/>
      <c r="AH35" s="1901"/>
      <c r="AI35" s="1598"/>
      <c r="AJ35" s="1597"/>
      <c r="AK35" s="1901"/>
      <c r="AL35" s="1901"/>
      <c r="AM35" s="1598"/>
    </row>
    <row r="36" spans="1:39" ht="33.75" customHeight="1">
      <c r="A36" s="268"/>
      <c r="B36" s="264"/>
      <c r="C36" s="265"/>
      <c r="D36" s="265"/>
      <c r="E36" s="265"/>
      <c r="F36" s="265"/>
      <c r="G36" s="267" t="s">
        <v>111</v>
      </c>
      <c r="H36" s="267"/>
      <c r="I36" s="265"/>
      <c r="J36" s="265"/>
      <c r="K36" s="265"/>
      <c r="L36" s="265"/>
      <c r="M36" s="265"/>
      <c r="N36" s="265"/>
      <c r="O36" s="265"/>
      <c r="P36" s="265"/>
      <c r="Q36" s="265"/>
      <c r="R36" s="265"/>
      <c r="S36" s="265"/>
      <c r="T36" s="265"/>
      <c r="U36" s="266"/>
      <c r="W36" s="268"/>
      <c r="X36" s="3142"/>
      <c r="Y36" s="3142"/>
      <c r="Z36" s="3142"/>
      <c r="AA36" s="3142"/>
      <c r="AB36" s="3142"/>
      <c r="AC36" s="3142"/>
      <c r="AD36" s="3142"/>
      <c r="AE36" s="3142"/>
      <c r="AF36" s="3142"/>
      <c r="AG36" s="3142"/>
      <c r="AH36" s="3142"/>
      <c r="AI36" s="3142"/>
      <c r="AJ36" s="3142"/>
      <c r="AK36" s="3142"/>
      <c r="AL36" s="3142"/>
      <c r="AM36" s="3142"/>
    </row>
    <row r="37" spans="1:39" ht="33.75" customHeight="1">
      <c r="A37" s="108" t="s">
        <v>7</v>
      </c>
      <c r="B37" s="3108" t="s">
        <v>93</v>
      </c>
      <c r="C37" s="3110"/>
      <c r="D37" s="3110"/>
      <c r="E37" s="3111"/>
      <c r="F37" s="1061" t="s">
        <v>94</v>
      </c>
      <c r="G37" s="1010" t="s">
        <v>1325</v>
      </c>
      <c r="H37" s="2429" t="s">
        <v>1317</v>
      </c>
      <c r="I37" s="2932" t="s">
        <v>112</v>
      </c>
      <c r="J37" s="2932"/>
      <c r="K37" s="2932"/>
      <c r="L37" s="2933"/>
      <c r="M37" s="2931" t="s">
        <v>112</v>
      </c>
      <c r="N37" s="2932"/>
      <c r="O37" s="2932"/>
      <c r="P37" s="2933"/>
      <c r="Q37" s="2931" t="s">
        <v>112</v>
      </c>
      <c r="R37" s="2932"/>
      <c r="S37" s="2932"/>
      <c r="T37" s="2933"/>
      <c r="U37" s="1055"/>
      <c r="W37" s="108" t="s">
        <v>7</v>
      </c>
      <c r="X37" s="3128" t="s">
        <v>93</v>
      </c>
      <c r="Y37" s="3128"/>
      <c r="Z37" s="3128"/>
      <c r="AA37" s="3128"/>
      <c r="AB37" s="3106" t="s">
        <v>1375</v>
      </c>
      <c r="AC37" s="2904"/>
      <c r="AD37" s="2905"/>
      <c r="AE37" s="1898"/>
      <c r="AF37" s="3106" t="s">
        <v>1375</v>
      </c>
      <c r="AG37" s="2904"/>
      <c r="AH37" s="2904"/>
      <c r="AI37" s="2905"/>
      <c r="AJ37" s="3106" t="s">
        <v>1375</v>
      </c>
      <c r="AK37" s="2904"/>
      <c r="AL37" s="2904"/>
      <c r="AM37" s="2905"/>
    </row>
    <row r="38" spans="1:39" ht="33.75" customHeight="1">
      <c r="A38" s="108">
        <v>1</v>
      </c>
      <c r="B38" s="3108" t="s">
        <v>52</v>
      </c>
      <c r="C38" s="3110"/>
      <c r="D38" s="3110"/>
      <c r="E38" s="3111"/>
      <c r="F38" s="23" t="s">
        <v>49</v>
      </c>
      <c r="G38" s="271" t="str">
        <f>'XM.GUI MAIL'!$E$37</f>
        <v>300-360</v>
      </c>
      <c r="H38" s="2451" t="str">
        <f>'XM.GUI MAIL'!$F$37</f>
        <v>300-360</v>
      </c>
      <c r="I38" s="3115">
        <f>'XM.FILE GOC'!I37</f>
        <v>0</v>
      </c>
      <c r="J38" s="3115"/>
      <c r="K38" s="3115"/>
      <c r="L38" s="3115"/>
      <c r="M38" s="3018">
        <f>'XM.FILE GOC'!P37</f>
        <v>0</v>
      </c>
      <c r="N38" s="3115"/>
      <c r="O38" s="3115"/>
      <c r="P38" s="3115"/>
      <c r="Q38" s="3018">
        <f>'XM.FILE GOC'!W37</f>
        <v>0</v>
      </c>
      <c r="R38" s="3115"/>
      <c r="S38" s="3115"/>
      <c r="T38" s="3115"/>
      <c r="U38" s="108"/>
      <c r="W38" s="108">
        <v>1</v>
      </c>
      <c r="X38" s="3108" t="s">
        <v>52</v>
      </c>
      <c r="Y38" s="3110"/>
      <c r="Z38" s="3110"/>
      <c r="AA38" s="3111"/>
      <c r="AB38" s="1597"/>
      <c r="AC38" s="1901"/>
      <c r="AD38" s="1598"/>
      <c r="AE38" s="1901"/>
      <c r="AF38" s="1597"/>
      <c r="AG38" s="1901"/>
      <c r="AH38" s="1901"/>
      <c r="AI38" s="1598"/>
      <c r="AJ38" s="1597"/>
      <c r="AK38" s="1901"/>
      <c r="AL38" s="1901"/>
      <c r="AM38" s="1598"/>
    </row>
    <row r="39" spans="1:39" ht="33.75" customHeight="1">
      <c r="A39" s="108">
        <v>2</v>
      </c>
      <c r="B39" s="3108" t="s">
        <v>87</v>
      </c>
      <c r="C39" s="3110"/>
      <c r="D39" s="3110"/>
      <c r="E39" s="3111"/>
      <c r="F39" s="23" t="s">
        <v>49</v>
      </c>
      <c r="G39" s="272" t="str">
        <f>'XM.GUI MAIL'!$E$38</f>
        <v>30-50</v>
      </c>
      <c r="H39" s="2452" t="str">
        <f>'XM.GUI MAIL'!$F$38</f>
        <v>30-50</v>
      </c>
      <c r="I39" s="3115">
        <f>'XM.FILE GOC'!I38</f>
        <v>0</v>
      </c>
      <c r="J39" s="3115"/>
      <c r="K39" s="3115"/>
      <c r="L39" s="3115"/>
      <c r="M39" s="3018">
        <f>'XM.FILE GOC'!P38</f>
        <v>0</v>
      </c>
      <c r="N39" s="3115"/>
      <c r="O39" s="3115"/>
      <c r="P39" s="3115"/>
      <c r="Q39" s="3018">
        <f>'XM.FILE GOC'!W38</f>
        <v>0</v>
      </c>
      <c r="R39" s="3115"/>
      <c r="S39" s="3115"/>
      <c r="T39" s="3115"/>
      <c r="U39" s="108"/>
      <c r="W39" s="108">
        <v>2</v>
      </c>
      <c r="X39" s="3108" t="s">
        <v>87</v>
      </c>
      <c r="Y39" s="3110"/>
      <c r="Z39" s="3110"/>
      <c r="AA39" s="3111"/>
      <c r="AB39" s="1593"/>
      <c r="AC39" s="1898"/>
      <c r="AD39" s="1599"/>
      <c r="AE39" s="1898"/>
      <c r="AF39" s="1593"/>
      <c r="AG39" s="1898"/>
      <c r="AH39" s="1898"/>
      <c r="AI39" s="1599"/>
      <c r="AJ39" s="1593"/>
      <c r="AK39" s="1898"/>
      <c r="AL39" s="1898"/>
      <c r="AM39" s="1599"/>
    </row>
    <row r="40" spans="1:39" ht="18.75" customHeight="1">
      <c r="A40" s="16"/>
      <c r="B40" s="1431"/>
      <c r="C40" s="1431"/>
      <c r="D40" s="1431"/>
      <c r="E40" s="1431"/>
      <c r="F40" s="931"/>
      <c r="G40" s="931"/>
      <c r="H40" s="931"/>
      <c r="I40" s="931"/>
      <c r="J40" s="931"/>
      <c r="K40" s="931"/>
      <c r="L40" s="931"/>
      <c r="M40" s="931"/>
      <c r="N40" s="931"/>
      <c r="O40" s="931"/>
      <c r="P40" s="931"/>
      <c r="Q40" s="931"/>
      <c r="R40" s="931"/>
      <c r="S40" s="931"/>
      <c r="T40" s="931"/>
      <c r="U40" s="931"/>
      <c r="V40" s="931"/>
    </row>
  </sheetData>
  <mergeCells count="182">
    <mergeCell ref="AB3:AC3"/>
    <mergeCell ref="E3:F3"/>
    <mergeCell ref="X37:AA37"/>
    <mergeCell ref="X38:AA38"/>
    <mergeCell ref="X39:AA39"/>
    <mergeCell ref="X28:AA28"/>
    <mergeCell ref="X29:AA29"/>
    <mergeCell ref="X30:AA30"/>
    <mergeCell ref="X31:AA31"/>
    <mergeCell ref="X32:AA32"/>
    <mergeCell ref="X33:AA33"/>
    <mergeCell ref="X34:AA34"/>
    <mergeCell ref="X35:AA35"/>
    <mergeCell ref="X36:AM36"/>
    <mergeCell ref="W18:W19"/>
    <mergeCell ref="X18:AA19"/>
    <mergeCell ref="X20:AA20"/>
    <mergeCell ref="X21:AA21"/>
    <mergeCell ref="X22:AA22"/>
    <mergeCell ref="X23:AA23"/>
    <mergeCell ref="W24:W25"/>
    <mergeCell ref="X24:AA25"/>
    <mergeCell ref="X27:AA27"/>
    <mergeCell ref="W12:W13"/>
    <mergeCell ref="X12:Y13"/>
    <mergeCell ref="Z12:AA12"/>
    <mergeCell ref="Z13:AA13"/>
    <mergeCell ref="W14:W15"/>
    <mergeCell ref="X14:Y15"/>
    <mergeCell ref="Z14:AA14"/>
    <mergeCell ref="Z15:AA15"/>
    <mergeCell ref="W16:W17"/>
    <mergeCell ref="X16:AA16"/>
    <mergeCell ref="X17:AA17"/>
    <mergeCell ref="W4:W5"/>
    <mergeCell ref="X4:AA5"/>
    <mergeCell ref="W6:W8"/>
    <mergeCell ref="X6:Y8"/>
    <mergeCell ref="Z6:AA6"/>
    <mergeCell ref="Z7:AA7"/>
    <mergeCell ref="Z8:AA8"/>
    <mergeCell ref="W9:W11"/>
    <mergeCell ref="X9:Y11"/>
    <mergeCell ref="Z9:AA9"/>
    <mergeCell ref="Z10:AA10"/>
    <mergeCell ref="Z11:AA11"/>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G3:H3"/>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24:A25"/>
    <mergeCell ref="I27:J27"/>
    <mergeCell ref="K27:L27"/>
    <mergeCell ref="M27:N27"/>
    <mergeCell ref="O27:P27"/>
    <mergeCell ref="Q27:R27"/>
    <mergeCell ref="I29:J29"/>
    <mergeCell ref="K29:L29"/>
    <mergeCell ref="M29:N29"/>
    <mergeCell ref="O29:P29"/>
    <mergeCell ref="Q29:R29"/>
    <mergeCell ref="B24:E25"/>
    <mergeCell ref="B27:E27"/>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K33:L33"/>
    <mergeCell ref="M33:N33"/>
    <mergeCell ref="O33:P33"/>
    <mergeCell ref="Q33:R33"/>
    <mergeCell ref="M39:P39"/>
    <mergeCell ref="Q39:T39"/>
    <mergeCell ref="M38:P38"/>
    <mergeCell ref="Q38:T38"/>
    <mergeCell ref="I38:L38"/>
    <mergeCell ref="I39:L39"/>
    <mergeCell ref="B38:E38"/>
    <mergeCell ref="B39:E39"/>
    <mergeCell ref="B35:E35"/>
    <mergeCell ref="B37:E37"/>
    <mergeCell ref="S35:T35"/>
    <mergeCell ref="M37:P37"/>
    <mergeCell ref="Q37:T37"/>
    <mergeCell ref="I35:J35"/>
    <mergeCell ref="K35:L35"/>
    <mergeCell ref="M35:N35"/>
    <mergeCell ref="O35:P35"/>
    <mergeCell ref="Q35:R35"/>
    <mergeCell ref="I37:L37"/>
    <mergeCell ref="AF4:AI4"/>
    <mergeCell ref="AJ4:AM4"/>
    <mergeCell ref="AB37:AD37"/>
    <mergeCell ref="AF37:AI37"/>
    <mergeCell ref="AJ37:AM37"/>
    <mergeCell ref="AF27:AI27"/>
    <mergeCell ref="AJ27:AM27"/>
    <mergeCell ref="AB4:AE4"/>
    <mergeCell ref="AD5:AE5"/>
    <mergeCell ref="AF5:AG5"/>
    <mergeCell ref="AB5:AC5"/>
    <mergeCell ref="AH5:AI5"/>
    <mergeCell ref="AJ5:AK5"/>
    <mergeCell ref="AL5:AM5"/>
    <mergeCell ref="AB27:AE27"/>
  </mergeCells>
  <phoneticPr fontId="7" type="noConversion"/>
  <conditionalFormatting sqref="I38 M38 Q38">
    <cfRule type="expression" dxfId="2944" priority="1873">
      <formula>I38&lt;300</formula>
    </cfRule>
    <cfRule type="expression" dxfId="2943" priority="1874">
      <formula>I38&gt;360</formula>
    </cfRule>
  </conditionalFormatting>
  <conditionalFormatting sqref="I39 M39 Q39">
    <cfRule type="expression" dxfId="2942" priority="1871">
      <formula>I39&lt;30</formula>
    </cfRule>
    <cfRule type="expression" dxfId="2941" priority="1872">
      <formula>I39&gt;50</formula>
    </cfRule>
  </conditionalFormatting>
  <conditionalFormatting sqref="I16">
    <cfRule type="cellIs" dxfId="2940" priority="360" operator="between">
      <formula>130</formula>
      <formula>132.99</formula>
    </cfRule>
    <cfRule type="cellIs" dxfId="2939" priority="361" operator="between">
      <formula>147.1</formula>
      <formula>150</formula>
    </cfRule>
    <cfRule type="expression" dxfId="2938" priority="362">
      <formula>I16&lt;130</formula>
    </cfRule>
    <cfRule type="expression" dxfId="2937" priority="363">
      <formula>I16&gt;150</formula>
    </cfRule>
  </conditionalFormatting>
  <conditionalFormatting sqref="I17">
    <cfRule type="expression" dxfId="2936" priority="358">
      <formula>I17&lt;8</formula>
    </cfRule>
    <cfRule type="expression" dxfId="2935" priority="359">
      <formula>I17&gt;12</formula>
    </cfRule>
  </conditionalFormatting>
  <conditionalFormatting sqref="I19">
    <cfRule type="cellIs" dxfId="2934" priority="355" operator="between">
      <formula>1.6</formula>
      <formula>1.799</formula>
    </cfRule>
    <cfRule type="expression" dxfId="2933" priority="356">
      <formula>I19&lt;1.6</formula>
    </cfRule>
    <cfRule type="expression" dxfId="2932" priority="357">
      <formula>I19&gt;2.2</formula>
    </cfRule>
  </conditionalFormatting>
  <conditionalFormatting sqref="I21">
    <cfRule type="cellIs" dxfId="2931" priority="351" operator="between">
      <formula>15%</formula>
      <formula>16.99%</formula>
    </cfRule>
    <cfRule type="cellIs" dxfId="2930" priority="352" operator="between">
      <formula>27.01%</formula>
      <formula>30%</formula>
    </cfRule>
    <cfRule type="expression" dxfId="2929" priority="353">
      <formula>I21&lt;15%</formula>
    </cfRule>
    <cfRule type="expression" dxfId="2928" priority="354">
      <formula>I21&gt;30%</formula>
    </cfRule>
  </conditionalFormatting>
  <conditionalFormatting sqref="I22">
    <cfRule type="cellIs" dxfId="2927" priority="347" operator="between">
      <formula>5%</formula>
      <formula>6.99%</formula>
    </cfRule>
    <cfRule type="cellIs" dxfId="2926" priority="348" operator="between">
      <formula>12.99%</formula>
      <formula>15%</formula>
    </cfRule>
    <cfRule type="expression" dxfId="2925" priority="349">
      <formula>I22&lt;5%</formula>
    </cfRule>
    <cfRule type="expression" dxfId="2924" priority="350">
      <formula>I22&gt;15%</formula>
    </cfRule>
  </conditionalFormatting>
  <conditionalFormatting sqref="I6 I9">
    <cfRule type="cellIs" dxfId="2923" priority="343" operator="between">
      <formula>20</formula>
      <formula>24.99</formula>
    </cfRule>
    <cfRule type="cellIs" dxfId="2922" priority="344" operator="between">
      <formula>35.1</formula>
      <formula>40</formula>
    </cfRule>
    <cfRule type="expression" dxfId="2921" priority="345">
      <formula>I6&lt;20</formula>
    </cfRule>
    <cfRule type="expression" dxfId="2920" priority="346">
      <formula>I6&gt;40</formula>
    </cfRule>
  </conditionalFormatting>
  <conditionalFormatting sqref="I12 I14">
    <cfRule type="expression" dxfId="2919" priority="341" stopIfTrue="1">
      <formula>I12&gt;80</formula>
    </cfRule>
    <cfRule type="expression" dxfId="2918" priority="342" stopIfTrue="1">
      <formula>I12&lt;60</formula>
    </cfRule>
  </conditionalFormatting>
  <conditionalFormatting sqref="I20">
    <cfRule type="cellIs" dxfId="2917" priority="337" operator="between">
      <formula>30%</formula>
      <formula>39.99%</formula>
    </cfRule>
    <cfRule type="cellIs" dxfId="2916" priority="338" operator="between">
      <formula>50.01%</formula>
      <formula>60%</formula>
    </cfRule>
    <cfRule type="expression" dxfId="2915" priority="339">
      <formula>I20&lt;30%</formula>
    </cfRule>
    <cfRule type="expression" dxfId="2914" priority="340">
      <formula>I20&gt;60%</formula>
    </cfRule>
  </conditionalFormatting>
  <conditionalFormatting sqref="I18">
    <cfRule type="cellIs" dxfId="2913" priority="334" operator="between">
      <formula>16.1</formula>
      <formula>18</formula>
    </cfRule>
    <cfRule type="expression" dxfId="2912" priority="335">
      <formula>I18&lt;12</formula>
    </cfRule>
    <cfRule type="expression" dxfId="2911" priority="336">
      <formula>I18&gt;18</formula>
    </cfRule>
  </conditionalFormatting>
  <conditionalFormatting sqref="I23">
    <cfRule type="cellIs" dxfId="2910" priority="330" operator="between">
      <formula>0.5%</formula>
      <formula>0.599%</formula>
    </cfRule>
    <cfRule type="cellIs" dxfId="2909" priority="331" operator="between">
      <formula>1.41%</formula>
      <formula>1.5%</formula>
    </cfRule>
    <cfRule type="expression" dxfId="2908" priority="332">
      <formula>I23&lt;0.5%</formula>
    </cfRule>
    <cfRule type="expression" dxfId="2907" priority="333">
      <formula>I23&gt;1.5%</formula>
    </cfRule>
  </conditionalFormatting>
  <conditionalFormatting sqref="M16">
    <cfRule type="cellIs" dxfId="2906" priority="326" operator="between">
      <formula>130</formula>
      <formula>132.99</formula>
    </cfRule>
    <cfRule type="cellIs" dxfId="2905" priority="327" operator="between">
      <formula>147.1</formula>
      <formula>150</formula>
    </cfRule>
    <cfRule type="expression" dxfId="2904" priority="328">
      <formula>M16&lt;130</formula>
    </cfRule>
    <cfRule type="expression" dxfId="2903" priority="329">
      <formula>M16&gt;150</formula>
    </cfRule>
  </conditionalFormatting>
  <conditionalFormatting sqref="M17">
    <cfRule type="expression" dxfId="2902" priority="324">
      <formula>M17&lt;8</formula>
    </cfRule>
    <cfRule type="expression" dxfId="2901" priority="325">
      <formula>M17&gt;12</formula>
    </cfRule>
  </conditionalFormatting>
  <conditionalFormatting sqref="M19">
    <cfRule type="cellIs" dxfId="2900" priority="321" operator="between">
      <formula>1.6</formula>
      <formula>1.799</formula>
    </cfRule>
    <cfRule type="expression" dxfId="2899" priority="322">
      <formula>M19&lt;1.6</formula>
    </cfRule>
    <cfRule type="expression" dxfId="2898" priority="323">
      <formula>M19&gt;2.2</formula>
    </cfRule>
  </conditionalFormatting>
  <conditionalFormatting sqref="M21">
    <cfRule type="cellIs" dxfId="2897" priority="317" operator="between">
      <formula>15%</formula>
      <formula>16.99%</formula>
    </cfRule>
    <cfRule type="cellIs" dxfId="2896" priority="318" operator="between">
      <formula>27.01%</formula>
      <formula>30%</formula>
    </cfRule>
    <cfRule type="expression" dxfId="2895" priority="319">
      <formula>M21&lt;15%</formula>
    </cfRule>
    <cfRule type="expression" dxfId="2894" priority="320">
      <formula>M21&gt;30%</formula>
    </cfRule>
  </conditionalFormatting>
  <conditionalFormatting sqref="M22">
    <cfRule type="cellIs" dxfId="2893" priority="313" operator="between">
      <formula>5%</formula>
      <formula>6.99%</formula>
    </cfRule>
    <cfRule type="cellIs" dxfId="2892" priority="314" operator="between">
      <formula>12.99%</formula>
      <formula>15%</formula>
    </cfRule>
    <cfRule type="expression" dxfId="2891" priority="315">
      <formula>M22&lt;5%</formula>
    </cfRule>
    <cfRule type="expression" dxfId="2890" priority="316">
      <formula>M22&gt;15%</formula>
    </cfRule>
  </conditionalFormatting>
  <conditionalFormatting sqref="M6 M9">
    <cfRule type="cellIs" dxfId="2889" priority="309" operator="between">
      <formula>20</formula>
      <formula>24.99</formula>
    </cfRule>
    <cfRule type="cellIs" dxfId="2888" priority="310" operator="between">
      <formula>35.1</formula>
      <formula>40</formula>
    </cfRule>
    <cfRule type="expression" dxfId="2887" priority="311">
      <formula>M6&lt;20</formula>
    </cfRule>
    <cfRule type="expression" dxfId="2886" priority="312">
      <formula>M6&gt;40</formula>
    </cfRule>
  </conditionalFormatting>
  <conditionalFormatting sqref="M12 M14">
    <cfRule type="expression" dxfId="2885" priority="307" stopIfTrue="1">
      <formula>M12&gt;80</formula>
    </cfRule>
    <cfRule type="expression" dxfId="2884" priority="308" stopIfTrue="1">
      <formula>M12&lt;60</formula>
    </cfRule>
  </conditionalFormatting>
  <conditionalFormatting sqref="M20">
    <cfRule type="cellIs" dxfId="2883" priority="303" operator="between">
      <formula>30%</formula>
      <formula>39.99%</formula>
    </cfRule>
    <cfRule type="cellIs" dxfId="2882" priority="304" operator="between">
      <formula>50.01%</formula>
      <formula>60%</formula>
    </cfRule>
    <cfRule type="expression" dxfId="2881" priority="305">
      <formula>M20&lt;30%</formula>
    </cfRule>
    <cfRule type="expression" dxfId="2880" priority="306">
      <formula>M20&gt;60%</formula>
    </cfRule>
  </conditionalFormatting>
  <conditionalFormatting sqref="M18">
    <cfRule type="cellIs" dxfId="2879" priority="300" operator="between">
      <formula>16.1</formula>
      <formula>18</formula>
    </cfRule>
    <cfRule type="expression" dxfId="2878" priority="301">
      <formula>M18&lt;12</formula>
    </cfRule>
    <cfRule type="expression" dxfId="2877" priority="302">
      <formula>M18&gt;18</formula>
    </cfRule>
  </conditionalFormatting>
  <conditionalFormatting sqref="M23">
    <cfRule type="cellIs" dxfId="2876" priority="296" operator="between">
      <formula>0.5%</formula>
      <formula>0.599%</formula>
    </cfRule>
    <cfRule type="cellIs" dxfId="2875" priority="297" operator="between">
      <formula>1.41%</formula>
      <formula>1.5%</formula>
    </cfRule>
    <cfRule type="expression" dxfId="2874" priority="298">
      <formula>M23&lt;0.5%</formula>
    </cfRule>
    <cfRule type="expression" dxfId="2873" priority="299">
      <formula>M23&gt;1.5%</formula>
    </cfRule>
  </conditionalFormatting>
  <conditionalFormatting sqref="Q16">
    <cfRule type="cellIs" dxfId="2872" priority="292" operator="between">
      <formula>130</formula>
      <formula>132.99</formula>
    </cfRule>
    <cfRule type="cellIs" dxfId="2871" priority="293" operator="between">
      <formula>147.1</formula>
      <formula>150</formula>
    </cfRule>
    <cfRule type="expression" dxfId="2870" priority="294">
      <formula>Q16&lt;130</formula>
    </cfRule>
    <cfRule type="expression" dxfId="2869" priority="295">
      <formula>Q16&gt;150</formula>
    </cfRule>
  </conditionalFormatting>
  <conditionalFormatting sqref="Q17">
    <cfRule type="expression" dxfId="2868" priority="290">
      <formula>Q17&lt;8</formula>
    </cfRule>
    <cfRule type="expression" dxfId="2867" priority="291">
      <formula>Q17&gt;12</formula>
    </cfRule>
  </conditionalFormatting>
  <conditionalFormatting sqref="Q19">
    <cfRule type="cellIs" dxfId="2866" priority="287" operator="between">
      <formula>1.6</formula>
      <formula>1.799</formula>
    </cfRule>
    <cfRule type="expression" dxfId="2865" priority="288">
      <formula>Q19&lt;1.6</formula>
    </cfRule>
    <cfRule type="expression" dxfId="2864" priority="289">
      <formula>Q19&gt;2.2</formula>
    </cfRule>
  </conditionalFormatting>
  <conditionalFormatting sqref="Q21">
    <cfRule type="cellIs" dxfId="2863" priority="283" operator="between">
      <formula>15%</formula>
      <formula>16.99%</formula>
    </cfRule>
    <cfRule type="cellIs" dxfId="2862" priority="284" operator="between">
      <formula>27.01%</formula>
      <formula>30%</formula>
    </cfRule>
    <cfRule type="expression" dxfId="2861" priority="285">
      <formula>Q21&lt;15%</formula>
    </cfRule>
    <cfRule type="expression" dxfId="2860" priority="286">
      <formula>Q21&gt;30%</formula>
    </cfRule>
  </conditionalFormatting>
  <conditionalFormatting sqref="Q22">
    <cfRule type="cellIs" dxfId="2859" priority="279" operator="between">
      <formula>5%</formula>
      <formula>6.99%</formula>
    </cfRule>
    <cfRule type="cellIs" dxfId="2858" priority="280" operator="between">
      <formula>12.99%</formula>
      <formula>15%</formula>
    </cfRule>
    <cfRule type="expression" dxfId="2857" priority="281">
      <formula>Q22&lt;5%</formula>
    </cfRule>
    <cfRule type="expression" dxfId="2856" priority="282">
      <formula>Q22&gt;15%</formula>
    </cfRule>
  </conditionalFormatting>
  <conditionalFormatting sqref="Q6 Q9">
    <cfRule type="cellIs" dxfId="2855" priority="275" operator="between">
      <formula>20</formula>
      <formula>24.99</formula>
    </cfRule>
    <cfRule type="cellIs" dxfId="2854" priority="276" operator="between">
      <formula>35.1</formula>
      <formula>40</formula>
    </cfRule>
    <cfRule type="expression" dxfId="2853" priority="277">
      <formula>Q6&lt;20</formula>
    </cfRule>
    <cfRule type="expression" dxfId="2852" priority="278">
      <formula>Q6&gt;40</formula>
    </cfRule>
  </conditionalFormatting>
  <conditionalFormatting sqref="Q12 Q14">
    <cfRule type="expression" dxfId="2851" priority="273" stopIfTrue="1">
      <formula>Q12&gt;80</formula>
    </cfRule>
    <cfRule type="expression" dxfId="2850" priority="274" stopIfTrue="1">
      <formula>Q12&lt;60</formula>
    </cfRule>
  </conditionalFormatting>
  <conditionalFormatting sqref="Q20">
    <cfRule type="cellIs" dxfId="2849" priority="269" operator="between">
      <formula>30%</formula>
      <formula>39.99%</formula>
    </cfRule>
    <cfRule type="cellIs" dxfId="2848" priority="270" operator="between">
      <formula>50.01%</formula>
      <formula>60%</formula>
    </cfRule>
    <cfRule type="expression" dxfId="2847" priority="271">
      <formula>Q20&lt;30%</formula>
    </cfRule>
    <cfRule type="expression" dxfId="2846" priority="272">
      <formula>Q20&gt;60%</formula>
    </cfRule>
  </conditionalFormatting>
  <conditionalFormatting sqref="Q18">
    <cfRule type="cellIs" dxfId="2845" priority="266" operator="between">
      <formula>16.1</formula>
      <formula>18</formula>
    </cfRule>
    <cfRule type="expression" dxfId="2844" priority="267">
      <formula>Q18&lt;12</formula>
    </cfRule>
    <cfRule type="expression" dxfId="2843" priority="268">
      <formula>Q18&gt;18</formula>
    </cfRule>
  </conditionalFormatting>
  <conditionalFormatting sqref="Q23">
    <cfRule type="cellIs" dxfId="2842" priority="262" operator="between">
      <formula>0.5%</formula>
      <formula>0.599%</formula>
    </cfRule>
    <cfRule type="cellIs" dxfId="2841" priority="263" operator="between">
      <formula>1.41%</formula>
      <formula>1.5%</formula>
    </cfRule>
    <cfRule type="expression" dxfId="2840" priority="264">
      <formula>Q23&lt;0.5%</formula>
    </cfRule>
    <cfRule type="expression" dxfId="2839" priority="265">
      <formula>Q23&gt;1.5%</formula>
    </cfRule>
  </conditionalFormatting>
  <conditionalFormatting sqref="K32:L32">
    <cfRule type="cellIs" dxfId="2838" priority="258" operator="between">
      <formula>20</formula>
      <formula>25.9</formula>
    </cfRule>
    <cfRule type="cellIs" dxfId="2837" priority="259" operator="between">
      <formula>34.1</formula>
      <formula>35</formula>
    </cfRule>
    <cfRule type="expression" dxfId="2836" priority="260">
      <formula>K32&lt;20</formula>
    </cfRule>
    <cfRule type="expression" dxfId="2835" priority="261">
      <formula>K32&gt;35</formula>
    </cfRule>
  </conditionalFormatting>
  <conditionalFormatting sqref="K28:L29">
    <cfRule type="cellIs" dxfId="2834" priority="254" operator="between">
      <formula>50</formula>
      <formula>54.9</formula>
    </cfRule>
    <cfRule type="cellIs" dxfId="2833" priority="255" operator="between">
      <formula>65.1</formula>
      <formula>70</formula>
    </cfRule>
    <cfRule type="expression" dxfId="2832" priority="256">
      <formula>K28&lt;50</formula>
    </cfRule>
    <cfRule type="expression" dxfId="2831" priority="257">
      <formula>K28&gt;70</formula>
    </cfRule>
  </conditionalFormatting>
  <conditionalFormatting sqref="K33">
    <cfRule type="cellIs" dxfId="2830" priority="245" operator="between">
      <formula>30</formula>
      <formula>30.9</formula>
    </cfRule>
    <cfRule type="cellIs" dxfId="2829" priority="246" operator="between">
      <formula>37.1</formula>
      <formula>40</formula>
    </cfRule>
    <cfRule type="expression" dxfId="2828" priority="247">
      <formula>K33&lt;30</formula>
    </cfRule>
    <cfRule type="expression" dxfId="2827" priority="248">
      <formula>K33&gt;40</formula>
    </cfRule>
  </conditionalFormatting>
  <conditionalFormatting sqref="K35">
    <cfRule type="cellIs" dxfId="2826" priority="241" operator="between">
      <formula>80</formula>
      <formula>84.9</formula>
    </cfRule>
    <cfRule type="cellIs" dxfId="2825" priority="242" operator="between">
      <formula>95.1</formula>
      <formula>100</formula>
    </cfRule>
    <cfRule type="expression" dxfId="2824" priority="243">
      <formula>K35&lt;80</formula>
    </cfRule>
    <cfRule type="expression" dxfId="2823" priority="244">
      <formula>K35&gt;100</formula>
    </cfRule>
  </conditionalFormatting>
  <conditionalFormatting sqref="K34">
    <cfRule type="expression" dxfId="2822" priority="239">
      <formula>K34&lt;50</formula>
    </cfRule>
    <cfRule type="expression" dxfId="2821" priority="240">
      <formula>K34&gt;70</formula>
    </cfRule>
  </conditionalFormatting>
  <conditionalFormatting sqref="I32:J32">
    <cfRule type="cellIs" dxfId="2820" priority="235" operator="between">
      <formula>20</formula>
      <formula>25.9</formula>
    </cfRule>
    <cfRule type="cellIs" dxfId="2819" priority="236" operator="between">
      <formula>34.1</formula>
      <formula>35</formula>
    </cfRule>
    <cfRule type="expression" dxfId="2818" priority="237">
      <formula>I32&lt;20</formula>
    </cfRule>
    <cfRule type="expression" dxfId="2817" priority="238">
      <formula>I32&gt;35</formula>
    </cfRule>
  </conditionalFormatting>
  <conditionalFormatting sqref="I28:J29">
    <cfRule type="cellIs" dxfId="2816" priority="231" operator="between">
      <formula>50</formula>
      <formula>54.9</formula>
    </cfRule>
    <cfRule type="cellIs" dxfId="2815" priority="232" operator="between">
      <formula>65.1</formula>
      <formula>70</formula>
    </cfRule>
    <cfRule type="expression" dxfId="2814" priority="233">
      <formula>I28&lt;50</formula>
    </cfRule>
    <cfRule type="expression" dxfId="2813" priority="234">
      <formula>I28&gt;70</formula>
    </cfRule>
  </conditionalFormatting>
  <conditionalFormatting sqref="I33">
    <cfRule type="cellIs" dxfId="2812" priority="222" operator="between">
      <formula>30</formula>
      <formula>30.9</formula>
    </cfRule>
    <cfRule type="cellIs" dxfId="2811" priority="223" operator="between">
      <formula>37.1</formula>
      <formula>40</formula>
    </cfRule>
    <cfRule type="expression" dxfId="2810" priority="224">
      <formula>I33&lt;30</formula>
    </cfRule>
    <cfRule type="expression" dxfId="2809" priority="225">
      <formula>I33&gt;40</formula>
    </cfRule>
  </conditionalFormatting>
  <conditionalFormatting sqref="I34">
    <cfRule type="expression" dxfId="2808" priority="220">
      <formula>I34&lt;50</formula>
    </cfRule>
    <cfRule type="expression" dxfId="2807" priority="221">
      <formula>I34&gt;70</formula>
    </cfRule>
  </conditionalFormatting>
  <conditionalFormatting sqref="O32:P32">
    <cfRule type="cellIs" dxfId="2806" priority="216" operator="between">
      <formula>20</formula>
      <formula>25.9</formula>
    </cfRule>
    <cfRule type="cellIs" dxfId="2805" priority="217" operator="between">
      <formula>34.1</formula>
      <formula>35</formula>
    </cfRule>
    <cfRule type="expression" dxfId="2804" priority="218">
      <formula>O32&lt;20</formula>
    </cfRule>
    <cfRule type="expression" dxfId="2803" priority="219">
      <formula>O32&gt;35</formula>
    </cfRule>
  </conditionalFormatting>
  <conditionalFormatting sqref="O28:P29">
    <cfRule type="cellIs" dxfId="2802" priority="212" operator="between">
      <formula>50</formula>
      <formula>54.9</formula>
    </cfRule>
    <cfRule type="cellIs" dxfId="2801" priority="213" operator="between">
      <formula>65.1</formula>
      <formula>70</formula>
    </cfRule>
    <cfRule type="expression" dxfId="2800" priority="214">
      <formula>O28&lt;50</formula>
    </cfRule>
    <cfRule type="expression" dxfId="2799" priority="215">
      <formula>O28&gt;70</formula>
    </cfRule>
  </conditionalFormatting>
  <conditionalFormatting sqref="O33">
    <cfRule type="cellIs" dxfId="2798" priority="203" operator="between">
      <formula>30</formula>
      <formula>30.9</formula>
    </cfRule>
    <cfRule type="cellIs" dxfId="2797" priority="204" operator="between">
      <formula>37.1</formula>
      <formula>40</formula>
    </cfRule>
    <cfRule type="expression" dxfId="2796" priority="205">
      <formula>O33&lt;30</formula>
    </cfRule>
    <cfRule type="expression" dxfId="2795" priority="206">
      <formula>O33&gt;40</formula>
    </cfRule>
  </conditionalFormatting>
  <conditionalFormatting sqref="O35">
    <cfRule type="cellIs" dxfId="2794" priority="199" operator="between">
      <formula>80</formula>
      <formula>84.9</formula>
    </cfRule>
    <cfRule type="cellIs" dxfId="2793" priority="200" operator="between">
      <formula>95.1</formula>
      <formula>100</formula>
    </cfRule>
    <cfRule type="expression" dxfId="2792" priority="201">
      <formula>O35&lt;80</formula>
    </cfRule>
    <cfRule type="expression" dxfId="2791" priority="202">
      <formula>O35&gt;100</formula>
    </cfRule>
  </conditionalFormatting>
  <conditionalFormatting sqref="O34">
    <cfRule type="expression" dxfId="2790" priority="197">
      <formula>O34&lt;50</formula>
    </cfRule>
    <cfRule type="expression" dxfId="2789" priority="198">
      <formula>O34&gt;70</formula>
    </cfRule>
  </conditionalFormatting>
  <conditionalFormatting sqref="M32:N32">
    <cfRule type="cellIs" dxfId="2788" priority="193" operator="between">
      <formula>20</formula>
      <formula>25.9</formula>
    </cfRule>
    <cfRule type="cellIs" dxfId="2787" priority="194" operator="between">
      <formula>34.1</formula>
      <formula>35</formula>
    </cfRule>
    <cfRule type="expression" dxfId="2786" priority="195">
      <formula>M32&lt;20</formula>
    </cfRule>
    <cfRule type="expression" dxfId="2785" priority="196">
      <formula>M32&gt;35</formula>
    </cfRule>
  </conditionalFormatting>
  <conditionalFormatting sqref="M28:N29">
    <cfRule type="cellIs" dxfId="2784" priority="189" operator="between">
      <formula>50</formula>
      <formula>54.9</formula>
    </cfRule>
    <cfRule type="cellIs" dxfId="2783" priority="190" operator="between">
      <formula>65.1</formula>
      <formula>70</formula>
    </cfRule>
    <cfRule type="expression" dxfId="2782" priority="191">
      <formula>M28&lt;50</formula>
    </cfRule>
    <cfRule type="expression" dxfId="2781" priority="192">
      <formula>M28&gt;70</formula>
    </cfRule>
  </conditionalFormatting>
  <conditionalFormatting sqref="M33">
    <cfRule type="cellIs" dxfId="2780" priority="180" operator="between">
      <formula>30</formula>
      <formula>30.9</formula>
    </cfRule>
    <cfRule type="cellIs" dxfId="2779" priority="181" operator="between">
      <formula>37.1</formula>
      <formula>40</formula>
    </cfRule>
    <cfRule type="expression" dxfId="2778" priority="182">
      <formula>M33&lt;30</formula>
    </cfRule>
    <cfRule type="expression" dxfId="2777" priority="183">
      <formula>M33&gt;40</formula>
    </cfRule>
  </conditionalFormatting>
  <conditionalFormatting sqref="M34">
    <cfRule type="expression" dxfId="2776" priority="178">
      <formula>M34&lt;50</formula>
    </cfRule>
    <cfRule type="expression" dxfId="2775" priority="179">
      <formula>M34&gt;70</formula>
    </cfRule>
  </conditionalFormatting>
  <conditionalFormatting sqref="S32:T32">
    <cfRule type="cellIs" dxfId="2774" priority="174" operator="between">
      <formula>20</formula>
      <formula>25.9</formula>
    </cfRule>
    <cfRule type="cellIs" dxfId="2773" priority="175" operator="between">
      <formula>34.1</formula>
      <formula>35</formula>
    </cfRule>
    <cfRule type="expression" dxfId="2772" priority="176">
      <formula>S32&lt;20</formula>
    </cfRule>
    <cfRule type="expression" dxfId="2771" priority="177">
      <formula>S32&gt;35</formula>
    </cfRule>
  </conditionalFormatting>
  <conditionalFormatting sqref="S28:T29">
    <cfRule type="cellIs" dxfId="2770" priority="170" operator="between">
      <formula>50</formula>
      <formula>54.9</formula>
    </cfRule>
    <cfRule type="cellIs" dxfId="2769" priority="171" operator="between">
      <formula>65.1</formula>
      <formula>70</formula>
    </cfRule>
    <cfRule type="expression" dxfId="2768" priority="172">
      <formula>S28&lt;50</formula>
    </cfRule>
    <cfRule type="expression" dxfId="2767" priority="173">
      <formula>S28&gt;70</formula>
    </cfRule>
  </conditionalFormatting>
  <conditionalFormatting sqref="S33">
    <cfRule type="cellIs" dxfId="2766" priority="161" operator="between">
      <formula>30</formula>
      <formula>30.9</formula>
    </cfRule>
    <cfRule type="cellIs" dxfId="2765" priority="162" operator="between">
      <formula>37.1</formula>
      <formula>40</formula>
    </cfRule>
    <cfRule type="expression" dxfId="2764" priority="163">
      <formula>S33&lt;30</formula>
    </cfRule>
    <cfRule type="expression" dxfId="2763" priority="164">
      <formula>S33&gt;40</formula>
    </cfRule>
  </conditionalFormatting>
  <conditionalFormatting sqref="S35">
    <cfRule type="cellIs" dxfId="2762" priority="157" operator="between">
      <formula>80</formula>
      <formula>84.9</formula>
    </cfRule>
    <cfRule type="cellIs" dxfId="2761" priority="158" operator="between">
      <formula>95.1</formula>
      <formula>100</formula>
    </cfRule>
    <cfRule type="expression" dxfId="2760" priority="159">
      <formula>S35&lt;80</formula>
    </cfRule>
    <cfRule type="expression" dxfId="2759" priority="160">
      <formula>S35&gt;100</formula>
    </cfRule>
  </conditionalFormatting>
  <conditionalFormatting sqref="S34">
    <cfRule type="expression" dxfId="2758" priority="155">
      <formula>S34&lt;50</formula>
    </cfRule>
    <cfRule type="expression" dxfId="2757" priority="156">
      <formula>S34&gt;70</formula>
    </cfRule>
  </conditionalFormatting>
  <conditionalFormatting sqref="Q32:R32">
    <cfRule type="cellIs" dxfId="2756" priority="151" operator="between">
      <formula>20</formula>
      <formula>25.9</formula>
    </cfRule>
    <cfRule type="cellIs" dxfId="2755" priority="152" operator="between">
      <formula>34.1</formula>
      <formula>35</formula>
    </cfRule>
    <cfRule type="expression" dxfId="2754" priority="153">
      <formula>Q32&lt;20</formula>
    </cfRule>
    <cfRule type="expression" dxfId="2753" priority="154">
      <formula>Q32&gt;35</formula>
    </cfRule>
  </conditionalFormatting>
  <conditionalFormatting sqref="Q28:R29">
    <cfRule type="cellIs" dxfId="2752" priority="147" operator="between">
      <formula>50</formula>
      <formula>54.9</formula>
    </cfRule>
    <cfRule type="cellIs" dxfId="2751" priority="148" operator="between">
      <formula>65.1</formula>
      <formula>70</formula>
    </cfRule>
    <cfRule type="expression" dxfId="2750" priority="149">
      <formula>Q28&lt;50</formula>
    </cfRule>
    <cfRule type="expression" dxfId="2749" priority="150">
      <formula>Q28&gt;70</formula>
    </cfRule>
  </conditionalFormatting>
  <conditionalFormatting sqref="Q33">
    <cfRule type="cellIs" dxfId="2748" priority="138" operator="between">
      <formula>30</formula>
      <formula>30.9</formula>
    </cfRule>
    <cfRule type="cellIs" dxfId="2747" priority="139" operator="between">
      <formula>37.1</formula>
      <formula>40</formula>
    </cfRule>
    <cfRule type="expression" dxfId="2746" priority="140">
      <formula>Q33&lt;30</formula>
    </cfRule>
    <cfRule type="expression" dxfId="2745" priority="141">
      <formula>Q33&gt;40</formula>
    </cfRule>
  </conditionalFormatting>
  <conditionalFormatting sqref="Q34">
    <cfRule type="expression" dxfId="2744" priority="136">
      <formula>Q34&lt;50</formula>
    </cfRule>
    <cfRule type="expression" dxfId="2743" priority="137">
      <formula>Q34&gt;70</formula>
    </cfRule>
  </conditionalFormatting>
  <conditionalFormatting sqref="I24">
    <cfRule type="cellIs" dxfId="2742" priority="108" operator="between">
      <formula>5</formula>
      <formula>6.49</formula>
    </cfRule>
    <cfRule type="cellIs" dxfId="2741" priority="109" operator="between">
      <formula>8.51</formula>
      <formula>10</formula>
    </cfRule>
    <cfRule type="expression" dxfId="2740" priority="110">
      <formula>I24&lt;5</formula>
    </cfRule>
    <cfRule type="expression" dxfId="2739" priority="111">
      <formula>I24&gt;10</formula>
    </cfRule>
  </conditionalFormatting>
  <conditionalFormatting sqref="M24">
    <cfRule type="cellIs" dxfId="2738" priority="100" operator="between">
      <formula>5</formula>
      <formula>6.49</formula>
    </cfRule>
    <cfRule type="cellIs" dxfId="2737" priority="101" operator="between">
      <formula>8.51</formula>
      <formula>10</formula>
    </cfRule>
    <cfRule type="expression" dxfId="2736" priority="102">
      <formula>M24&lt;5</formula>
    </cfRule>
    <cfRule type="expression" dxfId="2735" priority="103">
      <formula>M24&gt;10</formula>
    </cfRule>
  </conditionalFormatting>
  <conditionalFormatting sqref="Q24">
    <cfRule type="cellIs" dxfId="2734" priority="92" operator="between">
      <formula>5</formula>
      <formula>6.49</formula>
    </cfRule>
    <cfRule type="cellIs" dxfId="2733" priority="93" operator="between">
      <formula>8.51</formula>
      <formula>10</formula>
    </cfRule>
    <cfRule type="expression" dxfId="2732" priority="94">
      <formula>Q24&lt;5</formula>
    </cfRule>
    <cfRule type="expression" dxfId="2731" priority="95">
      <formula>Q24&gt;10</formula>
    </cfRule>
  </conditionalFormatting>
  <conditionalFormatting sqref="I30">
    <cfRule type="cellIs" dxfId="2730" priority="60" operator="between">
      <formula>40</formula>
      <formula>44.99</formula>
    </cfRule>
    <cfRule type="cellIs" dxfId="2729" priority="61" operator="between">
      <formula>55.1</formula>
      <formula>60</formula>
    </cfRule>
    <cfRule type="expression" dxfId="2728" priority="62">
      <formula>I30&lt;40</formula>
    </cfRule>
    <cfRule type="expression" dxfId="2727" priority="63">
      <formula>I30&gt;60</formula>
    </cfRule>
  </conditionalFormatting>
  <conditionalFormatting sqref="I31">
    <cfRule type="cellIs" dxfId="2726" priority="56" operator="between">
      <formula>40</formula>
      <formula>44.99</formula>
    </cfRule>
    <cfRule type="cellIs" dxfId="2725" priority="57" operator="between">
      <formula>55.1</formula>
      <formula>60</formula>
    </cfRule>
    <cfRule type="expression" dxfId="2724" priority="58">
      <formula>I31&lt;40</formula>
    </cfRule>
    <cfRule type="expression" dxfId="2723" priority="59">
      <formula>I31&gt;60</formula>
    </cfRule>
  </conditionalFormatting>
  <conditionalFormatting sqref="K30">
    <cfRule type="cellIs" dxfId="2722" priority="52" operator="between">
      <formula>40</formula>
      <formula>44.99</formula>
    </cfRule>
    <cfRule type="cellIs" dxfId="2721" priority="53" operator="between">
      <formula>55.1</formula>
      <formula>60</formula>
    </cfRule>
    <cfRule type="expression" dxfId="2720" priority="54">
      <formula>K30&lt;40</formula>
    </cfRule>
    <cfRule type="expression" dxfId="2719" priority="55">
      <formula>K30&gt;60</formula>
    </cfRule>
  </conditionalFormatting>
  <conditionalFormatting sqref="K31">
    <cfRule type="cellIs" dxfId="2718" priority="48" operator="between">
      <formula>40</formula>
      <formula>44.99</formula>
    </cfRule>
    <cfRule type="cellIs" dxfId="2717" priority="49" operator="between">
      <formula>55.1</formula>
      <formula>60</formula>
    </cfRule>
    <cfRule type="expression" dxfId="2716" priority="50">
      <formula>K31&lt;40</formula>
    </cfRule>
    <cfRule type="expression" dxfId="2715" priority="51">
      <formula>K31&gt;60</formula>
    </cfRule>
  </conditionalFormatting>
  <conditionalFormatting sqref="M30">
    <cfRule type="cellIs" dxfId="2714" priority="44" operator="between">
      <formula>40</formula>
      <formula>44.99</formula>
    </cfRule>
    <cfRule type="cellIs" dxfId="2713" priority="45" operator="between">
      <formula>55.1</formula>
      <formula>60</formula>
    </cfRule>
    <cfRule type="expression" dxfId="2712" priority="46">
      <formula>M30&lt;40</formula>
    </cfRule>
    <cfRule type="expression" dxfId="2711" priority="47">
      <formula>M30&gt;60</formula>
    </cfRule>
  </conditionalFormatting>
  <conditionalFormatting sqref="M31">
    <cfRule type="cellIs" dxfId="2710" priority="40" operator="between">
      <formula>40</formula>
      <formula>44.99</formula>
    </cfRule>
    <cfRule type="cellIs" dxfId="2709" priority="41" operator="between">
      <formula>55.1</formula>
      <formula>60</formula>
    </cfRule>
    <cfRule type="expression" dxfId="2708" priority="42">
      <formula>M31&lt;40</formula>
    </cfRule>
    <cfRule type="expression" dxfId="2707" priority="43">
      <formula>M31&gt;60</formula>
    </cfRule>
  </conditionalFormatting>
  <conditionalFormatting sqref="O30">
    <cfRule type="cellIs" dxfId="2706" priority="36" operator="between">
      <formula>40</formula>
      <formula>44.99</formula>
    </cfRule>
    <cfRule type="cellIs" dxfId="2705" priority="37" operator="between">
      <formula>55.1</formula>
      <formula>60</formula>
    </cfRule>
    <cfRule type="expression" dxfId="2704" priority="38">
      <formula>O30&lt;40</formula>
    </cfRule>
    <cfRule type="expression" dxfId="2703" priority="39">
      <formula>O30&gt;60</formula>
    </cfRule>
  </conditionalFormatting>
  <conditionalFormatting sqref="O31">
    <cfRule type="cellIs" dxfId="2702" priority="32" operator="between">
      <formula>40</formula>
      <formula>44.99</formula>
    </cfRule>
    <cfRule type="cellIs" dxfId="2701" priority="33" operator="between">
      <formula>55.1</formula>
      <formula>60</formula>
    </cfRule>
    <cfRule type="expression" dxfId="2700" priority="34">
      <formula>O31&lt;40</formula>
    </cfRule>
    <cfRule type="expression" dxfId="2699" priority="35">
      <formula>O31&gt;60</formula>
    </cfRule>
  </conditionalFormatting>
  <conditionalFormatting sqref="Q30">
    <cfRule type="cellIs" dxfId="2698" priority="28" operator="between">
      <formula>40</formula>
      <formula>44.99</formula>
    </cfRule>
    <cfRule type="cellIs" dxfId="2697" priority="29" operator="between">
      <formula>55.1</formula>
      <formula>60</formula>
    </cfRule>
    <cfRule type="expression" dxfId="2696" priority="30">
      <formula>Q30&lt;40</formula>
    </cfRule>
    <cfRule type="expression" dxfId="2695" priority="31">
      <formula>Q30&gt;60</formula>
    </cfRule>
  </conditionalFormatting>
  <conditionalFormatting sqref="Q31">
    <cfRule type="cellIs" dxfId="2694" priority="24" operator="between">
      <formula>40</formula>
      <formula>44.99</formula>
    </cfRule>
    <cfRule type="cellIs" dxfId="2693" priority="25" operator="between">
      <formula>55.1</formula>
      <formula>60</formula>
    </cfRule>
    <cfRule type="expression" dxfId="2692" priority="26">
      <formula>Q31&lt;40</formula>
    </cfRule>
    <cfRule type="expression" dxfId="2691" priority="27">
      <formula>Q31&gt;60</formula>
    </cfRule>
  </conditionalFormatting>
  <conditionalFormatting sqref="S30">
    <cfRule type="cellIs" dxfId="2690" priority="20" operator="between">
      <formula>40</formula>
      <formula>44.99</formula>
    </cfRule>
    <cfRule type="cellIs" dxfId="2689" priority="21" operator="between">
      <formula>55.1</formula>
      <formula>60</formula>
    </cfRule>
    <cfRule type="expression" dxfId="2688" priority="22">
      <formula>S30&lt;40</formula>
    </cfRule>
    <cfRule type="expression" dxfId="2687" priority="23">
      <formula>S30&gt;60</formula>
    </cfRule>
  </conditionalFormatting>
  <conditionalFormatting sqref="S31">
    <cfRule type="cellIs" dxfId="2686" priority="16" operator="between">
      <formula>40</formula>
      <formula>44.99</formula>
    </cfRule>
    <cfRule type="cellIs" dxfId="2685" priority="17" operator="between">
      <formula>55.1</formula>
      <formula>60</formula>
    </cfRule>
    <cfRule type="expression" dxfId="2684" priority="18">
      <formula>S31&lt;40</formula>
    </cfRule>
    <cfRule type="expression" dxfId="2683" priority="19">
      <formula>S31&gt;60</formula>
    </cfRule>
  </conditionalFormatting>
  <conditionalFormatting sqref="I25">
    <cfRule type="cellIs" dxfId="2682" priority="9" operator="between">
      <formula>1.8</formula>
      <formula>1.899</formula>
    </cfRule>
    <cfRule type="cellIs" dxfId="2681" priority="10" operator="between">
      <formula>2.11</formula>
      <formula>2.2</formula>
    </cfRule>
    <cfRule type="expression" dxfId="2680" priority="11">
      <formula>I25&lt;1.8</formula>
    </cfRule>
    <cfRule type="expression" dxfId="2679" priority="12">
      <formula>I25&gt;2.2</formula>
    </cfRule>
  </conditionalFormatting>
  <conditionalFormatting sqref="M25">
    <cfRule type="cellIs" dxfId="2678" priority="5" operator="between">
      <formula>1.8</formula>
      <formula>1.899</formula>
    </cfRule>
    <cfRule type="cellIs" dxfId="2677" priority="6" operator="between">
      <formula>2.11</formula>
      <formula>2.2</formula>
    </cfRule>
    <cfRule type="expression" dxfId="2676" priority="7">
      <formula>M25&lt;1.8</formula>
    </cfRule>
    <cfRule type="expression" dxfId="2675" priority="8">
      <formula>M25&gt;2.2</formula>
    </cfRule>
  </conditionalFormatting>
  <conditionalFormatting sqref="Q25">
    <cfRule type="cellIs" dxfId="2674" priority="1" operator="between">
      <formula>1.8</formula>
      <formula>1.899</formula>
    </cfRule>
    <cfRule type="cellIs" dxfId="2673" priority="2" operator="between">
      <formula>2.11</formula>
      <formula>2.2</formula>
    </cfRule>
    <cfRule type="expression" dxfId="2672" priority="3">
      <formula>Q25&lt;1.8</formula>
    </cfRule>
    <cfRule type="expression" dxfId="2671" priority="4">
      <formula>Q25&gt;2.2</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0.xml><?xml version="1.0" encoding="utf-8"?>
<worksheet xmlns="http://schemas.openxmlformats.org/spreadsheetml/2006/main" xmlns:r="http://schemas.openxmlformats.org/officeDocument/2006/relationships">
  <sheetPr codeName="Sheet9">
    <tabColor rgb="FFFF0000"/>
  </sheetPr>
  <dimension ref="A1:AM38"/>
  <sheetViews>
    <sheetView view="pageBreakPreview" zoomScale="55" zoomScaleNormal="70" zoomScaleSheetLayoutView="55" workbookViewId="0">
      <selection activeCell="AE17" sqref="AE17"/>
    </sheetView>
  </sheetViews>
  <sheetFormatPr defaultRowHeight="15"/>
  <cols>
    <col min="1" max="1" width="4.125" style="19" customWidth="1"/>
    <col min="2" max="2" width="7.5" style="32" customWidth="1"/>
    <col min="3" max="3" width="5" style="32" customWidth="1"/>
    <col min="4" max="4" width="2.875" style="32" customWidth="1"/>
    <col min="5" max="5" width="7.75" style="32" customWidth="1"/>
    <col min="6" max="6" width="8" style="19" customWidth="1"/>
    <col min="7" max="7" width="16.25" style="33" customWidth="1"/>
    <col min="8" max="8" width="10.25" style="33"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6.25" style="19" customWidth="1"/>
    <col min="24" max="24" width="9" style="19"/>
    <col min="25" max="25" width="6.5" style="19" customWidth="1"/>
    <col min="26" max="26" width="6.75" style="19" customWidth="1"/>
    <col min="27" max="27" width="7" style="19" customWidth="1"/>
    <col min="28" max="28" width="13.5" style="19" customWidth="1"/>
    <col min="29" max="29" width="5" style="19" customWidth="1"/>
    <col min="30" max="30" width="10.875" style="19" customWidth="1"/>
    <col min="31" max="31" width="6.625" style="19" customWidth="1"/>
    <col min="32" max="32" width="10.875" style="19" customWidth="1"/>
    <col min="33" max="33" width="6.375" style="19" customWidth="1"/>
    <col min="34" max="34" width="10" style="19" customWidth="1"/>
    <col min="35" max="35" width="6.625" style="19" customWidth="1"/>
    <col min="36" max="36" width="10.5" style="19" customWidth="1"/>
    <col min="37" max="37" width="5.25" style="19" customWidth="1"/>
    <col min="38" max="38" width="12.625" style="19" customWidth="1"/>
    <col min="39" max="39" width="7.875" style="19" customWidth="1"/>
    <col min="40" max="16384" width="9" style="19"/>
  </cols>
  <sheetData>
    <row r="1" spans="1:39" ht="28.5" customHeight="1">
      <c r="A1" s="3146" t="s">
        <v>568</v>
      </c>
      <c r="B1" s="3146"/>
      <c r="C1" s="3146"/>
      <c r="D1" s="3146"/>
      <c r="E1" s="3146"/>
      <c r="F1" s="3146"/>
      <c r="G1" s="3146"/>
      <c r="H1" s="3146"/>
      <c r="I1" s="3146"/>
      <c r="J1" s="3146"/>
      <c r="K1" s="3146"/>
      <c r="L1" s="3146"/>
      <c r="M1" s="3146"/>
      <c r="N1" s="3146"/>
      <c r="O1" s="3146"/>
      <c r="P1" s="3146"/>
      <c r="Q1" s="3146"/>
      <c r="R1" s="3146"/>
      <c r="S1" s="1046"/>
      <c r="T1" s="1046"/>
      <c r="U1" s="1534" t="s">
        <v>1376</v>
      </c>
      <c r="W1" s="1538"/>
      <c r="X1" s="1538"/>
      <c r="Y1" s="1538"/>
      <c r="Z1" s="1538"/>
      <c r="AA1" s="1538"/>
      <c r="AB1" s="1538"/>
      <c r="AC1" s="1538"/>
      <c r="AD1" s="1538"/>
      <c r="AE1" s="1538"/>
      <c r="AM1" s="1535" t="s">
        <v>1377</v>
      </c>
    </row>
    <row r="2" spans="1:39" ht="46.5" customHeight="1">
      <c r="A2" s="2865" t="s">
        <v>219</v>
      </c>
      <c r="B2" s="2865"/>
      <c r="C2" s="2865"/>
      <c r="D2" s="2865"/>
      <c r="E2" s="2865"/>
      <c r="F2" s="2865"/>
      <c r="G2" s="2865"/>
      <c r="H2" s="2865"/>
      <c r="I2" s="2865"/>
      <c r="J2" s="2865"/>
      <c r="K2" s="2865"/>
      <c r="L2" s="2865"/>
      <c r="M2" s="2865"/>
      <c r="N2" s="2865"/>
      <c r="O2" s="2865"/>
      <c r="P2" s="2865"/>
      <c r="Q2" s="2865"/>
      <c r="R2" s="2866"/>
      <c r="S2" s="3106" t="s">
        <v>89</v>
      </c>
      <c r="T2" s="2905"/>
      <c r="U2" s="1527" t="s">
        <v>1371</v>
      </c>
      <c r="W2" s="2865"/>
      <c r="X2" s="2865"/>
      <c r="Y2" s="2865"/>
      <c r="Z2" s="2865"/>
      <c r="AA2" s="2865"/>
      <c r="AB2" s="2865"/>
      <c r="AC2" s="2865"/>
      <c r="AD2" s="2865"/>
      <c r="AE2" s="2865"/>
      <c r="AF2" s="2865"/>
      <c r="AG2" s="1897"/>
      <c r="AH2" s="1897"/>
    </row>
    <row r="3" spans="1:39" ht="34.5" customHeight="1">
      <c r="A3" s="53"/>
      <c r="B3" s="3153" t="s">
        <v>215</v>
      </c>
      <c r="C3" s="3153"/>
      <c r="D3" s="3153"/>
      <c r="E3" s="1471"/>
      <c r="F3" s="1471"/>
      <c r="G3" s="1930" t="str">
        <f>MENU!$AC$9</f>
        <v>Thứ 3,</v>
      </c>
      <c r="H3" s="3140" t="str">
        <f>MENU!$AD$9</f>
        <v>2024/01/09</v>
      </c>
      <c r="I3" s="3140"/>
      <c r="J3" s="26"/>
      <c r="K3" s="26"/>
      <c r="L3" s="26"/>
      <c r="M3" s="51"/>
      <c r="N3" s="51"/>
      <c r="O3" s="51"/>
      <c r="R3" s="51"/>
      <c r="S3" s="3154" t="str">
        <f>'1. XL-1E kh'!$AD$3</f>
        <v>Trang</v>
      </c>
      <c r="T3" s="3155"/>
      <c r="U3" s="1512"/>
      <c r="W3" s="53"/>
      <c r="X3" s="3153" t="s">
        <v>215</v>
      </c>
      <c r="Y3" s="3153"/>
      <c r="Z3" s="3153"/>
      <c r="AA3" s="1471"/>
      <c r="AB3" s="1930" t="str">
        <f>MENU!$AC$9</f>
        <v>Thứ 3,</v>
      </c>
      <c r="AC3" s="3140" t="str">
        <f>MENU!$AD$9</f>
        <v>2024/01/09</v>
      </c>
      <c r="AD3" s="3140"/>
      <c r="AE3" s="1601"/>
      <c r="AF3" s="26"/>
      <c r="AG3" s="473"/>
      <c r="AH3" s="473"/>
    </row>
    <row r="4" spans="1:39" s="54" customFormat="1" ht="31.5" customHeight="1">
      <c r="A4" s="3136" t="s">
        <v>7</v>
      </c>
      <c r="B4" s="2877" t="s">
        <v>77</v>
      </c>
      <c r="C4" s="2878"/>
      <c r="D4" s="2878"/>
      <c r="E4" s="2879"/>
      <c r="F4" s="3135" t="s">
        <v>125</v>
      </c>
      <c r="G4" s="2922" t="s">
        <v>1325</v>
      </c>
      <c r="H4" s="2920" t="s">
        <v>1317</v>
      </c>
      <c r="I4" s="2937">
        <v>0.30208333333333331</v>
      </c>
      <c r="J4" s="2904"/>
      <c r="K4" s="2904"/>
      <c r="L4" s="2905"/>
      <c r="M4" s="2903">
        <v>0.46875</v>
      </c>
      <c r="N4" s="2904"/>
      <c r="O4" s="2904"/>
      <c r="P4" s="2905"/>
      <c r="Q4" s="2903">
        <v>0.63541666666666663</v>
      </c>
      <c r="R4" s="2904"/>
      <c r="S4" s="2904"/>
      <c r="T4" s="2905"/>
      <c r="U4" s="2961" t="s">
        <v>91</v>
      </c>
      <c r="W4" s="3136" t="s">
        <v>7</v>
      </c>
      <c r="X4" s="2877" t="s">
        <v>77</v>
      </c>
      <c r="Y4" s="2878"/>
      <c r="Z4" s="2878"/>
      <c r="AA4" s="2879"/>
      <c r="AB4" s="2903">
        <v>0.30208333333333331</v>
      </c>
      <c r="AC4" s="2937"/>
      <c r="AD4" s="2937"/>
      <c r="AE4" s="3105"/>
      <c r="AF4" s="2903">
        <v>0.46875</v>
      </c>
      <c r="AG4" s="2937"/>
      <c r="AH4" s="2937"/>
      <c r="AI4" s="3105"/>
      <c r="AJ4" s="2903">
        <v>0.63541666666666663</v>
      </c>
      <c r="AK4" s="2937"/>
      <c r="AL4" s="2937"/>
      <c r="AM4" s="3105"/>
    </row>
    <row r="5" spans="1:39" s="54" customFormat="1" ht="30" customHeight="1">
      <c r="A5" s="3136"/>
      <c r="B5" s="2880"/>
      <c r="C5" s="2881"/>
      <c r="D5" s="2881"/>
      <c r="E5" s="2882"/>
      <c r="F5" s="3136"/>
      <c r="G5" s="2923"/>
      <c r="H5" s="2921"/>
      <c r="I5" s="2448" t="s">
        <v>130</v>
      </c>
      <c r="J5" s="2909" t="s">
        <v>1</v>
      </c>
      <c r="K5" s="2910"/>
      <c r="L5" s="2911"/>
      <c r="M5" s="55" t="s">
        <v>130</v>
      </c>
      <c r="N5" s="2909" t="s">
        <v>1</v>
      </c>
      <c r="O5" s="2910"/>
      <c r="P5" s="2911"/>
      <c r="Q5" s="55" t="s">
        <v>130</v>
      </c>
      <c r="R5" s="2909" t="s">
        <v>1</v>
      </c>
      <c r="S5" s="2910"/>
      <c r="T5" s="2911"/>
      <c r="U5" s="2962"/>
      <c r="W5" s="3136"/>
      <c r="X5" s="2880"/>
      <c r="Y5" s="2881"/>
      <c r="Z5" s="2881"/>
      <c r="AA5" s="2882"/>
      <c r="AB5" s="3108" t="s">
        <v>1468</v>
      </c>
      <c r="AC5" s="3109"/>
      <c r="AD5" s="3107" t="s">
        <v>1501</v>
      </c>
      <c r="AE5" s="2905"/>
      <c r="AF5" s="3108" t="s">
        <v>1468</v>
      </c>
      <c r="AG5" s="3109"/>
      <c r="AH5" s="3107" t="s">
        <v>1501</v>
      </c>
      <c r="AI5" s="2905"/>
      <c r="AJ5" s="3108" t="s">
        <v>1468</v>
      </c>
      <c r="AK5" s="3109"/>
      <c r="AL5" s="3107" t="s">
        <v>1501</v>
      </c>
      <c r="AM5" s="2905"/>
    </row>
    <row r="6" spans="1:39" ht="33" customHeight="1">
      <c r="A6" s="3116">
        <v>1</v>
      </c>
      <c r="B6" s="2877" t="s">
        <v>132</v>
      </c>
      <c r="C6" s="3121"/>
      <c r="D6" s="3126" t="s">
        <v>231</v>
      </c>
      <c r="E6" s="3127"/>
      <c r="F6" s="1072" t="s">
        <v>4</v>
      </c>
      <c r="G6" s="929" t="str">
        <f>'XM.GUI MAIL'!$E$43</f>
        <v>60~80</v>
      </c>
      <c r="H6" s="2427" t="str">
        <f>'XM.GUI MAIL'!$F$43</f>
        <v>(70±5)</v>
      </c>
      <c r="I6" s="2430">
        <f>'XM.GUI MAIL'!I43</f>
        <v>70.092000000000013</v>
      </c>
      <c r="J6" s="1478" t="s">
        <v>8</v>
      </c>
      <c r="K6" s="1416">
        <f>'XM.GUI MAIL'!L43</f>
        <v>0</v>
      </c>
      <c r="L6" s="1478" t="s">
        <v>9</v>
      </c>
      <c r="M6" s="1473">
        <f>'XM.GUI MAIL'!P43</f>
        <v>70.741</v>
      </c>
      <c r="N6" s="1478" t="s">
        <v>8</v>
      </c>
      <c r="O6" s="1416">
        <f>'XM.GUI MAIL'!S43</f>
        <v>0</v>
      </c>
      <c r="P6" s="1478" t="s">
        <v>9</v>
      </c>
      <c r="Q6" s="1473">
        <f>'XM.GUI MAIL'!W43</f>
        <v>73.986000000000004</v>
      </c>
      <c r="R6" s="1478" t="s">
        <v>8</v>
      </c>
      <c r="S6" s="1416">
        <f>'XM.GUI MAIL'!Z43</f>
        <v>0</v>
      </c>
      <c r="T6" s="59" t="s">
        <v>9</v>
      </c>
      <c r="U6" s="281" t="s">
        <v>12</v>
      </c>
      <c r="W6" s="3116">
        <v>1</v>
      </c>
      <c r="X6" s="2877" t="s">
        <v>132</v>
      </c>
      <c r="Y6" s="3121"/>
      <c r="Z6" s="3126" t="s">
        <v>231</v>
      </c>
      <c r="AA6" s="3127"/>
      <c r="AB6" s="2171"/>
      <c r="AC6" s="1914" t="s">
        <v>9</v>
      </c>
      <c r="AD6" s="1906"/>
      <c r="AE6" s="1853" t="s">
        <v>4</v>
      </c>
      <c r="AF6" s="2171"/>
      <c r="AG6" s="1914" t="s">
        <v>9</v>
      </c>
      <c r="AH6" s="1906"/>
      <c r="AI6" s="1853" t="s">
        <v>4</v>
      </c>
      <c r="AJ6" s="2171"/>
      <c r="AK6" s="1914" t="s">
        <v>9</v>
      </c>
      <c r="AL6" s="1906"/>
      <c r="AM6" s="1853" t="s">
        <v>4</v>
      </c>
    </row>
    <row r="7" spans="1:39" ht="33" customHeight="1">
      <c r="A7" s="3149"/>
      <c r="B7" s="3122"/>
      <c r="C7" s="3123"/>
      <c r="D7" s="3126" t="s">
        <v>232</v>
      </c>
      <c r="E7" s="3127"/>
      <c r="F7" s="1047"/>
      <c r="G7" s="929" t="s">
        <v>990</v>
      </c>
      <c r="H7" s="2427"/>
      <c r="I7" s="2416"/>
      <c r="J7" s="1478"/>
      <c r="K7" s="82">
        <f>K6/25*7.5</f>
        <v>0</v>
      </c>
      <c r="L7" s="1478" t="s">
        <v>10</v>
      </c>
      <c r="M7" s="1783"/>
      <c r="N7" s="1478"/>
      <c r="O7" s="82">
        <f>O6/25*7.5</f>
        <v>0</v>
      </c>
      <c r="P7" s="1478" t="s">
        <v>10</v>
      </c>
      <c r="Q7" s="1783"/>
      <c r="R7" s="1478"/>
      <c r="S7" s="82">
        <f>S6/25*7.5</f>
        <v>0</v>
      </c>
      <c r="T7" s="59" t="s">
        <v>10</v>
      </c>
      <c r="U7" s="20"/>
      <c r="W7" s="3149"/>
      <c r="X7" s="3122"/>
      <c r="Y7" s="3123"/>
      <c r="Z7" s="3126" t="s">
        <v>232</v>
      </c>
      <c r="AA7" s="3127"/>
      <c r="AB7" s="2171"/>
      <c r="AC7" s="1914" t="s">
        <v>10</v>
      </c>
      <c r="AD7" s="1906"/>
      <c r="AE7" s="1915"/>
      <c r="AF7" s="2171"/>
      <c r="AG7" s="1914" t="s">
        <v>10</v>
      </c>
      <c r="AH7" s="1906"/>
      <c r="AI7" s="1915"/>
      <c r="AJ7" s="2171"/>
      <c r="AK7" s="1914" t="s">
        <v>10</v>
      </c>
      <c r="AL7" s="1906"/>
      <c r="AM7" s="1915"/>
    </row>
    <row r="8" spans="1:39" ht="33" customHeight="1">
      <c r="A8" s="3116">
        <v>2</v>
      </c>
      <c r="B8" s="2877" t="s">
        <v>133</v>
      </c>
      <c r="C8" s="3121"/>
      <c r="D8" s="3126" t="s">
        <v>231</v>
      </c>
      <c r="E8" s="3127"/>
      <c r="F8" s="1072" t="s">
        <v>4</v>
      </c>
      <c r="G8" s="929" t="str">
        <f>'XM.GUI MAIL'!$E$45</f>
        <v>60~80</v>
      </c>
      <c r="H8" s="2427" t="str">
        <f>'XM.GUI MAIL'!$F$45</f>
        <v>(70±5)</v>
      </c>
      <c r="I8" s="2430">
        <f>'XM.GUI MAIL'!I45</f>
        <v>74.310500000000005</v>
      </c>
      <c r="J8" s="1478" t="s">
        <v>8</v>
      </c>
      <c r="K8" s="1416">
        <f>'XM.GUI MAIL'!L45</f>
        <v>0</v>
      </c>
      <c r="L8" s="1478" t="s">
        <v>9</v>
      </c>
      <c r="M8" s="1473">
        <f>'XM.GUI MAIL'!P45</f>
        <v>73.986000000000004</v>
      </c>
      <c r="N8" s="1478" t="s">
        <v>8</v>
      </c>
      <c r="O8" s="1416">
        <f>'XM.GUI MAIL'!S45</f>
        <v>0</v>
      </c>
      <c r="P8" s="1478" t="s">
        <v>9</v>
      </c>
      <c r="Q8" s="1473">
        <f>'XM.GUI MAIL'!W45</f>
        <v>72.039000000000001</v>
      </c>
      <c r="R8" s="1478" t="s">
        <v>8</v>
      </c>
      <c r="S8" s="1416">
        <f>'XM.GUI MAIL'!Z45</f>
        <v>0</v>
      </c>
      <c r="T8" s="59" t="s">
        <v>9</v>
      </c>
      <c r="U8" s="281" t="s">
        <v>12</v>
      </c>
      <c r="W8" s="3116">
        <v>2</v>
      </c>
      <c r="X8" s="2877" t="s">
        <v>133</v>
      </c>
      <c r="Y8" s="3121"/>
      <c r="Z8" s="3126" t="s">
        <v>231</v>
      </c>
      <c r="AA8" s="3127"/>
      <c r="AB8" s="2171"/>
      <c r="AC8" s="1914" t="s">
        <v>9</v>
      </c>
      <c r="AD8" s="1906"/>
      <c r="AE8" s="1853" t="s">
        <v>4</v>
      </c>
      <c r="AF8" s="2171"/>
      <c r="AG8" s="1914" t="s">
        <v>9</v>
      </c>
      <c r="AH8" s="1906"/>
      <c r="AI8" s="1853" t="s">
        <v>4</v>
      </c>
      <c r="AJ8" s="2171"/>
      <c r="AK8" s="1914" t="s">
        <v>9</v>
      </c>
      <c r="AL8" s="1906"/>
      <c r="AM8" s="1853" t="s">
        <v>4</v>
      </c>
    </row>
    <row r="9" spans="1:39" ht="33" customHeight="1">
      <c r="A9" s="3149"/>
      <c r="B9" s="3122"/>
      <c r="C9" s="3123"/>
      <c r="D9" s="3126" t="s">
        <v>232</v>
      </c>
      <c r="E9" s="3127"/>
      <c r="F9" s="1047"/>
      <c r="G9" s="929" t="s">
        <v>990</v>
      </c>
      <c r="H9" s="2427"/>
      <c r="I9" s="2416"/>
      <c r="J9" s="1478"/>
      <c r="K9" s="82">
        <f>K8/25*7.5</f>
        <v>0</v>
      </c>
      <c r="L9" s="1478" t="s">
        <v>10</v>
      </c>
      <c r="M9" s="1783"/>
      <c r="N9" s="1478"/>
      <c r="O9" s="82">
        <f>O8/25*7.5</f>
        <v>0</v>
      </c>
      <c r="P9" s="1478" t="s">
        <v>10</v>
      </c>
      <c r="Q9" s="1783"/>
      <c r="R9" s="1478"/>
      <c r="S9" s="82">
        <f>S8/25*7.5</f>
        <v>0</v>
      </c>
      <c r="T9" s="59" t="s">
        <v>10</v>
      </c>
      <c r="U9" s="20"/>
      <c r="W9" s="3149"/>
      <c r="X9" s="3122"/>
      <c r="Y9" s="3123"/>
      <c r="Z9" s="3126" t="s">
        <v>232</v>
      </c>
      <c r="AA9" s="3127"/>
      <c r="AB9" s="2171"/>
      <c r="AC9" s="1914" t="s">
        <v>10</v>
      </c>
      <c r="AD9" s="1906"/>
      <c r="AE9" s="1915"/>
      <c r="AF9" s="2171"/>
      <c r="AG9" s="1914" t="s">
        <v>10</v>
      </c>
      <c r="AH9" s="1906"/>
      <c r="AI9" s="1915"/>
      <c r="AJ9" s="2171"/>
      <c r="AK9" s="1914" t="s">
        <v>10</v>
      </c>
      <c r="AL9" s="1906"/>
      <c r="AM9" s="1915"/>
    </row>
    <row r="10" spans="1:39" ht="33" customHeight="1">
      <c r="A10" s="3116">
        <v>3</v>
      </c>
      <c r="B10" s="3128" t="s">
        <v>134</v>
      </c>
      <c r="C10" s="3129"/>
      <c r="D10" s="3108" t="s">
        <v>233</v>
      </c>
      <c r="E10" s="3111" t="s">
        <v>233</v>
      </c>
      <c r="F10" s="1072" t="s">
        <v>4</v>
      </c>
      <c r="G10" s="929" t="str">
        <f>'XM.GUI MAIL'!$E$47</f>
        <v>50~70</v>
      </c>
      <c r="H10" s="2427" t="str">
        <f>'XM.GUI MAIL'!$F$47</f>
        <v>(60±10)</v>
      </c>
      <c r="I10" s="2430">
        <f>'XM.GUI MAIL'!I47</f>
        <v>56.594999999999999</v>
      </c>
      <c r="J10" s="1478" t="s">
        <v>8</v>
      </c>
      <c r="K10" s="1416">
        <f>'XM.GUI MAIL'!L47</f>
        <v>3.9361800000000011</v>
      </c>
      <c r="L10" s="1478" t="s">
        <v>9</v>
      </c>
      <c r="M10" s="1473">
        <f>'XM.GUI MAIL'!P47</f>
        <v>56.363999999999997</v>
      </c>
      <c r="N10" s="1478" t="s">
        <v>8</v>
      </c>
      <c r="O10" s="1416">
        <f>'XM.GUI MAIL'!S47</f>
        <v>4.2032160000000029</v>
      </c>
      <c r="P10" s="1478" t="s">
        <v>9</v>
      </c>
      <c r="Q10" s="1473">
        <f>'XM.GUI MAIL'!W47</f>
        <v>61.215000000000003</v>
      </c>
      <c r="R10" s="1478" t="s">
        <v>8</v>
      </c>
      <c r="S10" s="1416">
        <f>'XM.GUI MAIL'!Z47</f>
        <v>0</v>
      </c>
      <c r="T10" s="59" t="s">
        <v>9</v>
      </c>
      <c r="U10" s="281" t="s">
        <v>12</v>
      </c>
      <c r="W10" s="3116">
        <v>3</v>
      </c>
      <c r="X10" s="3128" t="s">
        <v>134</v>
      </c>
      <c r="Y10" s="3129"/>
      <c r="Z10" s="3108" t="s">
        <v>233</v>
      </c>
      <c r="AA10" s="3111" t="s">
        <v>233</v>
      </c>
      <c r="AB10" s="2171" t="s">
        <v>1625</v>
      </c>
      <c r="AC10" s="1914" t="s">
        <v>9</v>
      </c>
      <c r="AD10" s="2615">
        <f>M10</f>
        <v>56.363999999999997</v>
      </c>
      <c r="AE10" s="1853" t="s">
        <v>4</v>
      </c>
      <c r="AF10" s="2171" t="s">
        <v>1625</v>
      </c>
      <c r="AG10" s="1914" t="s">
        <v>9</v>
      </c>
      <c r="AH10" s="2615">
        <f>Q10</f>
        <v>61.215000000000003</v>
      </c>
      <c r="AI10" s="1853" t="s">
        <v>4</v>
      </c>
      <c r="AJ10" s="2171"/>
      <c r="AK10" s="1914" t="s">
        <v>9</v>
      </c>
      <c r="AL10" s="1906"/>
      <c r="AM10" s="1853" t="s">
        <v>4</v>
      </c>
    </row>
    <row r="11" spans="1:39" ht="33" customHeight="1">
      <c r="A11" s="3117"/>
      <c r="B11" s="3129"/>
      <c r="C11" s="3129"/>
      <c r="D11" s="3108" t="s">
        <v>234</v>
      </c>
      <c r="E11" s="3111" t="s">
        <v>234</v>
      </c>
      <c r="F11" s="1047"/>
      <c r="G11" s="929" t="s">
        <v>991</v>
      </c>
      <c r="H11" s="2427"/>
      <c r="I11" s="2416"/>
      <c r="J11" s="1478"/>
      <c r="K11" s="82">
        <f>K10/25*7</f>
        <v>1.1021304000000003</v>
      </c>
      <c r="L11" s="1478" t="s">
        <v>10</v>
      </c>
      <c r="M11" s="1783"/>
      <c r="N11" s="1478"/>
      <c r="O11" s="82">
        <f>O10/25*7</f>
        <v>1.1769004800000007</v>
      </c>
      <c r="P11" s="1478" t="s">
        <v>10</v>
      </c>
      <c r="Q11" s="1783"/>
      <c r="R11" s="1478"/>
      <c r="S11" s="82">
        <f>S10/25*7</f>
        <v>0</v>
      </c>
      <c r="T11" s="59" t="s">
        <v>10</v>
      </c>
      <c r="U11" s="20"/>
      <c r="W11" s="3117"/>
      <c r="X11" s="3129"/>
      <c r="Y11" s="3129"/>
      <c r="Z11" s="3108" t="s">
        <v>234</v>
      </c>
      <c r="AA11" s="3111" t="s">
        <v>234</v>
      </c>
      <c r="AB11" s="2171"/>
      <c r="AC11" s="1914" t="s">
        <v>10</v>
      </c>
      <c r="AD11" s="1906"/>
      <c r="AE11" s="1915"/>
      <c r="AF11" s="2171"/>
      <c r="AG11" s="1914" t="s">
        <v>10</v>
      </c>
      <c r="AH11" s="1906"/>
      <c r="AI11" s="1915"/>
      <c r="AJ11" s="2171"/>
      <c r="AK11" s="1914" t="s">
        <v>10</v>
      </c>
      <c r="AL11" s="1906"/>
      <c r="AM11" s="1915"/>
    </row>
    <row r="12" spans="1:39" ht="33" customHeight="1">
      <c r="A12" s="3116">
        <v>4</v>
      </c>
      <c r="B12" s="3128" t="s">
        <v>135</v>
      </c>
      <c r="C12" s="3129"/>
      <c r="D12" s="3108" t="s">
        <v>233</v>
      </c>
      <c r="E12" s="3111" t="s">
        <v>233</v>
      </c>
      <c r="F12" s="1072" t="s">
        <v>4</v>
      </c>
      <c r="G12" s="929" t="str">
        <f>'XM.GUI MAIL'!$E$49</f>
        <v>50~70</v>
      </c>
      <c r="H12" s="2427" t="str">
        <f>'XM.GUI MAIL'!$F$49</f>
        <v>(60±10)</v>
      </c>
      <c r="I12" s="2430">
        <f>'XM.GUI MAIL'!I49</f>
        <v>56.826000000000008</v>
      </c>
      <c r="J12" s="1478" t="s">
        <v>8</v>
      </c>
      <c r="K12" s="1416">
        <f>'XM.GUI MAIL'!L49</f>
        <v>4.6308659999999895</v>
      </c>
      <c r="L12" s="1478" t="s">
        <v>9</v>
      </c>
      <c r="M12" s="1473">
        <f>'XM.GUI MAIL'!P49</f>
        <v>58.211999999999996</v>
      </c>
      <c r="N12" s="1478" t="s">
        <v>8</v>
      </c>
      <c r="O12" s="1416">
        <f>'XM.GUI MAIL'!S49</f>
        <v>2.6086920000000053</v>
      </c>
      <c r="P12" s="1478" t="s">
        <v>9</v>
      </c>
      <c r="Q12" s="1473">
        <f>'XM.GUI MAIL'!W49</f>
        <v>64.218000000000004</v>
      </c>
      <c r="R12" s="1478" t="s">
        <v>8</v>
      </c>
      <c r="S12" s="1416">
        <f>'XM.GUI MAIL'!Z49</f>
        <v>0</v>
      </c>
      <c r="T12" s="59" t="s">
        <v>9</v>
      </c>
      <c r="U12" s="281" t="s">
        <v>12</v>
      </c>
      <c r="W12" s="3116">
        <v>4</v>
      </c>
      <c r="X12" s="3128" t="s">
        <v>135</v>
      </c>
      <c r="Y12" s="3129"/>
      <c r="Z12" s="3108" t="s">
        <v>233</v>
      </c>
      <c r="AA12" s="3111" t="s">
        <v>233</v>
      </c>
      <c r="AB12" s="2171" t="s">
        <v>1625</v>
      </c>
      <c r="AC12" s="1914" t="s">
        <v>9</v>
      </c>
      <c r="AD12" s="2615">
        <f>M12</f>
        <v>58.211999999999996</v>
      </c>
      <c r="AE12" s="1853" t="s">
        <v>4</v>
      </c>
      <c r="AF12" s="2171" t="s">
        <v>1625</v>
      </c>
      <c r="AG12" s="1914" t="s">
        <v>9</v>
      </c>
      <c r="AH12" s="2615">
        <f>Q12</f>
        <v>64.218000000000004</v>
      </c>
      <c r="AI12" s="1853" t="s">
        <v>4</v>
      </c>
      <c r="AJ12" s="2171"/>
      <c r="AK12" s="1914" t="s">
        <v>9</v>
      </c>
      <c r="AL12" s="1906"/>
      <c r="AM12" s="1853" t="s">
        <v>4</v>
      </c>
    </row>
    <row r="13" spans="1:39" ht="33" customHeight="1">
      <c r="A13" s="3117"/>
      <c r="B13" s="3129"/>
      <c r="C13" s="3129"/>
      <c r="D13" s="3108" t="s">
        <v>234</v>
      </c>
      <c r="E13" s="3111" t="s">
        <v>234</v>
      </c>
      <c r="F13" s="1047"/>
      <c r="G13" s="929" t="s">
        <v>991</v>
      </c>
      <c r="H13" s="2427"/>
      <c r="I13" s="2416"/>
      <c r="J13" s="1478"/>
      <c r="K13" s="82">
        <f>K12/25*7</f>
        <v>1.2966424799999972</v>
      </c>
      <c r="L13" s="1478" t="s">
        <v>10</v>
      </c>
      <c r="M13" s="1783"/>
      <c r="N13" s="1478"/>
      <c r="O13" s="82">
        <f>O12/25*7</f>
        <v>0.73043376000000149</v>
      </c>
      <c r="P13" s="1478" t="s">
        <v>10</v>
      </c>
      <c r="Q13" s="1783"/>
      <c r="R13" s="1478"/>
      <c r="S13" s="82">
        <f>S12/25*7</f>
        <v>0</v>
      </c>
      <c r="T13" s="59" t="s">
        <v>10</v>
      </c>
      <c r="U13" s="20"/>
      <c r="W13" s="3117"/>
      <c r="X13" s="3129"/>
      <c r="Y13" s="3129"/>
      <c r="Z13" s="3108" t="s">
        <v>234</v>
      </c>
      <c r="AA13" s="3111" t="s">
        <v>234</v>
      </c>
      <c r="AB13" s="2171"/>
      <c r="AC13" s="1914" t="s">
        <v>10</v>
      </c>
      <c r="AD13" s="1906"/>
      <c r="AE13" s="1915"/>
      <c r="AF13" s="2171"/>
      <c r="AG13" s="1914" t="s">
        <v>10</v>
      </c>
      <c r="AH13" s="1906"/>
      <c r="AI13" s="1915"/>
      <c r="AJ13" s="2171"/>
      <c r="AK13" s="1914" t="s">
        <v>10</v>
      </c>
      <c r="AL13" s="1906"/>
      <c r="AM13" s="1915"/>
    </row>
    <row r="14" spans="1:39" ht="33" customHeight="1">
      <c r="A14" s="1072">
        <v>5</v>
      </c>
      <c r="B14" s="3108" t="s">
        <v>80</v>
      </c>
      <c r="C14" s="3110"/>
      <c r="D14" s="3110"/>
      <c r="E14" s="3111"/>
      <c r="F14" s="1072" t="s">
        <v>4</v>
      </c>
      <c r="G14" s="1042" t="str">
        <f>'XM.GUI MAIL'!$E$51</f>
        <v>130 - 150</v>
      </c>
      <c r="H14" s="2431" t="str">
        <f>'XM.GUI MAIL'!$F$51</f>
        <v>(140±7)</v>
      </c>
      <c r="I14" s="2419">
        <f>'XM.GUI MAIL'!I51</f>
        <v>144.4</v>
      </c>
      <c r="J14" s="1478" t="s">
        <v>8</v>
      </c>
      <c r="K14" s="1416">
        <f>'XM.GUI MAIL'!L51</f>
        <v>0</v>
      </c>
      <c r="L14" s="1478" t="s">
        <v>9</v>
      </c>
      <c r="M14" s="1862">
        <f>'XM.GUI MAIL'!P51</f>
        <v>145.6</v>
      </c>
      <c r="N14" s="1478" t="s">
        <v>8</v>
      </c>
      <c r="O14" s="1416">
        <f>'XM.GUI MAIL'!S51</f>
        <v>0</v>
      </c>
      <c r="P14" s="1478" t="s">
        <v>9</v>
      </c>
      <c r="Q14" s="1862">
        <f>'XM.GUI MAIL'!W51</f>
        <v>145.6</v>
      </c>
      <c r="R14" s="1478" t="s">
        <v>8</v>
      </c>
      <c r="S14" s="1416">
        <f>'XM.GUI MAIL'!Z51</f>
        <v>0</v>
      </c>
      <c r="T14" s="59" t="s">
        <v>9</v>
      </c>
      <c r="U14" s="281" t="s">
        <v>13</v>
      </c>
      <c r="W14" s="1523">
        <v>5</v>
      </c>
      <c r="X14" s="3108" t="s">
        <v>80</v>
      </c>
      <c r="Y14" s="3110"/>
      <c r="Z14" s="3110"/>
      <c r="AA14" s="3111"/>
      <c r="AB14" s="2171"/>
      <c r="AC14" s="1914" t="s">
        <v>9</v>
      </c>
      <c r="AD14" s="1906"/>
      <c r="AE14" s="1853" t="s">
        <v>4</v>
      </c>
      <c r="AF14" s="2171"/>
      <c r="AG14" s="1914" t="s">
        <v>9</v>
      </c>
      <c r="AH14" s="1906"/>
      <c r="AI14" s="1853" t="s">
        <v>4</v>
      </c>
      <c r="AJ14" s="2171"/>
      <c r="AK14" s="1914" t="s">
        <v>9</v>
      </c>
      <c r="AL14" s="1906"/>
      <c r="AM14" s="1853" t="s">
        <v>4</v>
      </c>
    </row>
    <row r="15" spans="1:39" ht="33" customHeight="1">
      <c r="A15" s="1072">
        <v>6</v>
      </c>
      <c r="B15" s="3108" t="s">
        <v>58</v>
      </c>
      <c r="C15" s="3110"/>
      <c r="D15" s="3110"/>
      <c r="E15" s="3111"/>
      <c r="F15" s="1072" t="s">
        <v>4</v>
      </c>
      <c r="G15" s="1042" t="str">
        <f>'XM.GUI MAIL'!$E$52</f>
        <v>8~12</v>
      </c>
      <c r="H15" s="2431" t="str">
        <f>'XM.GUI MAIL'!$F$52</f>
        <v>(10±2)</v>
      </c>
      <c r="I15" s="2421">
        <f>'XM.GUI MAIL'!I52</f>
        <v>11.57</v>
      </c>
      <c r="J15" s="1478" t="s">
        <v>8</v>
      </c>
      <c r="K15" s="1416">
        <f>'XM.GUI MAIL'!L52</f>
        <v>0</v>
      </c>
      <c r="L15" s="1478" t="s">
        <v>9</v>
      </c>
      <c r="M15" s="1838">
        <f>'XM.GUI MAIL'!P52</f>
        <v>11.18</v>
      </c>
      <c r="N15" s="1478" t="s">
        <v>8</v>
      </c>
      <c r="O15" s="1416">
        <f>'XM.GUI MAIL'!S52</f>
        <v>0</v>
      </c>
      <c r="P15" s="1478" t="s">
        <v>9</v>
      </c>
      <c r="Q15" s="1838">
        <f>'XM.GUI MAIL'!W52</f>
        <v>11.18</v>
      </c>
      <c r="R15" s="1478" t="s">
        <v>8</v>
      </c>
      <c r="S15" s="1416">
        <f>'XM.GUI MAIL'!Z52</f>
        <v>0</v>
      </c>
      <c r="T15" s="59" t="s">
        <v>9</v>
      </c>
      <c r="U15" s="281" t="s">
        <v>14</v>
      </c>
      <c r="W15" s="1523">
        <v>6</v>
      </c>
      <c r="X15" s="3108" t="s">
        <v>58</v>
      </c>
      <c r="Y15" s="3110"/>
      <c r="Z15" s="3110"/>
      <c r="AA15" s="3111"/>
      <c r="AB15" s="2171"/>
      <c r="AC15" s="1914" t="s">
        <v>9</v>
      </c>
      <c r="AD15" s="1906"/>
      <c r="AE15" s="1853" t="s">
        <v>4</v>
      </c>
      <c r="AF15" s="2171"/>
      <c r="AG15" s="1914" t="s">
        <v>9</v>
      </c>
      <c r="AH15" s="1906"/>
      <c r="AI15" s="1853" t="s">
        <v>4</v>
      </c>
      <c r="AJ15" s="2171"/>
      <c r="AK15" s="1914" t="s">
        <v>9</v>
      </c>
      <c r="AL15" s="1906"/>
      <c r="AM15" s="1853" t="s">
        <v>4</v>
      </c>
    </row>
    <row r="16" spans="1:39" ht="33" customHeight="1">
      <c r="A16" s="3116">
        <v>7</v>
      </c>
      <c r="B16" s="2877" t="s">
        <v>984</v>
      </c>
      <c r="C16" s="2878"/>
      <c r="D16" s="2878"/>
      <c r="E16" s="2879"/>
      <c r="F16" s="1072" t="s">
        <v>3</v>
      </c>
      <c r="G16" s="1042" t="str">
        <f>'XM.GUI MAIL'!$E$53</f>
        <v xml:space="preserve">6~10 </v>
      </c>
      <c r="H16" s="2431" t="str">
        <f>'XM.GUI MAIL'!$F$53</f>
        <v>(7±1)</v>
      </c>
      <c r="I16" s="2421">
        <f>'XM.GUI MAIL'!I53</f>
        <v>6.96183</v>
      </c>
      <c r="J16" s="1478" t="s">
        <v>8</v>
      </c>
      <c r="K16" s="1416">
        <f>'XM.GUI MAIL'!L53</f>
        <v>0.21947750000000021</v>
      </c>
      <c r="L16" s="1478" t="s">
        <v>10</v>
      </c>
      <c r="M16" s="1838">
        <f>'XM.GUI MAIL'!P53</f>
        <v>7.0042</v>
      </c>
      <c r="N16" s="1478" t="s">
        <v>8</v>
      </c>
      <c r="O16" s="1416">
        <f>'XM.GUI MAIL'!S53</f>
        <v>0</v>
      </c>
      <c r="P16" s="1478" t="s">
        <v>10</v>
      </c>
      <c r="Q16" s="1838">
        <f>'XM.GUI MAIL'!W53</f>
        <v>6.6652399999999998</v>
      </c>
      <c r="R16" s="1478" t="s">
        <v>8</v>
      </c>
      <c r="S16" s="1416">
        <f>'XM.GUI MAIL'!Z53</f>
        <v>1.9248700000000012</v>
      </c>
      <c r="T16" s="59" t="s">
        <v>10</v>
      </c>
      <c r="U16" s="281"/>
      <c r="W16" s="3116">
        <v>7</v>
      </c>
      <c r="X16" s="2877" t="s">
        <v>984</v>
      </c>
      <c r="Y16" s="2878"/>
      <c r="Z16" s="2878"/>
      <c r="AA16" s="2879"/>
      <c r="AB16" s="2171"/>
      <c r="AC16" s="1914" t="s">
        <v>10</v>
      </c>
      <c r="AD16" s="1906"/>
      <c r="AE16" s="1853" t="s">
        <v>3</v>
      </c>
      <c r="AF16" s="2171"/>
      <c r="AG16" s="1914" t="s">
        <v>10</v>
      </c>
      <c r="AH16" s="1906"/>
      <c r="AI16" s="1853" t="s">
        <v>3</v>
      </c>
      <c r="AJ16" s="2171"/>
      <c r="AK16" s="1914" t="s">
        <v>10</v>
      </c>
      <c r="AL16" s="1906"/>
      <c r="AM16" s="1853" t="s">
        <v>3</v>
      </c>
    </row>
    <row r="17" spans="1:39" ht="33" customHeight="1">
      <c r="A17" s="3117"/>
      <c r="B17" s="2880"/>
      <c r="C17" s="3147"/>
      <c r="D17" s="3147"/>
      <c r="E17" s="3148"/>
      <c r="F17" s="1072" t="s">
        <v>5</v>
      </c>
      <c r="G17" s="1042" t="str">
        <f>'XM.GUI MAIL'!$E$54</f>
        <v>2~2.5</v>
      </c>
      <c r="H17" s="2431" t="str">
        <f>'XM.GUI MAIL'!$F$54</f>
        <v>(2.3±0.1 )</v>
      </c>
      <c r="I17" s="2421">
        <f>'XM.GUI MAIL'!I54</f>
        <v>2.5</v>
      </c>
      <c r="J17" s="1478"/>
      <c r="K17" s="1416"/>
      <c r="L17" s="1478"/>
      <c r="M17" s="1838">
        <f>'XM.GUI MAIL'!P54</f>
        <v>2.2999999999999998</v>
      </c>
      <c r="N17" s="1478"/>
      <c r="O17" s="1416"/>
      <c r="P17" s="1478"/>
      <c r="Q17" s="1838">
        <f>'XM.GUI MAIL'!W54</f>
        <v>2.2999999999999998</v>
      </c>
      <c r="R17" s="1478"/>
      <c r="S17" s="1416">
        <f>'XM.GUI MAIL'!Z54</f>
        <v>0</v>
      </c>
      <c r="T17" s="59"/>
      <c r="U17" s="20"/>
      <c r="W17" s="3117"/>
      <c r="X17" s="2880"/>
      <c r="Y17" s="3147"/>
      <c r="Z17" s="3147"/>
      <c r="AA17" s="3148"/>
      <c r="AB17" s="2171"/>
      <c r="AC17" s="1914"/>
      <c r="AD17" s="1906"/>
      <c r="AE17" s="1853" t="s">
        <v>5</v>
      </c>
      <c r="AF17" s="2171"/>
      <c r="AG17" s="1914"/>
      <c r="AH17" s="1906"/>
      <c r="AI17" s="1853" t="s">
        <v>5</v>
      </c>
      <c r="AJ17" s="2171"/>
      <c r="AK17" s="1914"/>
      <c r="AL17" s="1906"/>
      <c r="AM17" s="1853" t="s">
        <v>5</v>
      </c>
    </row>
    <row r="18" spans="1:39" ht="33" customHeight="1">
      <c r="A18" s="1072">
        <v>8</v>
      </c>
      <c r="B18" s="3108" t="s">
        <v>59</v>
      </c>
      <c r="C18" s="3110"/>
      <c r="D18" s="3110"/>
      <c r="E18" s="3111"/>
      <c r="F18" s="1062" t="s">
        <v>6</v>
      </c>
      <c r="G18" s="1042" t="str">
        <f>'XM.GUI MAIL'!$E$55</f>
        <v xml:space="preserve">40~50 </v>
      </c>
      <c r="H18" s="2431" t="str">
        <f>'XM.GUI MAIL'!$F$55</f>
        <v>(45±5)</v>
      </c>
      <c r="I18" s="2422">
        <f>'XM.GUI MAIL'!I55</f>
        <v>0.43343749999999998</v>
      </c>
      <c r="J18" s="1480" t="s">
        <v>8</v>
      </c>
      <c r="K18" s="1481">
        <f>'XM.GUI MAIL'!L55</f>
        <v>35.145625000000074</v>
      </c>
      <c r="L18" s="1482" t="s">
        <v>10</v>
      </c>
      <c r="M18" s="1843">
        <f>'XM.GUI MAIL'!P55</f>
        <v>0.45624999999999999</v>
      </c>
      <c r="N18" s="1480" t="s">
        <v>8</v>
      </c>
      <c r="O18" s="1481">
        <f>'XM.GUI MAIL'!S55</f>
        <v>0</v>
      </c>
      <c r="P18" s="1482" t="s">
        <v>10</v>
      </c>
      <c r="Q18" s="1843">
        <f>'XM.GUI MAIL'!W55</f>
        <v>0.47335937500000008</v>
      </c>
      <c r="R18" s="1478" t="s">
        <v>8</v>
      </c>
      <c r="S18" s="1416">
        <f>'XM.GUI MAIL'!Z55</f>
        <v>0</v>
      </c>
      <c r="T18" s="59" t="s">
        <v>10</v>
      </c>
      <c r="U18" s="281" t="s">
        <v>15</v>
      </c>
      <c r="W18" s="1523">
        <v>8</v>
      </c>
      <c r="X18" s="3108" t="s">
        <v>59</v>
      </c>
      <c r="Y18" s="3110"/>
      <c r="Z18" s="3110"/>
      <c r="AA18" s="3111"/>
      <c r="AB18" s="2171" t="s">
        <v>1625</v>
      </c>
      <c r="AC18" s="1914" t="s">
        <v>10</v>
      </c>
      <c r="AD18" s="2616">
        <f>M18</f>
        <v>0.45624999999999999</v>
      </c>
      <c r="AE18" s="1916" t="s">
        <v>6</v>
      </c>
      <c r="AF18" s="2171"/>
      <c r="AG18" s="1914" t="s">
        <v>10</v>
      </c>
      <c r="AH18" s="1906"/>
      <c r="AI18" s="1916" t="s">
        <v>6</v>
      </c>
      <c r="AJ18" s="2171"/>
      <c r="AK18" s="1914" t="s">
        <v>10</v>
      </c>
      <c r="AL18" s="1906"/>
      <c r="AM18" s="1916" t="s">
        <v>6</v>
      </c>
    </row>
    <row r="19" spans="1:39" ht="33" hidden="1" customHeight="1">
      <c r="A19" s="1072">
        <v>9</v>
      </c>
      <c r="B19" s="3108" t="s">
        <v>60</v>
      </c>
      <c r="C19" s="3110"/>
      <c r="D19" s="3110"/>
      <c r="E19" s="3111"/>
      <c r="F19" s="1062" t="s">
        <v>6</v>
      </c>
      <c r="G19" s="1042" t="str">
        <f>'XM.GUI MAIL'!$E$56</f>
        <v>(22±5) =17~27</v>
      </c>
      <c r="H19" s="2431" t="str">
        <f>'XM.GUI MAIL'!$F$56</f>
        <v>(22±5)</v>
      </c>
      <c r="I19" s="2422">
        <f>'XM.GUI MAIL'!I56</f>
        <v>0</v>
      </c>
      <c r="J19" s="1478" t="s">
        <v>8</v>
      </c>
      <c r="K19" s="1416">
        <f>'XM.GUI MAIL'!L56</f>
        <v>0</v>
      </c>
      <c r="L19" s="1478" t="s">
        <v>10</v>
      </c>
      <c r="M19" s="1843">
        <f>'XM.GUI MAIL'!P56</f>
        <v>0</v>
      </c>
      <c r="N19" s="1478" t="s">
        <v>8</v>
      </c>
      <c r="O19" s="1416">
        <f>'XM.GUI MAIL'!S56</f>
        <v>0</v>
      </c>
      <c r="P19" s="1478" t="s">
        <v>10</v>
      </c>
      <c r="Q19" s="1843">
        <f>'XM.GUI MAIL'!W56</f>
        <v>0</v>
      </c>
      <c r="R19" s="1478" t="s">
        <v>8</v>
      </c>
      <c r="S19" s="1416">
        <f>'XM.GUI MAIL'!Z56</f>
        <v>0</v>
      </c>
      <c r="T19" s="59" t="s">
        <v>10</v>
      </c>
      <c r="U19" s="281" t="s">
        <v>15</v>
      </c>
      <c r="W19" s="1523">
        <v>9</v>
      </c>
      <c r="X19" s="3108" t="s">
        <v>60</v>
      </c>
      <c r="Y19" s="3110"/>
      <c r="Z19" s="3110"/>
      <c r="AA19" s="3111"/>
      <c r="AB19" s="2171"/>
      <c r="AC19" s="1914" t="s">
        <v>10</v>
      </c>
      <c r="AD19" s="1906"/>
      <c r="AE19" s="1916" t="s">
        <v>6</v>
      </c>
      <c r="AF19" s="2171"/>
      <c r="AG19" s="1914" t="s">
        <v>10</v>
      </c>
      <c r="AH19" s="1906"/>
      <c r="AI19" s="1916" t="s">
        <v>6</v>
      </c>
      <c r="AJ19" s="2171"/>
      <c r="AK19" s="1914" t="s">
        <v>10</v>
      </c>
      <c r="AL19" s="1906"/>
      <c r="AM19" s="1916" t="s">
        <v>6</v>
      </c>
    </row>
    <row r="20" spans="1:39" ht="33" hidden="1" customHeight="1">
      <c r="A20" s="1072">
        <v>11</v>
      </c>
      <c r="B20" s="3108" t="s">
        <v>109</v>
      </c>
      <c r="C20" s="3110"/>
      <c r="D20" s="3110"/>
      <c r="E20" s="3111"/>
      <c r="F20" s="1062" t="s">
        <v>6</v>
      </c>
      <c r="G20" s="1042" t="str">
        <f>'XM.GUI MAIL'!$E$57</f>
        <v>5~15</v>
      </c>
      <c r="H20" s="2431" t="str">
        <f>'XM.GUI MAIL'!$F$57</f>
        <v>(10±3)</v>
      </c>
      <c r="I20" s="2422">
        <f>'XM.GUI MAIL'!I57</f>
        <v>0</v>
      </c>
      <c r="J20" s="1478" t="s">
        <v>8</v>
      </c>
      <c r="K20" s="1416">
        <f>'XM.GUI MAIL'!L57</f>
        <v>0</v>
      </c>
      <c r="L20" s="1478" t="s">
        <v>10</v>
      </c>
      <c r="M20" s="1843">
        <f>'XM.GUI MAIL'!P57</f>
        <v>0</v>
      </c>
      <c r="N20" s="1478" t="s">
        <v>8</v>
      </c>
      <c r="O20" s="1416">
        <f>'XM.GUI MAIL'!S57</f>
        <v>0</v>
      </c>
      <c r="P20" s="1478" t="s">
        <v>10</v>
      </c>
      <c r="Q20" s="1843">
        <f>'XM.GUI MAIL'!W57</f>
        <v>0</v>
      </c>
      <c r="R20" s="1478" t="s">
        <v>8</v>
      </c>
      <c r="S20" s="1416">
        <f>'XM.GUI MAIL'!Z57</f>
        <v>0</v>
      </c>
      <c r="T20" s="59" t="s">
        <v>10</v>
      </c>
      <c r="U20" s="281" t="s">
        <v>16</v>
      </c>
      <c r="W20" s="1523">
        <v>11</v>
      </c>
      <c r="X20" s="3108" t="s">
        <v>109</v>
      </c>
      <c r="Y20" s="3110"/>
      <c r="Z20" s="3110"/>
      <c r="AA20" s="3111"/>
      <c r="AB20" s="2171"/>
      <c r="AC20" s="1914" t="s">
        <v>10</v>
      </c>
      <c r="AD20" s="1906"/>
      <c r="AE20" s="1916" t="s">
        <v>6</v>
      </c>
      <c r="AF20" s="2171"/>
      <c r="AG20" s="1914" t="s">
        <v>10</v>
      </c>
      <c r="AH20" s="1906"/>
      <c r="AI20" s="1916" t="s">
        <v>6</v>
      </c>
      <c r="AJ20" s="2171"/>
      <c r="AK20" s="1914" t="s">
        <v>10</v>
      </c>
      <c r="AL20" s="1906"/>
      <c r="AM20" s="1916" t="s">
        <v>6</v>
      </c>
    </row>
    <row r="21" spans="1:39" ht="33" customHeight="1">
      <c r="A21" s="1072">
        <v>12</v>
      </c>
      <c r="B21" s="3108" t="s">
        <v>108</v>
      </c>
      <c r="C21" s="3110"/>
      <c r="D21" s="3110"/>
      <c r="E21" s="3111"/>
      <c r="F21" s="1062" t="s">
        <v>3</v>
      </c>
      <c r="G21" s="1042" t="str">
        <f>'XM.GUI MAIL'!$E$58</f>
        <v>0.5~1.5</v>
      </c>
      <c r="H21" s="2431" t="str">
        <f>'XM.GUI MAIL'!$F$58</f>
        <v>(1±0.4)</v>
      </c>
      <c r="I21" s="2424">
        <f>'XM.GUI MAIL'!I58</f>
        <v>1.1844E-2</v>
      </c>
      <c r="J21" s="1480" t="s">
        <v>8</v>
      </c>
      <c r="K21" s="1485">
        <f>'XM.GUI MAIL'!L58</f>
        <v>0</v>
      </c>
      <c r="L21" s="1482" t="s">
        <v>10</v>
      </c>
      <c r="M21" s="1876">
        <f>'XM.GUI MAIL'!P58</f>
        <v>1.0584E-2</v>
      </c>
      <c r="N21" s="1480" t="s">
        <v>8</v>
      </c>
      <c r="O21" s="1485">
        <f>'XM.GUI MAIL'!S58</f>
        <v>0</v>
      </c>
      <c r="P21" s="1482" t="s">
        <v>10</v>
      </c>
      <c r="Q21" s="1876">
        <f>'XM.GUI MAIL'!W58</f>
        <v>1.0331999999999999E-2</v>
      </c>
      <c r="R21" s="1478" t="s">
        <v>8</v>
      </c>
      <c r="S21" s="82">
        <f>'XM.GUI MAIL'!Z58</f>
        <v>0</v>
      </c>
      <c r="T21" s="59" t="s">
        <v>10</v>
      </c>
      <c r="U21" s="281" t="s">
        <v>16</v>
      </c>
      <c r="W21" s="1523">
        <v>12</v>
      </c>
      <c r="X21" s="3108" t="s">
        <v>108</v>
      </c>
      <c r="Y21" s="3110"/>
      <c r="Z21" s="3110"/>
      <c r="AA21" s="3111"/>
      <c r="AB21" s="2171"/>
      <c r="AC21" s="1914" t="s">
        <v>10</v>
      </c>
      <c r="AD21" s="1906"/>
      <c r="AE21" s="1916" t="s">
        <v>3</v>
      </c>
      <c r="AF21" s="2171"/>
      <c r="AG21" s="1914" t="s">
        <v>10</v>
      </c>
      <c r="AH21" s="1906"/>
      <c r="AI21" s="1916" t="s">
        <v>3</v>
      </c>
      <c r="AJ21" s="2171"/>
      <c r="AK21" s="1914" t="s">
        <v>10</v>
      </c>
      <c r="AL21" s="1906"/>
      <c r="AM21" s="1916" t="s">
        <v>3</v>
      </c>
    </row>
    <row r="22" spans="1:39" ht="31.5" customHeight="1">
      <c r="A22" s="3116">
        <v>13</v>
      </c>
      <c r="B22" s="2877" t="s">
        <v>235</v>
      </c>
      <c r="C22" s="2878"/>
      <c r="D22" s="2878"/>
      <c r="E22" s="2879"/>
      <c r="F22" s="1072" t="s">
        <v>3</v>
      </c>
      <c r="G22" s="1042" t="str">
        <f>'XM.GUI MAIL'!$E$59</f>
        <v>5~8</v>
      </c>
      <c r="H22" s="2431" t="str">
        <f>'XM.GUI MAIL'!$F$59</f>
        <v>(6±0.5)</v>
      </c>
      <c r="I22" s="2425">
        <f>'XM.GUI MAIL'!I59</f>
        <v>6.120000000000001</v>
      </c>
      <c r="J22" s="1478" t="s">
        <v>8</v>
      </c>
      <c r="K22" s="82">
        <f>'XM.GUI MAIL'!L59</f>
        <v>0</v>
      </c>
      <c r="L22" s="1479" t="s">
        <v>10</v>
      </c>
      <c r="M22" s="1952" t="str">
        <f>'XM.GUI MAIL'!P59</f>
        <v>KO SX</v>
      </c>
      <c r="N22" s="1478" t="s">
        <v>8</v>
      </c>
      <c r="O22" s="82">
        <f>'XM.GUI MAIL'!S59</f>
        <v>0</v>
      </c>
      <c r="P22" s="1479" t="s">
        <v>10</v>
      </c>
      <c r="Q22" s="1952" t="str">
        <f>'XM.GUI MAIL'!W59</f>
        <v>KO SX</v>
      </c>
      <c r="R22" s="1478" t="s">
        <v>8</v>
      </c>
      <c r="S22" s="82">
        <f>'XM.GUI MAIL'!Z59</f>
        <v>0</v>
      </c>
      <c r="T22" s="59" t="s">
        <v>10</v>
      </c>
      <c r="U22" s="281"/>
      <c r="W22" s="3116">
        <v>13</v>
      </c>
      <c r="X22" s="2877" t="s">
        <v>235</v>
      </c>
      <c r="Y22" s="2878"/>
      <c r="Z22" s="2878"/>
      <c r="AA22" s="2879"/>
      <c r="AB22" s="2171"/>
      <c r="AC22" s="1914" t="s">
        <v>10</v>
      </c>
      <c r="AD22" s="1906"/>
      <c r="AE22" s="1853" t="s">
        <v>3</v>
      </c>
      <c r="AF22" s="2171"/>
      <c r="AG22" s="1914" t="s">
        <v>10</v>
      </c>
      <c r="AH22" s="1906"/>
      <c r="AI22" s="1853" t="s">
        <v>3</v>
      </c>
      <c r="AJ22" s="2171"/>
      <c r="AK22" s="1914" t="s">
        <v>10</v>
      </c>
      <c r="AL22" s="1906"/>
      <c r="AM22" s="1853" t="s">
        <v>3</v>
      </c>
    </row>
    <row r="23" spans="1:39" ht="31.5" customHeight="1">
      <c r="A23" s="3117"/>
      <c r="B23" s="2880"/>
      <c r="C23" s="2881"/>
      <c r="D23" s="2881"/>
      <c r="E23" s="2882"/>
      <c r="F23" s="1072" t="s">
        <v>5</v>
      </c>
      <c r="G23" s="1042" t="str">
        <f>'XM.GUI MAIL'!$E$60</f>
        <v>1.8~2.4</v>
      </c>
      <c r="H23" s="2431" t="str">
        <f>'XM.GUI MAIL'!$F$60</f>
        <v>(2.1±0.1 )</v>
      </c>
      <c r="I23" s="2426">
        <f>'XM.GUI MAIL'!I60</f>
        <v>2.2000000000000002</v>
      </c>
      <c r="J23" s="1478"/>
      <c r="K23" s="1416"/>
      <c r="L23" s="1479"/>
      <c r="M23" s="2398" t="str">
        <f>'XM.GUI MAIL'!P60</f>
        <v>KO SX</v>
      </c>
      <c r="N23" s="1478"/>
      <c r="O23" s="1416"/>
      <c r="P23" s="1479"/>
      <c r="Q23" s="2398" t="str">
        <f>'XM.GUI MAIL'!W60</f>
        <v>KO SX</v>
      </c>
      <c r="R23" s="1478"/>
      <c r="S23" s="1416">
        <f>'XM.GUI MAIL'!Z60</f>
        <v>0</v>
      </c>
      <c r="T23" s="59"/>
      <c r="U23" s="281"/>
      <c r="W23" s="3117"/>
      <c r="X23" s="2880"/>
      <c r="Y23" s="2881"/>
      <c r="Z23" s="2881"/>
      <c r="AA23" s="2882"/>
      <c r="AB23" s="2172"/>
      <c r="AC23" s="1914"/>
      <c r="AD23" s="1910"/>
      <c r="AE23" s="1853"/>
      <c r="AF23" s="2172"/>
      <c r="AG23" s="1914"/>
      <c r="AH23" s="1910"/>
      <c r="AI23" s="1853"/>
      <c r="AJ23" s="2172"/>
      <c r="AK23" s="1914"/>
      <c r="AL23" s="1910"/>
      <c r="AM23" s="1853"/>
    </row>
    <row r="24" spans="1:39" ht="33.75" customHeight="1">
      <c r="A24" s="1072"/>
      <c r="B24" s="264"/>
      <c r="C24" s="265"/>
      <c r="D24" s="265"/>
      <c r="E24" s="265"/>
      <c r="F24" s="265"/>
      <c r="G24" s="267" t="s">
        <v>110</v>
      </c>
      <c r="H24" s="267"/>
      <c r="I24" s="265"/>
      <c r="J24" s="265"/>
      <c r="K24" s="265"/>
      <c r="L24" s="265"/>
      <c r="M24" s="265"/>
      <c r="N24" s="265"/>
      <c r="O24" s="265"/>
      <c r="P24" s="265"/>
      <c r="Q24" s="265"/>
      <c r="R24" s="265"/>
      <c r="S24" s="265"/>
      <c r="T24" s="265"/>
      <c r="U24" s="266"/>
      <c r="W24" s="1523"/>
      <c r="X24" s="264"/>
      <c r="Y24" s="265"/>
      <c r="Z24" s="265"/>
      <c r="AA24" s="265"/>
      <c r="AB24" s="265"/>
      <c r="AC24" s="265"/>
      <c r="AD24" s="265"/>
      <c r="AE24" s="265"/>
      <c r="AF24" s="265"/>
      <c r="AG24" s="1913"/>
      <c r="AH24" s="1913"/>
    </row>
    <row r="25" spans="1:39" ht="33.75" customHeight="1">
      <c r="A25" s="1062" t="s">
        <v>7</v>
      </c>
      <c r="B25" s="3108" t="s">
        <v>62</v>
      </c>
      <c r="C25" s="3110"/>
      <c r="D25" s="3110"/>
      <c r="E25" s="3111"/>
      <c r="F25" s="1065" t="s">
        <v>64</v>
      </c>
      <c r="G25" s="1010" t="s">
        <v>1325</v>
      </c>
      <c r="H25" s="2429" t="s">
        <v>1317</v>
      </c>
      <c r="I25" s="3143" t="s">
        <v>46</v>
      </c>
      <c r="J25" s="3144"/>
      <c r="K25" s="3145" t="s">
        <v>63</v>
      </c>
      <c r="L25" s="3144"/>
      <c r="M25" s="3145" t="s">
        <v>46</v>
      </c>
      <c r="N25" s="3144"/>
      <c r="O25" s="3145" t="s">
        <v>63</v>
      </c>
      <c r="P25" s="3144"/>
      <c r="Q25" s="3145" t="s">
        <v>46</v>
      </c>
      <c r="R25" s="3144"/>
      <c r="S25" s="3145" t="s">
        <v>63</v>
      </c>
      <c r="T25" s="3144"/>
      <c r="U25" s="1063"/>
      <c r="W25" s="1525" t="s">
        <v>7</v>
      </c>
      <c r="X25" s="3108" t="s">
        <v>62</v>
      </c>
      <c r="Y25" s="3110"/>
      <c r="Z25" s="3110"/>
      <c r="AA25" s="3111"/>
      <c r="AB25" s="3106" t="s">
        <v>1375</v>
      </c>
      <c r="AC25" s="2904"/>
      <c r="AD25" s="2904"/>
      <c r="AE25" s="2905"/>
      <c r="AF25" s="3106" t="s">
        <v>1375</v>
      </c>
      <c r="AG25" s="2904"/>
      <c r="AH25" s="2904"/>
      <c r="AI25" s="2905"/>
      <c r="AJ25" s="3106" t="s">
        <v>1375</v>
      </c>
      <c r="AK25" s="2904"/>
      <c r="AL25" s="2904"/>
      <c r="AM25" s="2905"/>
    </row>
    <row r="26" spans="1:39" ht="37.5" customHeight="1">
      <c r="A26" s="1062">
        <v>1</v>
      </c>
      <c r="B26" s="3108" t="s">
        <v>66</v>
      </c>
      <c r="C26" s="3110"/>
      <c r="D26" s="3110"/>
      <c r="E26" s="3111"/>
      <c r="F26" s="21" t="s">
        <v>106</v>
      </c>
      <c r="G26" s="1043" t="str">
        <f>'XM.GUI MAIL'!$E$63</f>
        <v>50~70</v>
      </c>
      <c r="H26" s="2450" t="str">
        <f>'XM.GUI MAIL'!$F$63</f>
        <v>(60±5)</v>
      </c>
      <c r="I26" s="2934">
        <f>'XM.GUI MAIL'!I63</f>
        <v>58</v>
      </c>
      <c r="J26" s="2867"/>
      <c r="K26" s="2867">
        <f>'XM.GUI MAIL'!L63</f>
        <v>56</v>
      </c>
      <c r="L26" s="2867"/>
      <c r="M26" s="2867">
        <f>'XM.GUI MAIL'!P63</f>
        <v>58</v>
      </c>
      <c r="N26" s="2867"/>
      <c r="O26" s="2867">
        <f>'XM.GUI MAIL'!S63</f>
        <v>58</v>
      </c>
      <c r="P26" s="2867"/>
      <c r="Q26" s="2867">
        <f>'XM.GUI MAIL'!W63</f>
        <v>54</v>
      </c>
      <c r="R26" s="2867"/>
      <c r="S26" s="2867">
        <f>'XM.GUI MAIL'!Z63</f>
        <v>53</v>
      </c>
      <c r="T26" s="2867"/>
      <c r="U26" s="20"/>
      <c r="W26" s="1525">
        <v>1</v>
      </c>
      <c r="X26" s="3108" t="s">
        <v>66</v>
      </c>
      <c r="Y26" s="3110"/>
      <c r="Z26" s="3110"/>
      <c r="AA26" s="3111"/>
      <c r="AB26" s="1597"/>
      <c r="AC26" s="1901"/>
      <c r="AD26" s="1901"/>
      <c r="AE26" s="1598"/>
      <c r="AF26" s="1597"/>
      <c r="AG26" s="1901"/>
      <c r="AH26" s="1901"/>
      <c r="AI26" s="1598"/>
      <c r="AJ26" s="1597"/>
      <c r="AK26" s="1901"/>
      <c r="AL26" s="1901"/>
      <c r="AM26" s="1598"/>
    </row>
    <row r="27" spans="1:39" ht="37.5" customHeight="1">
      <c r="A27" s="1062">
        <v>2</v>
      </c>
      <c r="B27" s="3108" t="s">
        <v>67</v>
      </c>
      <c r="C27" s="3110" t="s">
        <v>67</v>
      </c>
      <c r="D27" s="3110" t="s">
        <v>67</v>
      </c>
      <c r="E27" s="3111" t="s">
        <v>67</v>
      </c>
      <c r="F27" s="21" t="s">
        <v>106</v>
      </c>
      <c r="G27" s="1043" t="str">
        <f>'XM.GUI MAIL'!$E$64</f>
        <v>50~70</v>
      </c>
      <c r="H27" s="2450" t="str">
        <f>'XM.GUI MAIL'!$F$64</f>
        <v>(60±5)</v>
      </c>
      <c r="I27" s="2934">
        <f>'XM.GUI MAIL'!I64</f>
        <v>59</v>
      </c>
      <c r="J27" s="2867"/>
      <c r="K27" s="2867">
        <f>'XM.GUI MAIL'!L64</f>
        <v>60</v>
      </c>
      <c r="L27" s="2867"/>
      <c r="M27" s="2867">
        <f>'XM.GUI MAIL'!P64</f>
        <v>60</v>
      </c>
      <c r="N27" s="2867"/>
      <c r="O27" s="2867">
        <f>'XM.GUI MAIL'!S64</f>
        <v>60</v>
      </c>
      <c r="P27" s="2867"/>
      <c r="Q27" s="2867">
        <f>'XM.GUI MAIL'!W64</f>
        <v>59</v>
      </c>
      <c r="R27" s="2867"/>
      <c r="S27" s="2867">
        <f>'XM.GUI MAIL'!Z64</f>
        <v>60</v>
      </c>
      <c r="T27" s="2867"/>
      <c r="U27" s="20"/>
      <c r="W27" s="1525">
        <v>2</v>
      </c>
      <c r="X27" s="3108" t="s">
        <v>67</v>
      </c>
      <c r="Y27" s="3110" t="s">
        <v>67</v>
      </c>
      <c r="Z27" s="3110" t="s">
        <v>67</v>
      </c>
      <c r="AA27" s="3111" t="s">
        <v>67</v>
      </c>
      <c r="AB27" s="1597"/>
      <c r="AC27" s="1901"/>
      <c r="AD27" s="1901"/>
      <c r="AE27" s="1598"/>
      <c r="AF27" s="1597"/>
      <c r="AG27" s="1901"/>
      <c r="AH27" s="1901"/>
      <c r="AI27" s="1598"/>
      <c r="AJ27" s="1597"/>
      <c r="AK27" s="1901"/>
      <c r="AL27" s="1901"/>
      <c r="AM27" s="1598"/>
    </row>
    <row r="28" spans="1:39" ht="37.5" customHeight="1">
      <c r="A28" s="1062">
        <v>3</v>
      </c>
      <c r="B28" s="3108" t="s">
        <v>69</v>
      </c>
      <c r="C28" s="3110" t="s">
        <v>69</v>
      </c>
      <c r="D28" s="3110" t="s">
        <v>69</v>
      </c>
      <c r="E28" s="3111" t="s">
        <v>69</v>
      </c>
      <c r="F28" s="21" t="s">
        <v>106</v>
      </c>
      <c r="G28" s="1043" t="str">
        <f>'XM.GUI MAIL'!$E$65</f>
        <v>40~60</v>
      </c>
      <c r="H28" s="2450" t="str">
        <f>'XM.GUI MAIL'!$F$65</f>
        <v>(50±5)</v>
      </c>
      <c r="I28" s="2829">
        <f>'XM.GUI MAIL'!I65</f>
        <v>53</v>
      </c>
      <c r="J28" s="2819"/>
      <c r="K28" s="2828">
        <f>'XM.GUI MAIL'!L65</f>
        <v>52</v>
      </c>
      <c r="L28" s="2819"/>
      <c r="M28" s="2828">
        <f>'XM.GUI MAIL'!P65</f>
        <v>52</v>
      </c>
      <c r="N28" s="2819"/>
      <c r="O28" s="2828">
        <f>'XM.GUI MAIL'!S65</f>
        <v>52</v>
      </c>
      <c r="P28" s="2819"/>
      <c r="Q28" s="2828">
        <f>'XM.GUI MAIL'!W65</f>
        <v>54</v>
      </c>
      <c r="R28" s="2819"/>
      <c r="S28" s="2828">
        <f>'XM.GUI MAIL'!Z65</f>
        <v>52</v>
      </c>
      <c r="T28" s="2819"/>
      <c r="U28" s="20"/>
      <c r="W28" s="1525">
        <v>3</v>
      </c>
      <c r="X28" s="3108" t="s">
        <v>69</v>
      </c>
      <c r="Y28" s="3110" t="s">
        <v>69</v>
      </c>
      <c r="Z28" s="3110" t="s">
        <v>69</v>
      </c>
      <c r="AA28" s="3111" t="s">
        <v>69</v>
      </c>
      <c r="AB28" s="1597"/>
      <c r="AC28" s="1901"/>
      <c r="AD28" s="1901"/>
      <c r="AE28" s="1598"/>
      <c r="AF28" s="1597"/>
      <c r="AG28" s="1901"/>
      <c r="AH28" s="1901"/>
      <c r="AI28" s="1598"/>
      <c r="AJ28" s="1597"/>
      <c r="AK28" s="1901"/>
      <c r="AL28" s="1901"/>
      <c r="AM28" s="1598"/>
    </row>
    <row r="29" spans="1:39" ht="37.5" customHeight="1">
      <c r="A29" s="1062">
        <v>4</v>
      </c>
      <c r="B29" s="3108" t="s">
        <v>68</v>
      </c>
      <c r="C29" s="3110" t="s">
        <v>68</v>
      </c>
      <c r="D29" s="3110" t="s">
        <v>68</v>
      </c>
      <c r="E29" s="3111" t="s">
        <v>68</v>
      </c>
      <c r="F29" s="21" t="s">
        <v>106</v>
      </c>
      <c r="G29" s="1043" t="str">
        <f>'XM.GUI MAIL'!$E$66</f>
        <v>40~60</v>
      </c>
      <c r="H29" s="2450" t="str">
        <f>'XM.GUI MAIL'!$F$66</f>
        <v>(50±5)</v>
      </c>
      <c r="I29" s="2829">
        <f>'XM.GUI MAIL'!I66</f>
        <v>51</v>
      </c>
      <c r="J29" s="2819"/>
      <c r="K29" s="2828">
        <f>'XM.GUI MAIL'!L66</f>
        <v>49</v>
      </c>
      <c r="L29" s="2819"/>
      <c r="M29" s="2828">
        <f>'XM.GUI MAIL'!P66</f>
        <v>50</v>
      </c>
      <c r="N29" s="2819"/>
      <c r="O29" s="2828">
        <f>'XM.GUI MAIL'!S66</f>
        <v>50</v>
      </c>
      <c r="P29" s="2819"/>
      <c r="Q29" s="2828">
        <f>'XM.GUI MAIL'!W66</f>
        <v>54</v>
      </c>
      <c r="R29" s="2819"/>
      <c r="S29" s="2828">
        <f>'XM.GUI MAIL'!Z66</f>
        <v>52</v>
      </c>
      <c r="T29" s="2819"/>
      <c r="U29" s="20"/>
      <c r="W29" s="1525">
        <v>4</v>
      </c>
      <c r="X29" s="3108" t="s">
        <v>68</v>
      </c>
      <c r="Y29" s="3110" t="s">
        <v>68</v>
      </c>
      <c r="Z29" s="3110" t="s">
        <v>68</v>
      </c>
      <c r="AA29" s="3111" t="s">
        <v>68</v>
      </c>
      <c r="AB29" s="1597"/>
      <c r="AC29" s="1901"/>
      <c r="AD29" s="1901"/>
      <c r="AE29" s="1598"/>
      <c r="AF29" s="1597"/>
      <c r="AG29" s="1901"/>
      <c r="AH29" s="1901"/>
      <c r="AI29" s="1598"/>
      <c r="AJ29" s="1597"/>
      <c r="AK29" s="1901"/>
      <c r="AL29" s="1901"/>
      <c r="AM29" s="1598"/>
    </row>
    <row r="30" spans="1:39" ht="37.5" customHeight="1">
      <c r="A30" s="1062">
        <v>5</v>
      </c>
      <c r="B30" s="3108" t="s">
        <v>70</v>
      </c>
      <c r="C30" s="3110" t="s">
        <v>70</v>
      </c>
      <c r="D30" s="3110" t="s">
        <v>70</v>
      </c>
      <c r="E30" s="3111" t="s">
        <v>70</v>
      </c>
      <c r="F30" s="21" t="s">
        <v>106</v>
      </c>
      <c r="G30" s="1043" t="str">
        <f>'XM.GUI MAIL'!$E$67</f>
        <v>22~35</v>
      </c>
      <c r="H30" s="2450" t="str">
        <f>'XM.GUI MAIL'!$F$67</f>
        <v>(30±4)</v>
      </c>
      <c r="I30" s="2934">
        <f>'XM.GUI MAIL'!I67</f>
        <v>32</v>
      </c>
      <c r="J30" s="2867"/>
      <c r="K30" s="2867">
        <f>'XM.GUI MAIL'!L67</f>
        <v>31</v>
      </c>
      <c r="L30" s="2867"/>
      <c r="M30" s="2867">
        <f>'XM.GUI MAIL'!P67</f>
        <v>32</v>
      </c>
      <c r="N30" s="2867"/>
      <c r="O30" s="2867">
        <f>'XM.GUI MAIL'!S67</f>
        <v>31</v>
      </c>
      <c r="P30" s="2867"/>
      <c r="Q30" s="2867">
        <f>'XM.GUI MAIL'!W67</f>
        <v>29</v>
      </c>
      <c r="R30" s="2867"/>
      <c r="S30" s="2867">
        <f>'XM.GUI MAIL'!Z67</f>
        <v>29</v>
      </c>
      <c r="T30" s="2867"/>
      <c r="U30" s="20"/>
      <c r="W30" s="1525">
        <v>5</v>
      </c>
      <c r="X30" s="3108" t="s">
        <v>70</v>
      </c>
      <c r="Y30" s="3110" t="s">
        <v>70</v>
      </c>
      <c r="Z30" s="3110" t="s">
        <v>70</v>
      </c>
      <c r="AA30" s="3111" t="s">
        <v>70</v>
      </c>
      <c r="AB30" s="1597"/>
      <c r="AC30" s="1901"/>
      <c r="AD30" s="1901"/>
      <c r="AE30" s="1598"/>
      <c r="AF30" s="1597"/>
      <c r="AG30" s="1901"/>
      <c r="AH30" s="1901"/>
      <c r="AI30" s="1598"/>
      <c r="AJ30" s="1597"/>
      <c r="AK30" s="1901"/>
      <c r="AL30" s="1901"/>
      <c r="AM30" s="1598"/>
    </row>
    <row r="31" spans="1:39" ht="37.5" customHeight="1">
      <c r="A31" s="1062">
        <v>6</v>
      </c>
      <c r="B31" s="3108" t="s">
        <v>985</v>
      </c>
      <c r="C31" s="3110" t="s">
        <v>985</v>
      </c>
      <c r="D31" s="3110" t="s">
        <v>985</v>
      </c>
      <c r="E31" s="3111" t="s">
        <v>985</v>
      </c>
      <c r="F31" s="21" t="s">
        <v>106</v>
      </c>
      <c r="G31" s="1043" t="str">
        <f>'XM.GUI MAIL'!$E$68</f>
        <v>30-38</v>
      </c>
      <c r="H31" s="2450" t="str">
        <f>'XM.GUI MAIL'!$F$68</f>
        <v>(34±2)</v>
      </c>
      <c r="I31" s="2934">
        <f>'XM.GUI MAIL'!I68</f>
        <v>33</v>
      </c>
      <c r="J31" s="2867"/>
      <c r="K31" s="2867">
        <f>'XM.GUI MAIL'!L68</f>
        <v>32</v>
      </c>
      <c r="L31" s="2867"/>
      <c r="M31" s="2867">
        <f>'XM.GUI MAIL'!P68</f>
        <v>33</v>
      </c>
      <c r="N31" s="2867"/>
      <c r="O31" s="2867">
        <f>'XM.GUI MAIL'!S68</f>
        <v>33</v>
      </c>
      <c r="P31" s="2867"/>
      <c r="Q31" s="2867">
        <f>'XM.GUI MAIL'!W68</f>
        <v>34</v>
      </c>
      <c r="R31" s="2867"/>
      <c r="S31" s="2867">
        <f>'XM.GUI MAIL'!Z68</f>
        <v>33</v>
      </c>
      <c r="T31" s="2867"/>
      <c r="U31" s="22"/>
      <c r="W31" s="1525">
        <v>6</v>
      </c>
      <c r="X31" s="3108" t="s">
        <v>985</v>
      </c>
      <c r="Y31" s="3110" t="s">
        <v>985</v>
      </c>
      <c r="Z31" s="3110" t="s">
        <v>985</v>
      </c>
      <c r="AA31" s="3111" t="s">
        <v>985</v>
      </c>
      <c r="AB31" s="1597"/>
      <c r="AC31" s="1901"/>
      <c r="AD31" s="1901"/>
      <c r="AE31" s="1598"/>
      <c r="AF31" s="1597"/>
      <c r="AG31" s="1901"/>
      <c r="AH31" s="1901"/>
      <c r="AI31" s="1598"/>
      <c r="AJ31" s="1597"/>
      <c r="AK31" s="1901"/>
      <c r="AL31" s="1901"/>
      <c r="AM31" s="1598"/>
    </row>
    <row r="32" spans="1:39" ht="37.5" customHeight="1">
      <c r="A32" s="1062">
        <v>7</v>
      </c>
      <c r="B32" s="3108" t="s">
        <v>71</v>
      </c>
      <c r="C32" s="3110" t="s">
        <v>71</v>
      </c>
      <c r="D32" s="3110" t="s">
        <v>71</v>
      </c>
      <c r="E32" s="3111" t="s">
        <v>71</v>
      </c>
      <c r="F32" s="21" t="s">
        <v>106</v>
      </c>
      <c r="G32" s="1043" t="str">
        <f>'XM.GUI MAIL'!$E$69</f>
        <v>50~70</v>
      </c>
      <c r="H32" s="2450" t="str">
        <f>'XM.GUI MAIL'!$F$69</f>
        <v>(60±10)</v>
      </c>
      <c r="I32" s="2934">
        <f>'XM.GUI MAIL'!I69</f>
        <v>52</v>
      </c>
      <c r="J32" s="2867"/>
      <c r="K32" s="2867">
        <f>'XM.GUI MAIL'!L69</f>
        <v>51</v>
      </c>
      <c r="L32" s="2867"/>
      <c r="M32" s="2867">
        <f>'XM.GUI MAIL'!P69</f>
        <v>55</v>
      </c>
      <c r="N32" s="2867"/>
      <c r="O32" s="2867">
        <f>'XM.GUI MAIL'!S69</f>
        <v>54</v>
      </c>
      <c r="P32" s="2867"/>
      <c r="Q32" s="2867">
        <f>'XM.GUI MAIL'!W69</f>
        <v>57</v>
      </c>
      <c r="R32" s="2867"/>
      <c r="S32" s="2867">
        <f>'XM.GUI MAIL'!Z69</f>
        <v>58</v>
      </c>
      <c r="T32" s="2867"/>
      <c r="U32" s="20"/>
      <c r="W32" s="1525">
        <v>7</v>
      </c>
      <c r="X32" s="3108" t="s">
        <v>71</v>
      </c>
      <c r="Y32" s="3110" t="s">
        <v>71</v>
      </c>
      <c r="Z32" s="3110" t="s">
        <v>71</v>
      </c>
      <c r="AA32" s="3111" t="s">
        <v>71</v>
      </c>
      <c r="AB32" s="1597"/>
      <c r="AC32" s="1901"/>
      <c r="AD32" s="1901"/>
      <c r="AE32" s="1598"/>
      <c r="AF32" s="1597"/>
      <c r="AG32" s="1901"/>
      <c r="AH32" s="1901"/>
      <c r="AI32" s="1598"/>
      <c r="AJ32" s="1597"/>
      <c r="AK32" s="1901"/>
      <c r="AL32" s="1901"/>
      <c r="AM32" s="1598"/>
    </row>
    <row r="33" spans="1:39" ht="37.5" customHeight="1">
      <c r="A33" s="1062">
        <v>8</v>
      </c>
      <c r="B33" s="3112" t="s">
        <v>72</v>
      </c>
      <c r="C33" s="3113" t="s">
        <v>72</v>
      </c>
      <c r="D33" s="3113" t="s">
        <v>72</v>
      </c>
      <c r="E33" s="3114" t="s">
        <v>72</v>
      </c>
      <c r="F33" s="21" t="s">
        <v>106</v>
      </c>
      <c r="G33" s="1043" t="str">
        <f>'XM.GUI MAIL'!$E$70</f>
        <v>80~100</v>
      </c>
      <c r="H33" s="2450" t="str">
        <f>'XM.GUI MAIL'!$F$70</f>
        <v>(90±5)</v>
      </c>
      <c r="I33" s="2942" t="s">
        <v>48</v>
      </c>
      <c r="J33" s="2943"/>
      <c r="K33" s="2819">
        <f>'XM.GUI MAIL'!L70</f>
        <v>84</v>
      </c>
      <c r="L33" s="2819"/>
      <c r="M33" s="2944" t="s">
        <v>48</v>
      </c>
      <c r="N33" s="2943"/>
      <c r="O33" s="2819">
        <f>'XM.GUI MAIL'!S70</f>
        <v>89</v>
      </c>
      <c r="P33" s="2819"/>
      <c r="Q33" s="2944" t="s">
        <v>48</v>
      </c>
      <c r="R33" s="2943"/>
      <c r="S33" s="2819">
        <f>'XM.GUI MAIL'!Z70</f>
        <v>93</v>
      </c>
      <c r="T33" s="2819"/>
      <c r="U33" s="20"/>
      <c r="W33" s="1525">
        <v>8</v>
      </c>
      <c r="X33" s="3112" t="s">
        <v>72</v>
      </c>
      <c r="Y33" s="3113" t="s">
        <v>72</v>
      </c>
      <c r="Z33" s="3113" t="s">
        <v>72</v>
      </c>
      <c r="AA33" s="3114" t="s">
        <v>72</v>
      </c>
      <c r="AB33" s="1597"/>
      <c r="AC33" s="1901"/>
      <c r="AD33" s="1901"/>
      <c r="AE33" s="1598"/>
      <c r="AF33" s="1899"/>
      <c r="AG33" s="1898"/>
      <c r="AH33" s="1918"/>
      <c r="AI33" s="1599"/>
      <c r="AJ33" s="1593"/>
      <c r="AK33" s="1898"/>
      <c r="AL33" s="1898"/>
      <c r="AM33" s="1599"/>
    </row>
    <row r="34" spans="1:39" ht="30.75" customHeight="1">
      <c r="A34" s="1072"/>
      <c r="B34" s="264"/>
      <c r="C34" s="265"/>
      <c r="D34" s="265"/>
      <c r="E34" s="265"/>
      <c r="F34" s="265"/>
      <c r="G34" s="267" t="s">
        <v>111</v>
      </c>
      <c r="H34" s="267"/>
      <c r="I34" s="265"/>
      <c r="J34" s="265"/>
      <c r="K34" s="265"/>
      <c r="L34" s="265"/>
      <c r="M34" s="265"/>
      <c r="N34" s="265"/>
      <c r="O34" s="265"/>
      <c r="P34" s="265"/>
      <c r="Q34" s="265"/>
      <c r="R34" s="265"/>
      <c r="S34" s="265"/>
      <c r="T34" s="265"/>
      <c r="U34" s="266"/>
      <c r="W34" s="1523"/>
      <c r="X34" s="264"/>
      <c r="Y34" s="265"/>
      <c r="Z34" s="265"/>
      <c r="AA34" s="265"/>
      <c r="AB34" s="265"/>
      <c r="AC34" s="265"/>
      <c r="AD34" s="265"/>
      <c r="AE34" s="265"/>
      <c r="AF34" s="1917"/>
      <c r="AG34" s="1913"/>
      <c r="AH34" s="1913"/>
    </row>
    <row r="35" spans="1:39" ht="41.25" customHeight="1">
      <c r="A35" s="1062" t="s">
        <v>7</v>
      </c>
      <c r="B35" s="3108" t="s">
        <v>93</v>
      </c>
      <c r="C35" s="3110"/>
      <c r="D35" s="3110"/>
      <c r="E35" s="3111"/>
      <c r="F35" s="1061" t="s">
        <v>94</v>
      </c>
      <c r="G35" s="1010" t="s">
        <v>1325</v>
      </c>
      <c r="H35" s="2429" t="s">
        <v>1317</v>
      </c>
      <c r="I35" s="3114" t="s">
        <v>112</v>
      </c>
      <c r="J35" s="2850"/>
      <c r="K35" s="2850"/>
      <c r="L35" s="2850"/>
      <c r="M35" s="2850" t="s">
        <v>112</v>
      </c>
      <c r="N35" s="2850"/>
      <c r="O35" s="2850"/>
      <c r="P35" s="2850"/>
      <c r="Q35" s="2850" t="s">
        <v>112</v>
      </c>
      <c r="R35" s="2850"/>
      <c r="S35" s="2850"/>
      <c r="T35" s="2850"/>
      <c r="U35" s="1063"/>
      <c r="W35" s="1525" t="s">
        <v>7</v>
      </c>
      <c r="X35" s="3108" t="s">
        <v>93</v>
      </c>
      <c r="Y35" s="3110"/>
      <c r="Z35" s="3110"/>
      <c r="AA35" s="3111"/>
      <c r="AB35" s="3106" t="s">
        <v>1375</v>
      </c>
      <c r="AC35" s="2904"/>
      <c r="AD35" s="2904"/>
      <c r="AE35" s="2905"/>
      <c r="AF35" s="3106" t="s">
        <v>1375</v>
      </c>
      <c r="AG35" s="2904"/>
      <c r="AH35" s="2904"/>
      <c r="AI35" s="2905"/>
      <c r="AJ35" s="3106" t="s">
        <v>1375</v>
      </c>
      <c r="AK35" s="2904"/>
      <c r="AL35" s="2904"/>
      <c r="AM35" s="2905"/>
    </row>
    <row r="36" spans="1:39" ht="39" customHeight="1">
      <c r="A36" s="1072">
        <v>1</v>
      </c>
      <c r="B36" s="3150" t="s">
        <v>227</v>
      </c>
      <c r="C36" s="3151"/>
      <c r="D36" s="3151"/>
      <c r="E36" s="3152"/>
      <c r="F36" s="23" t="s">
        <v>49</v>
      </c>
      <c r="G36" s="277" t="str">
        <f>'XM.GUI MAIL'!$E$72</f>
        <v>100-200</v>
      </c>
      <c r="H36" s="2023" t="str">
        <f>'XM.GUI MAIL'!$F$72</f>
        <v>100-200</v>
      </c>
      <c r="I36" s="3088">
        <f>'XM.GUI MAIL'!I72</f>
        <v>120</v>
      </c>
      <c r="J36" s="3088"/>
      <c r="K36" s="3088"/>
      <c r="L36" s="3088"/>
      <c r="M36" s="3016">
        <f>'XM.GUI MAIL'!P72</f>
        <v>122</v>
      </c>
      <c r="N36" s="3088"/>
      <c r="O36" s="3088"/>
      <c r="P36" s="3088"/>
      <c r="Q36" s="3016">
        <f>'XM.GUI MAIL'!W72</f>
        <v>115</v>
      </c>
      <c r="R36" s="3088"/>
      <c r="S36" s="3088"/>
      <c r="T36" s="3088"/>
      <c r="U36" s="1508"/>
      <c r="W36" s="1523">
        <v>1</v>
      </c>
      <c r="X36" s="3150" t="s">
        <v>227</v>
      </c>
      <c r="Y36" s="3151"/>
      <c r="Z36" s="3151"/>
      <c r="AA36" s="3152"/>
      <c r="AB36" s="1597"/>
      <c r="AC36" s="1901"/>
      <c r="AD36" s="1901"/>
      <c r="AE36" s="1598"/>
      <c r="AF36" s="1597"/>
      <c r="AG36" s="1901"/>
      <c r="AH36" s="1901"/>
      <c r="AI36" s="1598"/>
      <c r="AJ36" s="1597"/>
      <c r="AK36" s="1901"/>
      <c r="AL36" s="1901"/>
      <c r="AM36" s="1598"/>
    </row>
    <row r="37" spans="1:39" ht="39" customHeight="1">
      <c r="A37" s="1072">
        <v>2</v>
      </c>
      <c r="B37" s="3150" t="s">
        <v>228</v>
      </c>
      <c r="C37" s="3151"/>
      <c r="D37" s="3151"/>
      <c r="E37" s="3152"/>
      <c r="F37" s="23" t="s">
        <v>49</v>
      </c>
      <c r="G37" s="277" t="str">
        <f>'XM.GUI MAIL'!$E$73</f>
        <v>20-50</v>
      </c>
      <c r="H37" s="2023" t="str">
        <f>'XM.GUI MAIL'!$F$73</f>
        <v>20-50</v>
      </c>
      <c r="I37" s="3088">
        <f>'XM.GUI MAIL'!I73</f>
        <v>38</v>
      </c>
      <c r="J37" s="3088"/>
      <c r="K37" s="3088"/>
      <c r="L37" s="3088"/>
      <c r="M37" s="3016">
        <f>'XM.GUI MAIL'!P73</f>
        <v>40</v>
      </c>
      <c r="N37" s="3088"/>
      <c r="O37" s="3088"/>
      <c r="P37" s="3088"/>
      <c r="Q37" s="3016">
        <f>'XM.GUI MAIL'!V73</f>
        <v>40</v>
      </c>
      <c r="R37" s="3088"/>
      <c r="S37" s="3088"/>
      <c r="T37" s="3088"/>
      <c r="U37" s="22"/>
      <c r="W37" s="1523">
        <v>2</v>
      </c>
      <c r="X37" s="3150" t="s">
        <v>228</v>
      </c>
      <c r="Y37" s="3151"/>
      <c r="Z37" s="3151"/>
      <c r="AA37" s="3152"/>
      <c r="AB37" s="1597"/>
      <c r="AC37" s="1901"/>
      <c r="AD37" s="1901"/>
      <c r="AE37" s="1598"/>
      <c r="AF37" s="1597"/>
      <c r="AG37" s="1901"/>
      <c r="AH37" s="1901"/>
      <c r="AI37" s="1599"/>
      <c r="AJ37" s="1593"/>
      <c r="AK37" s="1898"/>
      <c r="AL37" s="1898"/>
      <c r="AM37" s="1599"/>
    </row>
    <row r="38" spans="1:39" ht="12.75" customHeight="1">
      <c r="A38" s="423"/>
      <c r="B38" s="635"/>
      <c r="C38" s="635"/>
      <c r="D38" s="635"/>
      <c r="E38" s="635"/>
      <c r="F38" s="931"/>
      <c r="G38" s="931"/>
      <c r="H38" s="931"/>
      <c r="I38" s="931"/>
      <c r="J38" s="931"/>
      <c r="K38" s="931"/>
      <c r="L38" s="931"/>
      <c r="M38" s="931"/>
      <c r="N38" s="931"/>
      <c r="O38" s="931"/>
      <c r="P38" s="931"/>
      <c r="Q38" s="931"/>
      <c r="R38" s="931"/>
      <c r="S38" s="1432"/>
      <c r="T38" s="1432"/>
      <c r="U38" s="932"/>
    </row>
  </sheetData>
  <sheetProtection formatCells="0" formatColumns="0" formatRows="0" insertColumns="0" insertRows="0" insertHyperlinks="0" deleteColumns="0" deleteRows="0" selectLockedCells="1" sort="0" autoFilter="0" pivotTables="0"/>
  <mergeCells count="177">
    <mergeCell ref="X35:AA35"/>
    <mergeCell ref="X36:AA36"/>
    <mergeCell ref="X37:AA37"/>
    <mergeCell ref="X25:AA25"/>
    <mergeCell ref="X26:AA26"/>
    <mergeCell ref="X27:AA27"/>
    <mergeCell ref="X28:AA28"/>
    <mergeCell ref="X29:AA29"/>
    <mergeCell ref="X30:AA30"/>
    <mergeCell ref="X31:AA31"/>
    <mergeCell ref="X32:AA32"/>
    <mergeCell ref="X33:AA33"/>
    <mergeCell ref="X14:AA14"/>
    <mergeCell ref="X15:AA15"/>
    <mergeCell ref="W16:W17"/>
    <mergeCell ref="X16:AA17"/>
    <mergeCell ref="X18:AA18"/>
    <mergeCell ref="X19:AA19"/>
    <mergeCell ref="X20:AA20"/>
    <mergeCell ref="X21:AA21"/>
    <mergeCell ref="W22:W23"/>
    <mergeCell ref="X22:AA23"/>
    <mergeCell ref="W8:W9"/>
    <mergeCell ref="X8:Y9"/>
    <mergeCell ref="Z8:AA8"/>
    <mergeCell ref="Z9:AA9"/>
    <mergeCell ref="W10:W11"/>
    <mergeCell ref="X10:Y11"/>
    <mergeCell ref="Z10:AA10"/>
    <mergeCell ref="Z11:AA11"/>
    <mergeCell ref="W12:W13"/>
    <mergeCell ref="X12:Y13"/>
    <mergeCell ref="Z12:AA12"/>
    <mergeCell ref="Z13:AA13"/>
    <mergeCell ref="W2:AF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H3:I3"/>
    <mergeCell ref="B30:E30"/>
    <mergeCell ref="K28:L28"/>
    <mergeCell ref="K30:L30"/>
    <mergeCell ref="K29:L29"/>
    <mergeCell ref="I28:J28"/>
    <mergeCell ref="I29:J29"/>
    <mergeCell ref="I30:J30"/>
    <mergeCell ref="B26:E26"/>
    <mergeCell ref="B27:E27"/>
    <mergeCell ref="K26:L26"/>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AC3:AD3"/>
    <mergeCell ref="AB4:AE4"/>
    <mergeCell ref="AF4:AI4"/>
    <mergeCell ref="AJ4:AM4"/>
    <mergeCell ref="AB25:AE25"/>
    <mergeCell ref="AF25:AI25"/>
    <mergeCell ref="AJ25:AM25"/>
    <mergeCell ref="AB35:AE35"/>
    <mergeCell ref="AF35:AI35"/>
    <mergeCell ref="AJ35:AM35"/>
    <mergeCell ref="AB5:AC5"/>
    <mergeCell ref="AD5:AE5"/>
    <mergeCell ref="AF5:AG5"/>
    <mergeCell ref="AH5:AI5"/>
    <mergeCell ref="AJ5:AK5"/>
    <mergeCell ref="AL5:AM5"/>
  </mergeCells>
  <phoneticPr fontId="7" type="noConversion"/>
  <conditionalFormatting sqref="I36 M36 Q36">
    <cfRule type="expression" dxfId="2670" priority="1853">
      <formula>I36&lt;100</formula>
    </cfRule>
    <cfRule type="expression" dxfId="2669" priority="1854">
      <formula>I36&gt;200</formula>
    </cfRule>
  </conditionalFormatting>
  <conditionalFormatting sqref="Q37 I37 M37">
    <cfRule type="expression" dxfId="2668" priority="1851">
      <formula>I37&lt;20</formula>
    </cfRule>
    <cfRule type="expression" dxfId="2667" priority="1852">
      <formula>I37&gt;50</formula>
    </cfRule>
  </conditionalFormatting>
  <conditionalFormatting sqref="K30:L30">
    <cfRule type="cellIs" dxfId="2666" priority="333" operator="between">
      <formula>22</formula>
      <formula>25.99</formula>
    </cfRule>
    <cfRule type="cellIs" dxfId="2665" priority="334" operator="between">
      <formula>34.1</formula>
      <formula>35</formula>
    </cfRule>
    <cfRule type="expression" dxfId="2664" priority="335">
      <formula>K30&lt;22</formula>
    </cfRule>
    <cfRule type="expression" dxfId="2663" priority="336">
      <formula>K30&gt;35</formula>
    </cfRule>
  </conditionalFormatting>
  <conditionalFormatting sqref="K31:L31">
    <cfRule type="cellIs" dxfId="2662" priority="329" operator="between">
      <formula>30</formula>
      <formula>31.99</formula>
    </cfRule>
    <cfRule type="cellIs" dxfId="2661" priority="330" operator="between">
      <formula>36.1</formula>
      <formula>38</formula>
    </cfRule>
    <cfRule type="expression" dxfId="2660" priority="331">
      <formula>K31&lt;30</formula>
    </cfRule>
    <cfRule type="expression" dxfId="2659" priority="332">
      <formula>K31&gt;38</formula>
    </cfRule>
  </conditionalFormatting>
  <conditionalFormatting sqref="K33">
    <cfRule type="cellIs" dxfId="2658" priority="325" operator="between">
      <formula>80</formula>
      <formula>84.9</formula>
    </cfRule>
    <cfRule type="cellIs" dxfId="2657" priority="326" operator="between">
      <formula>95.1</formula>
      <formula>100</formula>
    </cfRule>
    <cfRule type="expression" dxfId="2656" priority="327">
      <formula>K33&lt;80</formula>
    </cfRule>
    <cfRule type="expression" dxfId="2655" priority="328">
      <formula>K33&gt;100</formula>
    </cfRule>
  </conditionalFormatting>
  <conditionalFormatting sqref="K26:L27">
    <cfRule type="cellIs" dxfId="2654" priority="321" operator="between">
      <formula>50</formula>
      <formula>54.9</formula>
    </cfRule>
    <cfRule type="cellIs" dxfId="2653" priority="322" operator="between">
      <formula>65.1</formula>
      <formula>70</formula>
    </cfRule>
    <cfRule type="expression" dxfId="2652" priority="323">
      <formula>K26&lt;50</formula>
    </cfRule>
    <cfRule type="expression" dxfId="2651" priority="324">
      <formula>K26&gt;70</formula>
    </cfRule>
  </conditionalFormatting>
  <conditionalFormatting sqref="K32">
    <cfRule type="expression" dxfId="2650" priority="316">
      <formula>K32&lt;50</formula>
    </cfRule>
    <cfRule type="expression" dxfId="2649" priority="317">
      <formula>K32&gt;70</formula>
    </cfRule>
  </conditionalFormatting>
  <conditionalFormatting sqref="I30:J30">
    <cfRule type="cellIs" dxfId="2648" priority="309" operator="between">
      <formula>22</formula>
      <formula>25.99</formula>
    </cfRule>
    <cfRule type="cellIs" dxfId="2647" priority="310" operator="between">
      <formula>34.1</formula>
      <formula>35</formula>
    </cfRule>
    <cfRule type="expression" dxfId="2646" priority="311">
      <formula>I30&lt;22</formula>
    </cfRule>
    <cfRule type="expression" dxfId="2645" priority="312">
      <formula>I30&gt;35</formula>
    </cfRule>
  </conditionalFormatting>
  <conditionalFormatting sqref="I31:J31">
    <cfRule type="cellIs" dxfId="2644" priority="305" operator="between">
      <formula>30</formula>
      <formula>31.99</formula>
    </cfRule>
    <cfRule type="cellIs" dxfId="2643" priority="306" operator="between">
      <formula>36.1</formula>
      <formula>38</formula>
    </cfRule>
    <cfRule type="expression" dxfId="2642" priority="307">
      <formula>I31&lt;30</formula>
    </cfRule>
    <cfRule type="expression" dxfId="2641" priority="308">
      <formula>I31&gt;38</formula>
    </cfRule>
  </conditionalFormatting>
  <conditionalFormatting sqref="I26:J27">
    <cfRule type="cellIs" dxfId="2640" priority="301" operator="between">
      <formula>50</formula>
      <formula>54.9</formula>
    </cfRule>
    <cfRule type="cellIs" dxfId="2639" priority="302" operator="between">
      <formula>65.1</formula>
      <formula>70</formula>
    </cfRule>
    <cfRule type="expression" dxfId="2638" priority="303">
      <formula>I26&lt;50</formula>
    </cfRule>
    <cfRule type="expression" dxfId="2637" priority="304">
      <formula>I26&gt;70</formula>
    </cfRule>
  </conditionalFormatting>
  <conditionalFormatting sqref="I32">
    <cfRule type="expression" dxfId="2636" priority="296">
      <formula>I32&lt;50</formula>
    </cfRule>
    <cfRule type="expression" dxfId="2635" priority="297">
      <formula>I32&gt;70</formula>
    </cfRule>
  </conditionalFormatting>
  <conditionalFormatting sqref="O30:P30">
    <cfRule type="cellIs" dxfId="2634" priority="289" operator="between">
      <formula>22</formula>
      <formula>25.99</formula>
    </cfRule>
    <cfRule type="cellIs" dxfId="2633" priority="290" operator="between">
      <formula>34.1</formula>
      <formula>35</formula>
    </cfRule>
    <cfRule type="expression" dxfId="2632" priority="291">
      <formula>O30&lt;22</formula>
    </cfRule>
    <cfRule type="expression" dxfId="2631" priority="292">
      <formula>O30&gt;35</formula>
    </cfRule>
  </conditionalFormatting>
  <conditionalFormatting sqref="O31:P31">
    <cfRule type="cellIs" dxfId="2630" priority="285" operator="between">
      <formula>30</formula>
      <formula>31.99</formula>
    </cfRule>
    <cfRule type="cellIs" dxfId="2629" priority="286" operator="between">
      <formula>36.1</formula>
      <formula>38</formula>
    </cfRule>
    <cfRule type="expression" dxfId="2628" priority="287">
      <formula>O31&lt;30</formula>
    </cfRule>
    <cfRule type="expression" dxfId="2627" priority="288">
      <formula>O31&gt;38</formula>
    </cfRule>
  </conditionalFormatting>
  <conditionalFormatting sqref="O33">
    <cfRule type="cellIs" dxfId="2626" priority="281" operator="between">
      <formula>80</formula>
      <formula>84.9</formula>
    </cfRule>
    <cfRule type="cellIs" dxfId="2625" priority="282" operator="between">
      <formula>95.1</formula>
      <formula>100</formula>
    </cfRule>
    <cfRule type="expression" dxfId="2624" priority="283">
      <formula>O33&lt;80</formula>
    </cfRule>
    <cfRule type="expression" dxfId="2623" priority="284">
      <formula>O33&gt;100</formula>
    </cfRule>
  </conditionalFormatting>
  <conditionalFormatting sqref="O26:P27">
    <cfRule type="cellIs" dxfId="2622" priority="277" operator="between">
      <formula>50</formula>
      <formula>54.9</formula>
    </cfRule>
    <cfRule type="cellIs" dxfId="2621" priority="278" operator="between">
      <formula>65.1</formula>
      <formula>70</formula>
    </cfRule>
    <cfRule type="expression" dxfId="2620" priority="279">
      <formula>O26&lt;50</formula>
    </cfRule>
    <cfRule type="expression" dxfId="2619" priority="280">
      <formula>O26&gt;70</formula>
    </cfRule>
  </conditionalFormatting>
  <conditionalFormatting sqref="O32">
    <cfRule type="expression" dxfId="2618" priority="272">
      <formula>O32&lt;50</formula>
    </cfRule>
    <cfRule type="expression" dxfId="2617" priority="273">
      <formula>O32&gt;70</formula>
    </cfRule>
  </conditionalFormatting>
  <conditionalFormatting sqref="M30:N30">
    <cfRule type="cellIs" dxfId="2616" priority="265" operator="between">
      <formula>22</formula>
      <formula>25.99</formula>
    </cfRule>
    <cfRule type="cellIs" dxfId="2615" priority="266" operator="between">
      <formula>34.1</formula>
      <formula>35</formula>
    </cfRule>
    <cfRule type="expression" dxfId="2614" priority="267">
      <formula>M30&lt;22</formula>
    </cfRule>
    <cfRule type="expression" dxfId="2613" priority="268">
      <formula>M30&gt;35</formula>
    </cfRule>
  </conditionalFormatting>
  <conditionalFormatting sqref="M31:N31">
    <cfRule type="cellIs" dxfId="2612" priority="261" operator="between">
      <formula>30</formula>
      <formula>31.99</formula>
    </cfRule>
    <cfRule type="cellIs" dxfId="2611" priority="262" operator="between">
      <formula>36.1</formula>
      <formula>38</formula>
    </cfRule>
    <cfRule type="expression" dxfId="2610" priority="263">
      <formula>M31&lt;30</formula>
    </cfRule>
    <cfRule type="expression" dxfId="2609" priority="264">
      <formula>M31&gt;38</formula>
    </cfRule>
  </conditionalFormatting>
  <conditionalFormatting sqref="M26:N27">
    <cfRule type="cellIs" dxfId="2608" priority="257" operator="between">
      <formula>50</formula>
      <formula>54.9</formula>
    </cfRule>
    <cfRule type="cellIs" dxfId="2607" priority="258" operator="between">
      <formula>65.1</formula>
      <formula>70</formula>
    </cfRule>
    <cfRule type="expression" dxfId="2606" priority="259">
      <formula>M26&lt;50</formula>
    </cfRule>
    <cfRule type="expression" dxfId="2605" priority="260">
      <formula>M26&gt;70</formula>
    </cfRule>
  </conditionalFormatting>
  <conditionalFormatting sqref="M32">
    <cfRule type="expression" dxfId="2604" priority="252">
      <formula>M32&lt;50</formula>
    </cfRule>
    <cfRule type="expression" dxfId="2603" priority="253">
      <formula>M32&gt;70</formula>
    </cfRule>
  </conditionalFormatting>
  <conditionalFormatting sqref="S30:T30">
    <cfRule type="cellIs" dxfId="2602" priority="245" operator="between">
      <formula>22</formula>
      <formula>25.99</formula>
    </cfRule>
    <cfRule type="cellIs" dxfId="2601" priority="246" operator="between">
      <formula>34.1</formula>
      <formula>35</formula>
    </cfRule>
    <cfRule type="expression" dxfId="2600" priority="247">
      <formula>S30&lt;22</formula>
    </cfRule>
    <cfRule type="expression" dxfId="2599" priority="248">
      <formula>S30&gt;35</formula>
    </cfRule>
  </conditionalFormatting>
  <conditionalFormatting sqref="S31:T31">
    <cfRule type="cellIs" dxfId="2598" priority="241" operator="between">
      <formula>30</formula>
      <formula>31.99</formula>
    </cfRule>
    <cfRule type="cellIs" dxfId="2597" priority="242" operator="between">
      <formula>36.1</formula>
      <formula>38</formula>
    </cfRule>
    <cfRule type="expression" dxfId="2596" priority="243">
      <formula>S31&lt;30</formula>
    </cfRule>
    <cfRule type="expression" dxfId="2595" priority="244">
      <formula>S31&gt;38</formula>
    </cfRule>
  </conditionalFormatting>
  <conditionalFormatting sqref="S33">
    <cfRule type="cellIs" dxfId="2594" priority="237" operator="between">
      <formula>80</formula>
      <formula>84.9</formula>
    </cfRule>
    <cfRule type="cellIs" dxfId="2593" priority="238" operator="between">
      <formula>95.1</formula>
      <formula>100</formula>
    </cfRule>
    <cfRule type="expression" dxfId="2592" priority="239">
      <formula>S33&lt;80</formula>
    </cfRule>
    <cfRule type="expression" dxfId="2591" priority="240">
      <formula>S33&gt;100</formula>
    </cfRule>
  </conditionalFormatting>
  <conditionalFormatting sqref="S26:T27">
    <cfRule type="cellIs" dxfId="2590" priority="233" operator="between">
      <formula>50</formula>
      <formula>54.9</formula>
    </cfRule>
    <cfRule type="cellIs" dxfId="2589" priority="234" operator="between">
      <formula>65.1</formula>
      <formula>70</formula>
    </cfRule>
    <cfRule type="expression" dxfId="2588" priority="235">
      <formula>S26&lt;50</formula>
    </cfRule>
    <cfRule type="expression" dxfId="2587" priority="236">
      <formula>S26&gt;70</formula>
    </cfRule>
  </conditionalFormatting>
  <conditionalFormatting sqref="S32">
    <cfRule type="expression" dxfId="2586" priority="228">
      <formula>S32&lt;50</formula>
    </cfRule>
    <cfRule type="expression" dxfId="2585" priority="229">
      <formula>S32&gt;70</formula>
    </cfRule>
  </conditionalFormatting>
  <conditionalFormatting sqref="Q30:R30">
    <cfRule type="cellIs" dxfId="2584" priority="221" operator="between">
      <formula>22</formula>
      <formula>25.99</formula>
    </cfRule>
    <cfRule type="cellIs" dxfId="2583" priority="222" operator="between">
      <formula>34.1</formula>
      <formula>35</formula>
    </cfRule>
    <cfRule type="expression" dxfId="2582" priority="223">
      <formula>Q30&lt;22</formula>
    </cfRule>
    <cfRule type="expression" dxfId="2581" priority="224">
      <formula>Q30&gt;35</formula>
    </cfRule>
  </conditionalFormatting>
  <conditionalFormatting sqref="Q31:R31">
    <cfRule type="cellIs" dxfId="2580" priority="217" operator="between">
      <formula>30</formula>
      <formula>31.99</formula>
    </cfRule>
    <cfRule type="cellIs" dxfId="2579" priority="218" operator="between">
      <formula>36.1</formula>
      <formula>38</formula>
    </cfRule>
    <cfRule type="expression" dxfId="2578" priority="219">
      <formula>Q31&lt;30</formula>
    </cfRule>
    <cfRule type="expression" dxfId="2577" priority="220">
      <formula>Q31&gt;38</formula>
    </cfRule>
  </conditionalFormatting>
  <conditionalFormatting sqref="Q26:R27">
    <cfRule type="cellIs" dxfId="2576" priority="213" operator="between">
      <formula>50</formula>
      <formula>54.9</formula>
    </cfRule>
    <cfRule type="cellIs" dxfId="2575" priority="214" operator="between">
      <formula>65.1</formula>
      <formula>70</formula>
    </cfRule>
    <cfRule type="expression" dxfId="2574" priority="215">
      <formula>Q26&lt;50</formula>
    </cfRule>
    <cfRule type="expression" dxfId="2573" priority="216">
      <formula>Q26&gt;70</formula>
    </cfRule>
  </conditionalFormatting>
  <conditionalFormatting sqref="Q32">
    <cfRule type="expression" dxfId="2572" priority="208">
      <formula>Q32&lt;50</formula>
    </cfRule>
    <cfRule type="expression" dxfId="2571" priority="209">
      <formula>Q32&gt;70</formula>
    </cfRule>
  </conditionalFormatting>
  <conditionalFormatting sqref="I19">
    <cfRule type="cellIs" dxfId="2570" priority="204" operator="between">
      <formula>15%</formula>
      <formula>16.99%</formula>
    </cfRule>
    <cfRule type="cellIs" dxfId="2569" priority="205" operator="between">
      <formula>27.01%</formula>
      <formula>30%</formula>
    </cfRule>
    <cfRule type="expression" dxfId="2568" priority="206">
      <formula>I19&lt;15%</formula>
    </cfRule>
    <cfRule type="expression" dxfId="2567" priority="207">
      <formula>I19&gt;30%</formula>
    </cfRule>
  </conditionalFormatting>
  <conditionalFormatting sqref="I15">
    <cfRule type="expression" dxfId="2566" priority="202">
      <formula>I15&lt;8</formula>
    </cfRule>
    <cfRule type="expression" dxfId="2565" priority="203">
      <formula>I15&gt;12</formula>
    </cfRule>
  </conditionalFormatting>
  <conditionalFormatting sqref="I17">
    <cfRule type="cellIs" dxfId="2564" priority="198" operator="between">
      <formula>2</formula>
      <formula>2.199</formula>
    </cfRule>
    <cfRule type="cellIs" dxfId="2563" priority="199" operator="between">
      <formula>2.41</formula>
      <formula>2.5</formula>
    </cfRule>
    <cfRule type="expression" dxfId="2562" priority="200">
      <formula>I17&lt;2</formula>
    </cfRule>
    <cfRule type="expression" dxfId="2561" priority="201">
      <formula>I17&gt;2.5</formula>
    </cfRule>
  </conditionalFormatting>
  <conditionalFormatting sqref="I20">
    <cfRule type="expression" dxfId="2560" priority="196">
      <formula>I20&lt;5%</formula>
    </cfRule>
    <cfRule type="expression" dxfId="2559" priority="197">
      <formula>I20&gt;15%</formula>
    </cfRule>
  </conditionalFormatting>
  <conditionalFormatting sqref="I20">
    <cfRule type="cellIs" dxfId="2558" priority="194" operator="between">
      <formula>5%</formula>
      <formula>6.99%</formula>
    </cfRule>
    <cfRule type="cellIs" dxfId="2557" priority="195" operator="between">
      <formula>13.1%</formula>
      <formula>15%</formula>
    </cfRule>
  </conditionalFormatting>
  <conditionalFormatting sqref="I6 I8">
    <cfRule type="cellIs" dxfId="2556" priority="190" operator="between">
      <formula>60</formula>
      <formula>64.99</formula>
    </cfRule>
    <cfRule type="cellIs" dxfId="2555" priority="191" operator="between">
      <formula>75.1</formula>
      <formula>80</formula>
    </cfRule>
    <cfRule type="expression" dxfId="2554" priority="192">
      <formula>I6&lt;60</formula>
    </cfRule>
    <cfRule type="expression" dxfId="2553" priority="193">
      <formula>I6&gt;80</formula>
    </cfRule>
  </conditionalFormatting>
  <conditionalFormatting sqref="I16">
    <cfRule type="cellIs" dxfId="2552" priority="187" operator="between">
      <formula>8.01</formula>
      <formula>10</formula>
    </cfRule>
    <cfRule type="expression" dxfId="2551" priority="188">
      <formula>I16&lt;6</formula>
    </cfRule>
    <cfRule type="expression" dxfId="2550" priority="189">
      <formula>I16&gt;10</formula>
    </cfRule>
  </conditionalFormatting>
  <conditionalFormatting sqref="I18">
    <cfRule type="cellIs" dxfId="2549" priority="183" operator="between">
      <formula>30%</formula>
      <formula>39.99%</formula>
    </cfRule>
    <cfRule type="cellIs" dxfId="2548" priority="184" operator="between">
      <formula>50.01%</formula>
      <formula>60%</formula>
    </cfRule>
    <cfRule type="expression" dxfId="2547" priority="185">
      <formula>I18&lt;30%</formula>
    </cfRule>
    <cfRule type="expression" dxfId="2546" priority="186">
      <formula>I18&gt;60%</formula>
    </cfRule>
  </conditionalFormatting>
  <conditionalFormatting sqref="I10">
    <cfRule type="expression" dxfId="2545" priority="181">
      <formula>I10&lt;50</formula>
    </cfRule>
    <cfRule type="expression" dxfId="2544" priority="182">
      <formula>I10&gt;70</formula>
    </cfRule>
  </conditionalFormatting>
  <conditionalFormatting sqref="I12">
    <cfRule type="expression" dxfId="2543" priority="179">
      <formula>I12&lt;50</formula>
    </cfRule>
    <cfRule type="expression" dxfId="2542" priority="180">
      <formula>I12&gt;70</formula>
    </cfRule>
  </conditionalFormatting>
  <conditionalFormatting sqref="I14">
    <cfRule type="cellIs" dxfId="2541" priority="175" operator="between">
      <formula>130</formula>
      <formula>132.99</formula>
    </cfRule>
    <cfRule type="cellIs" dxfId="2540" priority="176" operator="between">
      <formula>147.1</formula>
      <formula>150</formula>
    </cfRule>
    <cfRule type="expression" dxfId="2539" priority="177">
      <formula>I14&lt;130</formula>
    </cfRule>
    <cfRule type="expression" dxfId="2538" priority="178">
      <formula>I14&gt;150</formula>
    </cfRule>
  </conditionalFormatting>
  <conditionalFormatting sqref="I21">
    <cfRule type="cellIs" dxfId="2537" priority="171" operator="between">
      <formula>0.5%</formula>
      <formula>0.599%</formula>
    </cfRule>
    <cfRule type="cellIs" dxfId="2536" priority="172" operator="between">
      <formula>1.41%</formula>
      <formula>1.5%</formula>
    </cfRule>
    <cfRule type="expression" dxfId="2535" priority="173">
      <formula>I21&lt;0.5%</formula>
    </cfRule>
    <cfRule type="expression" dxfId="2534" priority="174">
      <formula>I21&gt;1.5%</formula>
    </cfRule>
  </conditionalFormatting>
  <conditionalFormatting sqref="M19">
    <cfRule type="cellIs" dxfId="2533" priority="167" operator="between">
      <formula>15%</formula>
      <formula>16.99%</formula>
    </cfRule>
    <cfRule type="cellIs" dxfId="2532" priority="168" operator="between">
      <formula>27.01%</formula>
      <formula>30%</formula>
    </cfRule>
    <cfRule type="expression" dxfId="2531" priority="169">
      <formula>M19&lt;15%</formula>
    </cfRule>
    <cfRule type="expression" dxfId="2530" priority="170">
      <formula>M19&gt;30%</formula>
    </cfRule>
  </conditionalFormatting>
  <conditionalFormatting sqref="M15">
    <cfRule type="expression" dxfId="2529" priority="165">
      <formula>M15&lt;8</formula>
    </cfRule>
    <cfRule type="expression" dxfId="2528" priority="166">
      <formula>M15&gt;12</formula>
    </cfRule>
  </conditionalFormatting>
  <conditionalFormatting sqref="M17">
    <cfRule type="cellIs" dxfId="2527" priority="161" operator="between">
      <formula>2</formula>
      <formula>2.199</formula>
    </cfRule>
    <cfRule type="cellIs" dxfId="2526" priority="162" operator="between">
      <formula>2.41</formula>
      <formula>2.5</formula>
    </cfRule>
    <cfRule type="expression" dxfId="2525" priority="163">
      <formula>M17&lt;2</formula>
    </cfRule>
    <cfRule type="expression" dxfId="2524" priority="164">
      <formula>M17&gt;2.5</formula>
    </cfRule>
  </conditionalFormatting>
  <conditionalFormatting sqref="M20">
    <cfRule type="expression" dxfId="2523" priority="159">
      <formula>M20&lt;5%</formula>
    </cfRule>
    <cfRule type="expression" dxfId="2522" priority="160">
      <formula>M20&gt;15%</formula>
    </cfRule>
  </conditionalFormatting>
  <conditionalFormatting sqref="M20">
    <cfRule type="cellIs" dxfId="2521" priority="157" operator="between">
      <formula>5%</formula>
      <formula>6.99%</formula>
    </cfRule>
    <cfRule type="cellIs" dxfId="2520" priority="158" operator="between">
      <formula>13.1%</formula>
      <formula>15%</formula>
    </cfRule>
  </conditionalFormatting>
  <conditionalFormatting sqref="M6 M8">
    <cfRule type="cellIs" dxfId="2519" priority="153" operator="between">
      <formula>60</formula>
      <formula>64.99</formula>
    </cfRule>
    <cfRule type="cellIs" dxfId="2518" priority="154" operator="between">
      <formula>75.1</formula>
      <formula>80</formula>
    </cfRule>
    <cfRule type="expression" dxfId="2517" priority="155">
      <formula>M6&lt;60</formula>
    </cfRule>
    <cfRule type="expression" dxfId="2516" priority="156">
      <formula>M6&gt;80</formula>
    </cfRule>
  </conditionalFormatting>
  <conditionalFormatting sqref="M16">
    <cfRule type="cellIs" dxfId="2515" priority="150" operator="between">
      <formula>8.01</formula>
      <formula>10</formula>
    </cfRule>
    <cfRule type="expression" dxfId="2514" priority="151">
      <formula>M16&lt;6</formula>
    </cfRule>
    <cfRule type="expression" dxfId="2513" priority="152">
      <formula>M16&gt;10</formula>
    </cfRule>
  </conditionalFormatting>
  <conditionalFormatting sqref="M18">
    <cfRule type="cellIs" dxfId="2512" priority="146" operator="between">
      <formula>30%</formula>
      <formula>39.99%</formula>
    </cfRule>
    <cfRule type="cellIs" dxfId="2511" priority="147" operator="between">
      <formula>50.01%</formula>
      <formula>60%</formula>
    </cfRule>
    <cfRule type="expression" dxfId="2510" priority="148">
      <formula>M18&lt;30%</formula>
    </cfRule>
    <cfRule type="expression" dxfId="2509" priority="149">
      <formula>M18&gt;60%</formula>
    </cfRule>
  </conditionalFormatting>
  <conditionalFormatting sqref="M10">
    <cfRule type="expression" dxfId="2508" priority="144">
      <formula>M10&lt;50</formula>
    </cfRule>
    <cfRule type="expression" dxfId="2507" priority="145">
      <formula>M10&gt;70</formula>
    </cfRule>
  </conditionalFormatting>
  <conditionalFormatting sqref="M12">
    <cfRule type="expression" dxfId="2506" priority="142">
      <formula>M12&lt;50</formula>
    </cfRule>
    <cfRule type="expression" dxfId="2505" priority="143">
      <formula>M12&gt;70</formula>
    </cfRule>
  </conditionalFormatting>
  <conditionalFormatting sqref="M14">
    <cfRule type="cellIs" dxfId="2504" priority="138" operator="between">
      <formula>130</formula>
      <formula>132.99</formula>
    </cfRule>
    <cfRule type="cellIs" dxfId="2503" priority="139" operator="between">
      <formula>147.1</formula>
      <formula>150</formula>
    </cfRule>
    <cfRule type="expression" dxfId="2502" priority="140">
      <formula>M14&lt;130</formula>
    </cfRule>
    <cfRule type="expression" dxfId="2501" priority="141">
      <formula>M14&gt;150</formula>
    </cfRule>
  </conditionalFormatting>
  <conditionalFormatting sqref="M21">
    <cfRule type="cellIs" dxfId="2500" priority="134" operator="between">
      <formula>0.5%</formula>
      <formula>0.599%</formula>
    </cfRule>
    <cfRule type="cellIs" dxfId="2499" priority="135" operator="between">
      <formula>1.41%</formula>
      <formula>1.5%</formula>
    </cfRule>
    <cfRule type="expression" dxfId="2498" priority="136">
      <formula>M21&lt;0.5%</formula>
    </cfRule>
    <cfRule type="expression" dxfId="2497" priority="137">
      <formula>M21&gt;1.5%</formula>
    </cfRule>
  </conditionalFormatting>
  <conditionalFormatting sqref="Q19">
    <cfRule type="cellIs" dxfId="2496" priority="130" operator="between">
      <formula>15%</formula>
      <formula>16.99%</formula>
    </cfRule>
    <cfRule type="cellIs" dxfId="2495" priority="131" operator="between">
      <formula>27.01%</formula>
      <formula>30%</formula>
    </cfRule>
    <cfRule type="expression" dxfId="2494" priority="132">
      <formula>Q19&lt;15%</formula>
    </cfRule>
    <cfRule type="expression" dxfId="2493" priority="133">
      <formula>Q19&gt;30%</formula>
    </cfRule>
  </conditionalFormatting>
  <conditionalFormatting sqref="Q15">
    <cfRule type="expression" dxfId="2492" priority="128">
      <formula>Q15&lt;8</formula>
    </cfRule>
    <cfRule type="expression" dxfId="2491" priority="129">
      <formula>Q15&gt;12</formula>
    </cfRule>
  </conditionalFormatting>
  <conditionalFormatting sqref="Q17">
    <cfRule type="cellIs" dxfId="2490" priority="124" operator="between">
      <formula>2</formula>
      <formula>2.199</formula>
    </cfRule>
    <cfRule type="cellIs" dxfId="2489" priority="125" operator="between">
      <formula>2.41</formula>
      <formula>2.5</formula>
    </cfRule>
    <cfRule type="expression" dxfId="2488" priority="126">
      <formula>Q17&lt;2</formula>
    </cfRule>
    <cfRule type="expression" dxfId="2487" priority="127">
      <formula>Q17&gt;2.5</formula>
    </cfRule>
  </conditionalFormatting>
  <conditionalFormatting sqref="Q20">
    <cfRule type="expression" dxfId="2486" priority="122">
      <formula>Q20&lt;5%</formula>
    </cfRule>
    <cfRule type="expression" dxfId="2485" priority="123">
      <formula>Q20&gt;15%</formula>
    </cfRule>
  </conditionalFormatting>
  <conditionalFormatting sqref="Q20">
    <cfRule type="cellIs" dxfId="2484" priority="120" operator="between">
      <formula>5%</formula>
      <formula>6.99%</formula>
    </cfRule>
    <cfRule type="cellIs" dxfId="2483" priority="121" operator="between">
      <formula>13.1%</formula>
      <formula>15%</formula>
    </cfRule>
  </conditionalFormatting>
  <conditionalFormatting sqref="Q6 Q8">
    <cfRule type="cellIs" dxfId="2482" priority="116" operator="between">
      <formula>60</formula>
      <formula>64.99</formula>
    </cfRule>
    <cfRule type="cellIs" dxfId="2481" priority="117" operator="between">
      <formula>75.1</formula>
      <formula>80</formula>
    </cfRule>
    <cfRule type="expression" dxfId="2480" priority="118">
      <formula>Q6&lt;60</formula>
    </cfRule>
    <cfRule type="expression" dxfId="2479" priority="119">
      <formula>Q6&gt;80</formula>
    </cfRule>
  </conditionalFormatting>
  <conditionalFormatting sqref="Q16">
    <cfRule type="cellIs" dxfId="2478" priority="113" operator="between">
      <formula>8.01</formula>
      <formula>10</formula>
    </cfRule>
    <cfRule type="expression" dxfId="2477" priority="114">
      <formula>Q16&lt;6</formula>
    </cfRule>
    <cfRule type="expression" dxfId="2476" priority="115">
      <formula>Q16&gt;10</formula>
    </cfRule>
  </conditionalFormatting>
  <conditionalFormatting sqref="Q18">
    <cfRule type="cellIs" dxfId="2475" priority="109" operator="between">
      <formula>30%</formula>
      <formula>39.99%</formula>
    </cfRule>
    <cfRule type="cellIs" dxfId="2474" priority="110" operator="between">
      <formula>50.01%</formula>
      <formula>60%</formula>
    </cfRule>
    <cfRule type="expression" dxfId="2473" priority="111">
      <formula>Q18&lt;30%</formula>
    </cfRule>
    <cfRule type="expression" dxfId="2472" priority="112">
      <formula>Q18&gt;60%</formula>
    </cfRule>
  </conditionalFormatting>
  <conditionalFormatting sqref="Q10">
    <cfRule type="expression" dxfId="2471" priority="107">
      <formula>Q10&lt;50</formula>
    </cfRule>
    <cfRule type="expression" dxfId="2470" priority="108">
      <formula>Q10&gt;70</formula>
    </cfRule>
  </conditionalFormatting>
  <conditionalFormatting sqref="Q12">
    <cfRule type="expression" dxfId="2469" priority="105">
      <formula>Q12&lt;50</formula>
    </cfRule>
    <cfRule type="expression" dxfId="2468" priority="106">
      <formula>Q12&gt;70</formula>
    </cfRule>
  </conditionalFormatting>
  <conditionalFormatting sqref="Q14">
    <cfRule type="cellIs" dxfId="2467" priority="101" operator="between">
      <formula>130</formula>
      <formula>132.99</formula>
    </cfRule>
    <cfRule type="cellIs" dxfId="2466" priority="102" operator="between">
      <formula>147.1</formula>
      <formula>150</formula>
    </cfRule>
    <cfRule type="expression" dxfId="2465" priority="103">
      <formula>Q14&lt;130</formula>
    </cfRule>
    <cfRule type="expression" dxfId="2464" priority="104">
      <formula>Q14&gt;150</formula>
    </cfRule>
  </conditionalFormatting>
  <conditionalFormatting sqref="Q21">
    <cfRule type="cellIs" dxfId="2463" priority="97" operator="between">
      <formula>0.5%</formula>
      <formula>0.599%</formula>
    </cfRule>
    <cfRule type="cellIs" dxfId="2462" priority="98" operator="between">
      <formula>1.41%</formula>
      <formula>1.5%</formula>
    </cfRule>
    <cfRule type="expression" dxfId="2461" priority="99">
      <formula>Q21&lt;0.5%</formula>
    </cfRule>
    <cfRule type="expression" dxfId="2460" priority="100">
      <formula>Q21&gt;1.5%</formula>
    </cfRule>
  </conditionalFormatting>
  <conditionalFormatting sqref="I23">
    <cfRule type="cellIs" dxfId="2459" priority="69" operator="between">
      <formula>1.8</formula>
      <formula>1.999</formula>
    </cfRule>
    <cfRule type="cellIs" dxfId="2458" priority="70" operator="between">
      <formula>2.21</formula>
      <formula>2.4</formula>
    </cfRule>
    <cfRule type="expression" dxfId="2457" priority="71">
      <formula>I23&lt;1.8</formula>
    </cfRule>
    <cfRule type="expression" dxfId="2456" priority="72">
      <formula>I23&gt;2.4</formula>
    </cfRule>
  </conditionalFormatting>
  <conditionalFormatting sqref="I22">
    <cfRule type="cellIs" dxfId="2455" priority="65" operator="between">
      <formula>5</formula>
      <formula>5.499</formula>
    </cfRule>
    <cfRule type="cellIs" dxfId="2454" priority="66" operator="between">
      <formula>6.51</formula>
      <formula>8</formula>
    </cfRule>
    <cfRule type="expression" dxfId="2453" priority="67">
      <formula>I22&lt;5</formula>
    </cfRule>
    <cfRule type="expression" dxfId="2452" priority="68">
      <formula>I22&gt;8</formula>
    </cfRule>
  </conditionalFormatting>
  <conditionalFormatting sqref="M23">
    <cfRule type="cellIs" dxfId="2451" priority="61" operator="between">
      <formula>1.8</formula>
      <formula>1.999</formula>
    </cfRule>
    <cfRule type="cellIs" dxfId="2450" priority="62" operator="between">
      <formula>2.21</formula>
      <formula>2.4</formula>
    </cfRule>
    <cfRule type="expression" dxfId="2449" priority="63">
      <formula>M23&lt;1.8</formula>
    </cfRule>
    <cfRule type="expression" dxfId="2448" priority="64">
      <formula>M23&gt;2.4</formula>
    </cfRule>
  </conditionalFormatting>
  <conditionalFormatting sqref="M22">
    <cfRule type="cellIs" dxfId="2447" priority="57" operator="between">
      <formula>5</formula>
      <formula>5.499</formula>
    </cfRule>
    <cfRule type="cellIs" dxfId="2446" priority="58" operator="between">
      <formula>6.51</formula>
      <formula>8</formula>
    </cfRule>
    <cfRule type="expression" dxfId="2445" priority="59">
      <formula>M22&lt;5</formula>
    </cfRule>
    <cfRule type="expression" dxfId="2444" priority="60">
      <formula>M22&gt;8</formula>
    </cfRule>
  </conditionalFormatting>
  <conditionalFormatting sqref="Q23">
    <cfRule type="cellIs" dxfId="2443" priority="53" operator="between">
      <formula>1.8</formula>
      <formula>1.999</formula>
    </cfRule>
    <cfRule type="cellIs" dxfId="2442" priority="54" operator="between">
      <formula>2.21</formula>
      <formula>2.4</formula>
    </cfRule>
    <cfRule type="expression" dxfId="2441" priority="55">
      <formula>Q23&lt;1.8</formula>
    </cfRule>
    <cfRule type="expression" dxfId="2440" priority="56">
      <formula>Q23&gt;2.4</formula>
    </cfRule>
  </conditionalFormatting>
  <conditionalFormatting sqref="Q22">
    <cfRule type="cellIs" dxfId="2439" priority="49" operator="between">
      <formula>5</formula>
      <formula>5.499</formula>
    </cfRule>
    <cfRule type="cellIs" dxfId="2438" priority="50" operator="between">
      <formula>6.51</formula>
      <formula>8</formula>
    </cfRule>
    <cfRule type="expression" dxfId="2437" priority="51">
      <formula>Q22&lt;5</formula>
    </cfRule>
    <cfRule type="expression" dxfId="2436" priority="52">
      <formula>Q22&gt;8</formula>
    </cfRule>
  </conditionalFormatting>
  <conditionalFormatting sqref="I28">
    <cfRule type="cellIs" dxfId="2435" priority="45" operator="between">
      <formula>40</formula>
      <formula>44.99</formula>
    </cfRule>
    <cfRule type="cellIs" dxfId="2434" priority="46" operator="between">
      <formula>55.1</formula>
      <formula>60</formula>
    </cfRule>
    <cfRule type="expression" dxfId="2433" priority="47">
      <formula>I28&lt;40</formula>
    </cfRule>
    <cfRule type="expression" dxfId="2432" priority="48">
      <formula>I28&gt;60</formula>
    </cfRule>
  </conditionalFormatting>
  <conditionalFormatting sqref="I29">
    <cfRule type="cellIs" dxfId="2431" priority="41" operator="between">
      <formula>40</formula>
      <formula>44.99</formula>
    </cfRule>
    <cfRule type="cellIs" dxfId="2430" priority="42" operator="between">
      <formula>55.1</formula>
      <formula>60</formula>
    </cfRule>
    <cfRule type="expression" dxfId="2429" priority="43">
      <formula>I29&lt;40</formula>
    </cfRule>
    <cfRule type="expression" dxfId="2428" priority="44">
      <formula>I29&gt;60</formula>
    </cfRule>
  </conditionalFormatting>
  <conditionalFormatting sqref="K28">
    <cfRule type="cellIs" dxfId="2427" priority="37" operator="between">
      <formula>40</formula>
      <formula>44.99</formula>
    </cfRule>
    <cfRule type="cellIs" dxfId="2426" priority="38" operator="between">
      <formula>55.1</formula>
      <formula>60</formula>
    </cfRule>
    <cfRule type="expression" dxfId="2425" priority="39">
      <formula>K28&lt;40</formula>
    </cfRule>
    <cfRule type="expression" dxfId="2424" priority="40">
      <formula>K28&gt;60</formula>
    </cfRule>
  </conditionalFormatting>
  <conditionalFormatting sqref="K29">
    <cfRule type="cellIs" dxfId="2423" priority="33" operator="between">
      <formula>40</formula>
      <formula>44.99</formula>
    </cfRule>
    <cfRule type="cellIs" dxfId="2422" priority="34" operator="between">
      <formula>55.1</formula>
      <formula>60</formula>
    </cfRule>
    <cfRule type="expression" dxfId="2421" priority="35">
      <formula>K29&lt;40</formula>
    </cfRule>
    <cfRule type="expression" dxfId="2420" priority="36">
      <formula>K29&gt;60</formula>
    </cfRule>
  </conditionalFormatting>
  <conditionalFormatting sqref="M28">
    <cfRule type="cellIs" dxfId="2419" priority="29" operator="between">
      <formula>40</formula>
      <formula>44.99</formula>
    </cfRule>
    <cfRule type="cellIs" dxfId="2418" priority="30" operator="between">
      <formula>55.1</formula>
      <formula>60</formula>
    </cfRule>
    <cfRule type="expression" dxfId="2417" priority="31">
      <formula>M28&lt;40</formula>
    </cfRule>
    <cfRule type="expression" dxfId="2416" priority="32">
      <formula>M28&gt;60</formula>
    </cfRule>
  </conditionalFormatting>
  <conditionalFormatting sqref="M29">
    <cfRule type="cellIs" dxfId="2415" priority="25" operator="between">
      <formula>40</formula>
      <formula>44.99</formula>
    </cfRule>
    <cfRule type="cellIs" dxfId="2414" priority="26" operator="between">
      <formula>55.1</formula>
      <formula>60</formula>
    </cfRule>
    <cfRule type="expression" dxfId="2413" priority="27">
      <formula>M29&lt;40</formula>
    </cfRule>
    <cfRule type="expression" dxfId="2412" priority="28">
      <formula>M29&gt;60</formula>
    </cfRule>
  </conditionalFormatting>
  <conditionalFormatting sqref="O28">
    <cfRule type="cellIs" dxfId="2411" priority="21" operator="between">
      <formula>40</formula>
      <formula>44.99</formula>
    </cfRule>
    <cfRule type="cellIs" dxfId="2410" priority="22" operator="between">
      <formula>55.1</formula>
      <formula>60</formula>
    </cfRule>
    <cfRule type="expression" dxfId="2409" priority="23">
      <formula>O28&lt;40</formula>
    </cfRule>
    <cfRule type="expression" dxfId="2408" priority="24">
      <formula>O28&gt;60</formula>
    </cfRule>
  </conditionalFormatting>
  <conditionalFormatting sqref="O29">
    <cfRule type="cellIs" dxfId="2407" priority="17" operator="between">
      <formula>40</formula>
      <formula>44.99</formula>
    </cfRule>
    <cfRule type="cellIs" dxfId="2406" priority="18" operator="between">
      <formula>55.1</formula>
      <formula>60</formula>
    </cfRule>
    <cfRule type="expression" dxfId="2405" priority="19">
      <formula>O29&lt;40</formula>
    </cfRule>
    <cfRule type="expression" dxfId="2404" priority="20">
      <formula>O29&gt;60</formula>
    </cfRule>
  </conditionalFormatting>
  <conditionalFormatting sqref="Q28">
    <cfRule type="cellIs" dxfId="2403" priority="13" operator="between">
      <formula>40</formula>
      <formula>44.99</formula>
    </cfRule>
    <cfRule type="cellIs" dxfId="2402" priority="14" operator="between">
      <formula>55.1</formula>
      <formula>60</formula>
    </cfRule>
    <cfRule type="expression" dxfId="2401" priority="15">
      <formula>Q28&lt;40</formula>
    </cfRule>
    <cfRule type="expression" dxfId="2400" priority="16">
      <formula>Q28&gt;60</formula>
    </cfRule>
  </conditionalFormatting>
  <conditionalFormatting sqref="Q29">
    <cfRule type="cellIs" dxfId="2399" priority="9" operator="between">
      <formula>40</formula>
      <formula>44.99</formula>
    </cfRule>
    <cfRule type="cellIs" dxfId="2398" priority="10" operator="between">
      <formula>55.1</formula>
      <formula>60</formula>
    </cfRule>
    <cfRule type="expression" dxfId="2397" priority="11">
      <formula>Q29&lt;40</formula>
    </cfRule>
    <cfRule type="expression" dxfId="2396" priority="12">
      <formula>Q29&gt;60</formula>
    </cfRule>
  </conditionalFormatting>
  <conditionalFormatting sqref="S28">
    <cfRule type="cellIs" dxfId="2395" priority="5" operator="between">
      <formula>40</formula>
      <formula>44.99</formula>
    </cfRule>
    <cfRule type="cellIs" dxfId="2394" priority="6" operator="between">
      <formula>55.1</formula>
      <formula>60</formula>
    </cfRule>
    <cfRule type="expression" dxfId="2393" priority="7">
      <formula>S28&lt;40</formula>
    </cfRule>
    <cfRule type="expression" dxfId="2392" priority="8">
      <formula>S28&gt;60</formula>
    </cfRule>
  </conditionalFormatting>
  <conditionalFormatting sqref="S29">
    <cfRule type="cellIs" dxfId="2391" priority="1" operator="between">
      <formula>40</formula>
      <formula>44.99</formula>
    </cfRule>
    <cfRule type="cellIs" dxfId="2390" priority="2" operator="between">
      <formula>55.1</formula>
      <formula>60</formula>
    </cfRule>
    <cfRule type="expression" dxfId="2389" priority="3">
      <formula>S29&lt;40</formula>
    </cfRule>
    <cfRule type="expression" dxfId="2388" priority="4">
      <formula>S29&gt;60</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1.xml><?xml version="1.0" encoding="utf-8"?>
<worksheet xmlns="http://schemas.openxmlformats.org/spreadsheetml/2006/main" xmlns:r="http://schemas.openxmlformats.org/officeDocument/2006/relationships">
  <sheetPr codeName="Sheet10">
    <tabColor rgb="FFFF0000"/>
  </sheetPr>
  <dimension ref="A1:AN46"/>
  <sheetViews>
    <sheetView topLeftCell="A16" zoomScale="55" zoomScaleNormal="55" workbookViewId="0">
      <selection activeCell="B23" sqref="B23:E24"/>
    </sheetView>
  </sheetViews>
  <sheetFormatPr defaultRowHeight="16.5"/>
  <cols>
    <col min="1" max="1" width="5" style="8" customWidth="1"/>
    <col min="2" max="2" width="11.375" style="31" customWidth="1"/>
    <col min="3" max="3" width="6.75" style="31" customWidth="1"/>
    <col min="4" max="4" width="10.75" style="31" customWidth="1"/>
    <col min="5" max="5" width="2.75" style="31"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6.375" style="8" customWidth="1"/>
    <col min="24" max="24" width="12.75" style="31" customWidth="1"/>
    <col min="25" max="25" width="10" style="31" customWidth="1"/>
    <col min="26" max="26" width="9.75" style="31" customWidth="1"/>
    <col min="27" max="27" width="3.25" style="31" customWidth="1"/>
    <col min="28" max="28" width="13" style="8" customWidth="1"/>
    <col min="29" max="29" width="6.625" style="8" customWidth="1"/>
    <col min="30" max="30" width="11.875" style="8" customWidth="1"/>
    <col min="31" max="31" width="6.125" style="8" customWidth="1"/>
    <col min="32" max="32" width="12.125" style="8" customWidth="1"/>
    <col min="33" max="33" width="7.375" style="8" customWidth="1"/>
    <col min="34" max="34" width="11" style="8" customWidth="1"/>
    <col min="35" max="35" width="6.875" style="8" customWidth="1"/>
    <col min="36" max="36" width="11.375" style="8" customWidth="1"/>
    <col min="37" max="37" width="7.375" style="8" customWidth="1"/>
    <col min="38" max="38" width="11.875" style="8" customWidth="1"/>
    <col min="39" max="39" width="7.375" style="8" customWidth="1"/>
    <col min="40" max="16384" width="9" style="8"/>
  </cols>
  <sheetData>
    <row r="1" spans="1:39" ht="28.5" customHeight="1">
      <c r="A1" s="2970" t="s">
        <v>136</v>
      </c>
      <c r="B1" s="2970"/>
      <c r="C1" s="2970"/>
      <c r="D1" s="2970"/>
      <c r="E1" s="2970"/>
      <c r="F1" s="2970"/>
      <c r="G1" s="2970"/>
      <c r="H1" s="2970"/>
      <c r="I1" s="2970"/>
      <c r="J1" s="2970"/>
      <c r="K1" s="2970"/>
      <c r="L1" s="2970"/>
      <c r="M1" s="2970"/>
      <c r="N1" s="2970"/>
      <c r="O1" s="2970"/>
      <c r="P1" s="2970"/>
      <c r="Q1" s="2970"/>
      <c r="R1" s="2970"/>
      <c r="S1" s="1059"/>
      <c r="T1" s="1059"/>
      <c r="U1" s="1534" t="s">
        <v>1376</v>
      </c>
      <c r="W1" s="2970"/>
      <c r="X1" s="2970"/>
      <c r="Y1" s="2970"/>
      <c r="Z1" s="2970"/>
      <c r="AA1" s="2970"/>
      <c r="AM1" s="1535" t="s">
        <v>1377</v>
      </c>
    </row>
    <row r="2" spans="1:39" ht="48.75" customHeight="1">
      <c r="A2" s="2971" t="s">
        <v>137</v>
      </c>
      <c r="B2" s="2971"/>
      <c r="C2" s="2971"/>
      <c r="D2" s="2971"/>
      <c r="E2" s="2971"/>
      <c r="F2" s="2971"/>
      <c r="G2" s="2971"/>
      <c r="H2" s="2971"/>
      <c r="I2" s="2971"/>
      <c r="J2" s="2971"/>
      <c r="K2" s="2971"/>
      <c r="L2" s="2971"/>
      <c r="M2" s="2971"/>
      <c r="N2" s="2971"/>
      <c r="O2" s="2971"/>
      <c r="P2" s="2971"/>
      <c r="Q2" s="2971"/>
      <c r="R2" s="3188"/>
      <c r="S2" s="3106" t="s">
        <v>89</v>
      </c>
      <c r="T2" s="2905"/>
      <c r="U2" s="1527" t="s">
        <v>1371</v>
      </c>
      <c r="W2" s="2971"/>
      <c r="X2" s="2971"/>
      <c r="Y2" s="2971"/>
      <c r="Z2" s="2971"/>
      <c r="AA2" s="2971"/>
      <c r="AI2" s="1040"/>
      <c r="AJ2" s="1040"/>
      <c r="AK2" s="1040"/>
      <c r="AL2" s="1040"/>
      <c r="AM2" s="1040"/>
    </row>
    <row r="3" spans="1:39" ht="28.5" customHeight="1">
      <c r="A3" s="9"/>
      <c r="B3" s="1496" t="s">
        <v>128</v>
      </c>
      <c r="C3" s="1497"/>
      <c r="D3" s="1464"/>
      <c r="E3" s="1465"/>
      <c r="F3" s="1930"/>
      <c r="G3" s="1930" t="str">
        <f>MENU!$AC$9</f>
        <v>Thứ 3,</v>
      </c>
      <c r="H3" s="3140" t="str">
        <f>MENU!$AD$9</f>
        <v>2024/01/09</v>
      </c>
      <c r="I3" s="3140"/>
      <c r="J3" s="1467"/>
      <c r="K3" s="1467"/>
      <c r="L3" s="29"/>
      <c r="M3" s="29"/>
      <c r="N3" s="29"/>
      <c r="O3" s="29"/>
      <c r="P3" s="29"/>
      <c r="Q3" s="29"/>
      <c r="R3" s="29"/>
      <c r="S3" s="3154" t="str">
        <f>'1. XL-1E kh'!$AD$3</f>
        <v>Trang</v>
      </c>
      <c r="T3" s="3155"/>
      <c r="U3" s="1512"/>
      <c r="W3" s="9"/>
      <c r="X3" s="1496" t="s">
        <v>128</v>
      </c>
      <c r="Y3" s="1497"/>
      <c r="Z3" s="1464"/>
      <c r="AA3" s="1465"/>
      <c r="AB3" s="1930" t="str">
        <f>MENU!$AC$9</f>
        <v>Thứ 3,</v>
      </c>
      <c r="AC3" s="3140" t="str">
        <f>MENU!$AD$9</f>
        <v>2024/01/09</v>
      </c>
      <c r="AD3" s="3140"/>
      <c r="AE3" s="1536"/>
      <c r="AF3" s="26"/>
      <c r="AG3" s="473"/>
      <c r="AH3" s="473"/>
    </row>
    <row r="4" spans="1:39" s="65" customFormat="1" ht="34.5" customHeight="1">
      <c r="A4" s="3170" t="s">
        <v>7</v>
      </c>
      <c r="B4" s="2877" t="s">
        <v>77</v>
      </c>
      <c r="C4" s="2878"/>
      <c r="D4" s="2878"/>
      <c r="E4" s="2879"/>
      <c r="F4" s="3135" t="s">
        <v>125</v>
      </c>
      <c r="G4" s="2922" t="s">
        <v>1325</v>
      </c>
      <c r="H4" s="2920" t="s">
        <v>1317</v>
      </c>
      <c r="I4" s="2937">
        <v>0.30208333333333331</v>
      </c>
      <c r="J4" s="2904"/>
      <c r="K4" s="2904"/>
      <c r="L4" s="2905"/>
      <c r="M4" s="2903">
        <v>0.46875</v>
      </c>
      <c r="N4" s="2904"/>
      <c r="O4" s="2904"/>
      <c r="P4" s="2905"/>
      <c r="Q4" s="2903">
        <v>0.63541666666666663</v>
      </c>
      <c r="R4" s="2904"/>
      <c r="S4" s="2904"/>
      <c r="T4" s="2905"/>
      <c r="U4" s="2961" t="s">
        <v>39</v>
      </c>
      <c r="W4" s="3170" t="s">
        <v>7</v>
      </c>
      <c r="X4" s="2877" t="s">
        <v>77</v>
      </c>
      <c r="Y4" s="2878"/>
      <c r="Z4" s="2878"/>
      <c r="AA4" s="2879"/>
      <c r="AB4" s="2903">
        <v>0.30208333333333331</v>
      </c>
      <c r="AC4" s="2937"/>
      <c r="AD4" s="2937"/>
      <c r="AE4" s="3105"/>
      <c r="AF4" s="2903">
        <v>0.46875</v>
      </c>
      <c r="AG4" s="2937"/>
      <c r="AH4" s="2937"/>
      <c r="AI4" s="3105"/>
      <c r="AJ4" s="2903">
        <v>0.63541666666666663</v>
      </c>
      <c r="AK4" s="2937"/>
      <c r="AL4" s="2937"/>
      <c r="AM4" s="3105"/>
    </row>
    <row r="5" spans="1:39" s="65" customFormat="1" ht="34.5" customHeight="1">
      <c r="A5" s="3170"/>
      <c r="B5" s="2880"/>
      <c r="C5" s="2881"/>
      <c r="D5" s="2881"/>
      <c r="E5" s="2882"/>
      <c r="F5" s="3136"/>
      <c r="G5" s="2923"/>
      <c r="H5" s="2921"/>
      <c r="I5" s="2448" t="s">
        <v>130</v>
      </c>
      <c r="J5" s="2909" t="s">
        <v>1</v>
      </c>
      <c r="K5" s="2910"/>
      <c r="L5" s="2911"/>
      <c r="M5" s="55" t="s">
        <v>130</v>
      </c>
      <c r="N5" s="2909" t="s">
        <v>1</v>
      </c>
      <c r="O5" s="2910"/>
      <c r="P5" s="2911"/>
      <c r="Q5" s="55" t="s">
        <v>130</v>
      </c>
      <c r="R5" s="2909" t="s">
        <v>1</v>
      </c>
      <c r="S5" s="2910"/>
      <c r="T5" s="2911"/>
      <c r="U5" s="2962"/>
      <c r="W5" s="3170"/>
      <c r="X5" s="2880"/>
      <c r="Y5" s="2881"/>
      <c r="Z5" s="2881"/>
      <c r="AA5" s="2882"/>
      <c r="AB5" s="3108" t="s">
        <v>1468</v>
      </c>
      <c r="AC5" s="3109"/>
      <c r="AD5" s="3107" t="s">
        <v>1501</v>
      </c>
      <c r="AE5" s="2905"/>
      <c r="AF5" s="3108" t="s">
        <v>1468</v>
      </c>
      <c r="AG5" s="3109"/>
      <c r="AH5" s="3107" t="s">
        <v>1501</v>
      </c>
      <c r="AI5" s="2905"/>
      <c r="AJ5" s="3108" t="s">
        <v>1468</v>
      </c>
      <c r="AK5" s="3109"/>
      <c r="AL5" s="3107" t="s">
        <v>1501</v>
      </c>
      <c r="AM5" s="2905"/>
    </row>
    <row r="6" spans="1:39" ht="36.75" customHeight="1">
      <c r="A6" s="3166">
        <v>1</v>
      </c>
      <c r="B6" s="3190" t="s">
        <v>139</v>
      </c>
      <c r="C6" s="3191"/>
      <c r="D6" s="3126" t="s">
        <v>231</v>
      </c>
      <c r="E6" s="3127"/>
      <c r="F6" s="1072" t="s">
        <v>4</v>
      </c>
      <c r="G6" s="929" t="str">
        <f>'XM.GUI MAIL'!$E$78</f>
        <v>40~60</v>
      </c>
      <c r="H6" s="2427" t="str">
        <f>'XM.GUI MAIL'!$F$78</f>
        <v>(50±5)</v>
      </c>
      <c r="I6" s="2430">
        <f>'XM.GUI MAIL'!I78</f>
        <v>52.569000000000003</v>
      </c>
      <c r="J6" s="57" t="s">
        <v>8</v>
      </c>
      <c r="K6" s="58">
        <f>'XM.GUI MAIL'!L78</f>
        <v>0</v>
      </c>
      <c r="L6" s="59" t="s">
        <v>9</v>
      </c>
      <c r="M6" s="1473">
        <f>'XM.GUI MAIL'!P78</f>
        <v>51.92</v>
      </c>
      <c r="N6" s="57" t="s">
        <v>8</v>
      </c>
      <c r="O6" s="58">
        <f>'XM.GUI MAIL'!S78</f>
        <v>0</v>
      </c>
      <c r="P6" s="59" t="s">
        <v>9</v>
      </c>
      <c r="Q6" s="1473">
        <f>'XM.GUI MAIL'!W78</f>
        <v>51.595500000000001</v>
      </c>
      <c r="R6" s="66" t="s">
        <v>8</v>
      </c>
      <c r="S6" s="67">
        <f>'XM.GUI MAIL'!Z78</f>
        <v>0</v>
      </c>
      <c r="T6" s="30" t="s">
        <v>9</v>
      </c>
      <c r="U6" s="1058" t="s">
        <v>40</v>
      </c>
      <c r="W6" s="3166">
        <v>1</v>
      </c>
      <c r="X6" s="3190" t="s">
        <v>139</v>
      </c>
      <c r="Y6" s="3191"/>
      <c r="Z6" s="3126" t="s">
        <v>231</v>
      </c>
      <c r="AA6" s="3127"/>
      <c r="AB6" s="2171"/>
      <c r="AC6" s="1919" t="s">
        <v>9</v>
      </c>
      <c r="AD6" s="1906"/>
      <c r="AE6" s="1853" t="s">
        <v>4</v>
      </c>
      <c r="AF6" s="2171"/>
      <c r="AG6" s="1919" t="s">
        <v>9</v>
      </c>
      <c r="AH6" s="1906"/>
      <c r="AI6" s="1853" t="s">
        <v>4</v>
      </c>
      <c r="AJ6" s="2171"/>
      <c r="AK6" s="1919" t="s">
        <v>9</v>
      </c>
      <c r="AL6" s="1906"/>
      <c r="AM6" s="1853" t="s">
        <v>4</v>
      </c>
    </row>
    <row r="7" spans="1:39" ht="36.75" customHeight="1">
      <c r="A7" s="3189"/>
      <c r="B7" s="3192"/>
      <c r="C7" s="3193"/>
      <c r="D7" s="3126" t="s">
        <v>232</v>
      </c>
      <c r="E7" s="3127"/>
      <c r="F7" s="1041"/>
      <c r="G7" s="929" t="s">
        <v>1286</v>
      </c>
      <c r="H7" s="2427"/>
      <c r="I7" s="2416"/>
      <c r="J7" s="57"/>
      <c r="K7" s="60">
        <f>K6/25*8.5</f>
        <v>0</v>
      </c>
      <c r="L7" s="59" t="s">
        <v>10</v>
      </c>
      <c r="M7" s="1783"/>
      <c r="N7" s="57"/>
      <c r="O7" s="60">
        <f>O6/25*8.5</f>
        <v>0</v>
      </c>
      <c r="P7" s="59" t="s">
        <v>10</v>
      </c>
      <c r="Q7" s="1783"/>
      <c r="R7" s="57"/>
      <c r="S7" s="60">
        <f>S6/25*8.5</f>
        <v>0</v>
      </c>
      <c r="T7" s="59" t="s">
        <v>10</v>
      </c>
      <c r="U7" s="1058"/>
      <c r="W7" s="3189"/>
      <c r="X7" s="3192"/>
      <c r="Y7" s="3193"/>
      <c r="Z7" s="3126" t="s">
        <v>232</v>
      </c>
      <c r="AA7" s="3127"/>
      <c r="AB7" s="2171"/>
      <c r="AC7" s="1919" t="s">
        <v>10</v>
      </c>
      <c r="AD7" s="1906"/>
      <c r="AE7" s="1920"/>
      <c r="AF7" s="2171"/>
      <c r="AG7" s="1919" t="s">
        <v>10</v>
      </c>
      <c r="AH7" s="1906"/>
      <c r="AI7" s="1920"/>
      <c r="AJ7" s="2171"/>
      <c r="AK7" s="1919" t="s">
        <v>10</v>
      </c>
      <c r="AL7" s="1906"/>
      <c r="AM7" s="1920"/>
    </row>
    <row r="8" spans="1:39" ht="36.75" customHeight="1">
      <c r="A8" s="3166">
        <v>2</v>
      </c>
      <c r="B8" s="3190" t="s">
        <v>140</v>
      </c>
      <c r="C8" s="3191"/>
      <c r="D8" s="3126" t="s">
        <v>231</v>
      </c>
      <c r="E8" s="3127"/>
      <c r="F8" s="1072" t="s">
        <v>4</v>
      </c>
      <c r="G8" s="929" t="str">
        <f>'XM.GUI MAIL'!$E$80</f>
        <v>40~60</v>
      </c>
      <c r="H8" s="2427" t="str">
        <f>'XM.GUI MAIL'!$F$80</f>
        <v>(50±5)</v>
      </c>
      <c r="I8" s="2430">
        <f>'XM.GUI MAIL'!I80</f>
        <v>50.297499999999999</v>
      </c>
      <c r="J8" s="57" t="s">
        <v>8</v>
      </c>
      <c r="K8" s="58">
        <f>'XM.GUI MAIL'!L80</f>
        <v>0</v>
      </c>
      <c r="L8" s="59" t="s">
        <v>9</v>
      </c>
      <c r="M8" s="1473">
        <f>'XM.GUI MAIL'!P80</f>
        <v>50.297499999999999</v>
      </c>
      <c r="N8" s="57" t="s">
        <v>8</v>
      </c>
      <c r="O8" s="58">
        <f>'XM.GUI MAIL'!S80</f>
        <v>0</v>
      </c>
      <c r="P8" s="59" t="s">
        <v>9</v>
      </c>
      <c r="Q8" s="1473">
        <f>'XM.GUI MAIL'!W80</f>
        <v>50.297499999999999</v>
      </c>
      <c r="R8" s="66" t="s">
        <v>8</v>
      </c>
      <c r="S8" s="67">
        <f>'XM.GUI MAIL'!Z80</f>
        <v>0</v>
      </c>
      <c r="T8" s="30" t="s">
        <v>9</v>
      </c>
      <c r="U8" s="1058" t="s">
        <v>40</v>
      </c>
      <c r="W8" s="3166">
        <v>2</v>
      </c>
      <c r="X8" s="3190" t="s">
        <v>140</v>
      </c>
      <c r="Y8" s="3191"/>
      <c r="Z8" s="3126" t="s">
        <v>231</v>
      </c>
      <c r="AA8" s="3127"/>
      <c r="AB8" s="2171"/>
      <c r="AC8" s="1919" t="s">
        <v>9</v>
      </c>
      <c r="AD8" s="1906"/>
      <c r="AE8" s="1853" t="s">
        <v>4</v>
      </c>
      <c r="AF8" s="2171"/>
      <c r="AG8" s="1919" t="s">
        <v>9</v>
      </c>
      <c r="AH8" s="1906"/>
      <c r="AI8" s="1853" t="s">
        <v>4</v>
      </c>
      <c r="AJ8" s="2171"/>
      <c r="AK8" s="1919" t="s">
        <v>9</v>
      </c>
      <c r="AL8" s="1906"/>
      <c r="AM8" s="1853" t="s">
        <v>4</v>
      </c>
    </row>
    <row r="9" spans="1:39" ht="36.75" customHeight="1">
      <c r="A9" s="3189"/>
      <c r="B9" s="3192"/>
      <c r="C9" s="3193"/>
      <c r="D9" s="3126" t="s">
        <v>232</v>
      </c>
      <c r="E9" s="3127"/>
      <c r="F9" s="1041"/>
      <c r="G9" s="929" t="s">
        <v>1286</v>
      </c>
      <c r="H9" s="2427"/>
      <c r="I9" s="2416"/>
      <c r="J9" s="57"/>
      <c r="K9" s="60">
        <f>K8/25*8.5</f>
        <v>0</v>
      </c>
      <c r="L9" s="59" t="s">
        <v>10</v>
      </c>
      <c r="M9" s="1783"/>
      <c r="N9" s="57"/>
      <c r="O9" s="60">
        <f>O8/25*8.5</f>
        <v>0</v>
      </c>
      <c r="P9" s="59" t="s">
        <v>10</v>
      </c>
      <c r="Q9" s="1783"/>
      <c r="R9" s="57"/>
      <c r="S9" s="60">
        <f>S8/25*8.5</f>
        <v>0</v>
      </c>
      <c r="T9" s="59" t="s">
        <v>10</v>
      </c>
      <c r="U9" s="1058"/>
      <c r="W9" s="3189"/>
      <c r="X9" s="3192"/>
      <c r="Y9" s="3193"/>
      <c r="Z9" s="3126" t="s">
        <v>232</v>
      </c>
      <c r="AA9" s="3127"/>
      <c r="AB9" s="2171"/>
      <c r="AC9" s="1919" t="s">
        <v>10</v>
      </c>
      <c r="AD9" s="1906"/>
      <c r="AE9" s="1920"/>
      <c r="AF9" s="2171"/>
      <c r="AG9" s="1919" t="s">
        <v>10</v>
      </c>
      <c r="AH9" s="1906"/>
      <c r="AI9" s="1920"/>
      <c r="AJ9" s="2171"/>
      <c r="AK9" s="1919" t="s">
        <v>10</v>
      </c>
      <c r="AL9" s="1906"/>
      <c r="AM9" s="1920"/>
    </row>
    <row r="10" spans="1:39" ht="36.75" customHeight="1">
      <c r="A10" s="3166">
        <v>3</v>
      </c>
      <c r="B10" s="3128" t="s">
        <v>141</v>
      </c>
      <c r="C10" s="3129"/>
      <c r="D10" s="3108" t="s">
        <v>233</v>
      </c>
      <c r="E10" s="3111" t="s">
        <v>233</v>
      </c>
      <c r="F10" s="1072" t="s">
        <v>4</v>
      </c>
      <c r="G10" s="929" t="str">
        <f>'XM.GUI MAIL'!$E$82</f>
        <v>50~70</v>
      </c>
      <c r="H10" s="2427" t="str">
        <f>'XM.GUI MAIL'!$F$82</f>
        <v>(60±5)</v>
      </c>
      <c r="I10" s="2430">
        <f>'XM.GUI MAIL'!I82</f>
        <v>63.524999999999999</v>
      </c>
      <c r="J10" s="57" t="s">
        <v>8</v>
      </c>
      <c r="K10" s="58">
        <f>'XM.GUI MAIL'!L82</f>
        <v>0</v>
      </c>
      <c r="L10" s="59" t="s">
        <v>9</v>
      </c>
      <c r="M10" s="1473">
        <f>'XM.GUI MAIL'!P82</f>
        <v>63.293999999999997</v>
      </c>
      <c r="N10" s="57" t="s">
        <v>8</v>
      </c>
      <c r="O10" s="58">
        <f>'XM.GUI MAIL'!S82</f>
        <v>0</v>
      </c>
      <c r="P10" s="59" t="s">
        <v>9</v>
      </c>
      <c r="Q10" s="1473">
        <f>'XM.GUI MAIL'!W82</f>
        <v>61.908000000000001</v>
      </c>
      <c r="R10" s="57" t="s">
        <v>8</v>
      </c>
      <c r="S10" s="58">
        <f>'XM.GUI MAIL'!Z82</f>
        <v>0</v>
      </c>
      <c r="T10" s="59" t="s">
        <v>9</v>
      </c>
      <c r="U10" s="1058" t="s">
        <v>40</v>
      </c>
      <c r="W10" s="3166">
        <v>3</v>
      </c>
      <c r="X10" s="3128" t="s">
        <v>141</v>
      </c>
      <c r="Y10" s="3129"/>
      <c r="Z10" s="3108" t="s">
        <v>233</v>
      </c>
      <c r="AA10" s="3111" t="s">
        <v>233</v>
      </c>
      <c r="AB10" s="2171"/>
      <c r="AC10" s="1919" t="s">
        <v>9</v>
      </c>
      <c r="AD10" s="1906"/>
      <c r="AE10" s="1853" t="s">
        <v>4</v>
      </c>
      <c r="AF10" s="2171"/>
      <c r="AG10" s="1919" t="s">
        <v>9</v>
      </c>
      <c r="AH10" s="1906"/>
      <c r="AI10" s="1853" t="s">
        <v>4</v>
      </c>
      <c r="AJ10" s="2171"/>
      <c r="AK10" s="1919" t="s">
        <v>9</v>
      </c>
      <c r="AL10" s="1906"/>
      <c r="AM10" s="1853" t="s">
        <v>4</v>
      </c>
    </row>
    <row r="11" spans="1:39" ht="36.75" customHeight="1">
      <c r="A11" s="3167"/>
      <c r="B11" s="3129"/>
      <c r="C11" s="3129"/>
      <c r="D11" s="3108" t="s">
        <v>234</v>
      </c>
      <c r="E11" s="3111" t="s">
        <v>234</v>
      </c>
      <c r="F11" s="1041"/>
      <c r="G11" s="929" t="s">
        <v>1287</v>
      </c>
      <c r="H11" s="2427"/>
      <c r="I11" s="2416"/>
      <c r="J11" s="57"/>
      <c r="K11" s="60">
        <f>K10/25*8</f>
        <v>0</v>
      </c>
      <c r="L11" s="59" t="s">
        <v>10</v>
      </c>
      <c r="M11" s="1783"/>
      <c r="N11" s="57"/>
      <c r="O11" s="60">
        <f>O10/25*8</f>
        <v>0</v>
      </c>
      <c r="P11" s="59" t="s">
        <v>10</v>
      </c>
      <c r="Q11" s="1783"/>
      <c r="R11" s="57"/>
      <c r="S11" s="60">
        <f>S10/25*8</f>
        <v>0</v>
      </c>
      <c r="T11" s="59" t="s">
        <v>10</v>
      </c>
      <c r="U11" s="1058"/>
      <c r="W11" s="3167"/>
      <c r="X11" s="3129"/>
      <c r="Y11" s="3129"/>
      <c r="Z11" s="3108" t="s">
        <v>234</v>
      </c>
      <c r="AA11" s="3111" t="s">
        <v>234</v>
      </c>
      <c r="AB11" s="2171"/>
      <c r="AC11" s="1919" t="s">
        <v>10</v>
      </c>
      <c r="AD11" s="1906"/>
      <c r="AE11" s="1920"/>
      <c r="AF11" s="2171"/>
      <c r="AG11" s="1919" t="s">
        <v>10</v>
      </c>
      <c r="AH11" s="1906"/>
      <c r="AI11" s="1920"/>
      <c r="AJ11" s="2171"/>
      <c r="AK11" s="1919" t="s">
        <v>10</v>
      </c>
      <c r="AL11" s="1906"/>
      <c r="AM11" s="1920"/>
    </row>
    <row r="12" spans="1:39" ht="36.75" customHeight="1">
      <c r="A12" s="3166">
        <v>4</v>
      </c>
      <c r="B12" s="3128" t="s">
        <v>142</v>
      </c>
      <c r="C12" s="3129"/>
      <c r="D12" s="3108" t="s">
        <v>233</v>
      </c>
      <c r="E12" s="3111" t="s">
        <v>233</v>
      </c>
      <c r="F12" s="1072" t="s">
        <v>4</v>
      </c>
      <c r="G12" s="929" t="str">
        <f>'XM.GUI MAIL'!$E$84</f>
        <v>50~70</v>
      </c>
      <c r="H12" s="2427" t="str">
        <f>'XM.GUI MAIL'!$F$84</f>
        <v>(60±5)</v>
      </c>
      <c r="I12" s="2430">
        <f>'XM.GUI MAIL'!I84</f>
        <v>61.677</v>
      </c>
      <c r="J12" s="57" t="s">
        <v>8</v>
      </c>
      <c r="K12" s="58">
        <f>'XM.GUI MAIL'!L84</f>
        <v>0</v>
      </c>
      <c r="L12" s="59" t="s">
        <v>9</v>
      </c>
      <c r="M12" s="1473">
        <f>'XM.GUI MAIL'!P84</f>
        <v>63.063000000000002</v>
      </c>
      <c r="N12" s="57" t="s">
        <v>8</v>
      </c>
      <c r="O12" s="58">
        <f>'XM.GUI MAIL'!S84</f>
        <v>0</v>
      </c>
      <c r="P12" s="59" t="s">
        <v>9</v>
      </c>
      <c r="Q12" s="1473">
        <f>'XM.GUI MAIL'!W84</f>
        <v>60.521999999999998</v>
      </c>
      <c r="R12" s="57" t="s">
        <v>8</v>
      </c>
      <c r="S12" s="58">
        <f>'XM.GUI MAIL'!Z84</f>
        <v>0</v>
      </c>
      <c r="T12" s="59" t="s">
        <v>9</v>
      </c>
      <c r="U12" s="1058" t="s">
        <v>40</v>
      </c>
      <c r="W12" s="3166">
        <v>4</v>
      </c>
      <c r="X12" s="3128" t="s">
        <v>142</v>
      </c>
      <c r="Y12" s="3129"/>
      <c r="Z12" s="3108" t="s">
        <v>233</v>
      </c>
      <c r="AA12" s="3111" t="s">
        <v>233</v>
      </c>
      <c r="AB12" s="2171"/>
      <c r="AC12" s="1919" t="s">
        <v>9</v>
      </c>
      <c r="AD12" s="1906"/>
      <c r="AE12" s="1853" t="s">
        <v>4</v>
      </c>
      <c r="AF12" s="2171"/>
      <c r="AG12" s="1919" t="s">
        <v>9</v>
      </c>
      <c r="AH12" s="1906"/>
      <c r="AI12" s="1853" t="s">
        <v>4</v>
      </c>
      <c r="AJ12" s="2171"/>
      <c r="AK12" s="1919" t="s">
        <v>9</v>
      </c>
      <c r="AL12" s="1906"/>
      <c r="AM12" s="1853" t="s">
        <v>4</v>
      </c>
    </row>
    <row r="13" spans="1:39" ht="36.75" customHeight="1">
      <c r="A13" s="3167"/>
      <c r="B13" s="3129"/>
      <c r="C13" s="3129"/>
      <c r="D13" s="3108" t="s">
        <v>234</v>
      </c>
      <c r="E13" s="3111" t="s">
        <v>234</v>
      </c>
      <c r="F13" s="1041"/>
      <c r="G13" s="929" t="s">
        <v>1287</v>
      </c>
      <c r="H13" s="2427"/>
      <c r="I13" s="2416"/>
      <c r="J13" s="57"/>
      <c r="K13" s="60">
        <f>K12/25*8</f>
        <v>0</v>
      </c>
      <c r="L13" s="59" t="s">
        <v>10</v>
      </c>
      <c r="M13" s="1783"/>
      <c r="N13" s="57"/>
      <c r="O13" s="60">
        <f>O12/25*8</f>
        <v>0</v>
      </c>
      <c r="P13" s="59" t="s">
        <v>10</v>
      </c>
      <c r="Q13" s="1783"/>
      <c r="R13" s="57"/>
      <c r="S13" s="60">
        <f>S12/25*8</f>
        <v>0</v>
      </c>
      <c r="T13" s="59" t="s">
        <v>10</v>
      </c>
      <c r="U13" s="1058"/>
      <c r="W13" s="3167"/>
      <c r="X13" s="3129"/>
      <c r="Y13" s="3129"/>
      <c r="Z13" s="3108" t="s">
        <v>234</v>
      </c>
      <c r="AA13" s="3111" t="s">
        <v>234</v>
      </c>
      <c r="AB13" s="2171"/>
      <c r="AC13" s="1919" t="s">
        <v>10</v>
      </c>
      <c r="AD13" s="1906"/>
      <c r="AE13" s="1920"/>
      <c r="AF13" s="2171"/>
      <c r="AG13" s="1919" t="s">
        <v>10</v>
      </c>
      <c r="AH13" s="1906"/>
      <c r="AI13" s="1920"/>
      <c r="AJ13" s="2171"/>
      <c r="AK13" s="1919" t="s">
        <v>10</v>
      </c>
      <c r="AL13" s="1906"/>
      <c r="AM13" s="1920"/>
    </row>
    <row r="14" spans="1:39" ht="36.75" customHeight="1">
      <c r="A14" s="3166">
        <v>5</v>
      </c>
      <c r="B14" s="3186" t="s">
        <v>114</v>
      </c>
      <c r="C14" s="3183" t="s">
        <v>19</v>
      </c>
      <c r="D14" s="3184"/>
      <c r="E14" s="3185"/>
      <c r="F14" s="1072" t="s">
        <v>4</v>
      </c>
      <c r="G14" s="1428" t="str">
        <f>'XM.GUI MAIL'!$E$86</f>
        <v>135~ 145</v>
      </c>
      <c r="H14" s="2449" t="str">
        <f>'XM.GUI MAIL'!$F$86</f>
        <v>(140±5)</v>
      </c>
      <c r="I14" s="2432">
        <f>'XM.GUI MAIL'!I86</f>
        <v>143.6</v>
      </c>
      <c r="J14" s="57" t="s">
        <v>8</v>
      </c>
      <c r="K14" s="58">
        <f>'XM.GUI MAIL'!L86</f>
        <v>0</v>
      </c>
      <c r="L14" s="59" t="s">
        <v>9</v>
      </c>
      <c r="M14" s="81">
        <f>'XM.GUI MAIL'!P86</f>
        <v>144.80000000000001</v>
      </c>
      <c r="N14" s="1099" t="s">
        <v>8</v>
      </c>
      <c r="O14" s="58">
        <f>'XM.GUI MAIL'!S86</f>
        <v>0</v>
      </c>
      <c r="P14" s="59" t="s">
        <v>9</v>
      </c>
      <c r="Q14" s="81">
        <f>'XM.GUI MAIL'!W86</f>
        <v>143.19999999999999</v>
      </c>
      <c r="R14" s="1099" t="s">
        <v>8</v>
      </c>
      <c r="S14" s="58">
        <f>'XM.GUI MAIL'!Z86</f>
        <v>0</v>
      </c>
      <c r="T14" s="59" t="s">
        <v>9</v>
      </c>
      <c r="U14" s="1100" t="s">
        <v>41</v>
      </c>
      <c r="W14" s="3166">
        <v>5</v>
      </c>
      <c r="X14" s="3186" t="s">
        <v>114</v>
      </c>
      <c r="Y14" s="3183" t="s">
        <v>19</v>
      </c>
      <c r="Z14" s="3184"/>
      <c r="AA14" s="3185"/>
      <c r="AB14" s="2171"/>
      <c r="AC14" s="1919" t="s">
        <v>9</v>
      </c>
      <c r="AD14" s="1906"/>
      <c r="AE14" s="1853" t="s">
        <v>4</v>
      </c>
      <c r="AF14" s="2171"/>
      <c r="AG14" s="1919" t="s">
        <v>9</v>
      </c>
      <c r="AH14" s="1906"/>
      <c r="AI14" s="1853" t="s">
        <v>4</v>
      </c>
      <c r="AJ14" s="2171"/>
      <c r="AK14" s="1919" t="s">
        <v>9</v>
      </c>
      <c r="AL14" s="1906"/>
      <c r="AM14" s="1853" t="s">
        <v>4</v>
      </c>
    </row>
    <row r="15" spans="1:39" ht="36.75" customHeight="1">
      <c r="A15" s="3167"/>
      <c r="B15" s="3187"/>
      <c r="C15" s="3183" t="s">
        <v>20</v>
      </c>
      <c r="D15" s="3184"/>
      <c r="E15" s="3185"/>
      <c r="F15" s="1041"/>
      <c r="G15" s="1428" t="str">
        <f>'XM.GUI MAIL'!$E$87</f>
        <v>7~10</v>
      </c>
      <c r="H15" s="2449" t="str">
        <f>'XM.GUI MAIL'!$F$87</f>
        <v>(8.5±1)</v>
      </c>
      <c r="I15" s="2433">
        <f>'XM.GUI MAIL'!I87</f>
        <v>8.58</v>
      </c>
      <c r="J15" s="66" t="s">
        <v>8</v>
      </c>
      <c r="K15" s="846">
        <f>'XM.GUI MAIL'!L87</f>
        <v>0</v>
      </c>
      <c r="L15" s="1101" t="s">
        <v>9</v>
      </c>
      <c r="M15" s="2067">
        <f>'XM.GUI MAIL'!P87</f>
        <v>8.32</v>
      </c>
      <c r="N15" s="845" t="s">
        <v>8</v>
      </c>
      <c r="O15" s="846">
        <f>'XM.GUI MAIL'!S87</f>
        <v>9.5518799999999846</v>
      </c>
      <c r="P15" s="1101" t="s">
        <v>9</v>
      </c>
      <c r="Q15" s="2067">
        <f>'XM.GUI MAIL'!W87</f>
        <v>8.3849999999999998</v>
      </c>
      <c r="R15" s="845" t="s">
        <v>8</v>
      </c>
      <c r="S15" s="846">
        <f>'XM.GUI MAIL'!Z87</f>
        <v>6.1025900000000108</v>
      </c>
      <c r="T15" s="1101" t="s">
        <v>9</v>
      </c>
      <c r="U15" s="1100" t="s">
        <v>42</v>
      </c>
      <c r="W15" s="3167"/>
      <c r="X15" s="3187"/>
      <c r="Y15" s="3183" t="s">
        <v>20</v>
      </c>
      <c r="Z15" s="3184"/>
      <c r="AA15" s="3185"/>
      <c r="AB15" s="2171"/>
      <c r="AC15" s="1919" t="s">
        <v>9</v>
      </c>
      <c r="AD15" s="1906"/>
      <c r="AE15" s="1920"/>
      <c r="AF15" s="2171"/>
      <c r="AG15" s="1919" t="s">
        <v>9</v>
      </c>
      <c r="AH15" s="1906"/>
      <c r="AI15" s="1920"/>
      <c r="AJ15" s="2171"/>
      <c r="AK15" s="1919" t="s">
        <v>9</v>
      </c>
      <c r="AL15" s="1906"/>
      <c r="AM15" s="1920"/>
    </row>
    <row r="16" spans="1:39" s="7" customFormat="1" ht="36.75" customHeight="1">
      <c r="A16" s="3166">
        <v>6</v>
      </c>
      <c r="B16" s="3177" t="s">
        <v>1168</v>
      </c>
      <c r="C16" s="3178"/>
      <c r="D16" s="3178"/>
      <c r="E16" s="3181"/>
      <c r="F16" s="80" t="s">
        <v>3</v>
      </c>
      <c r="G16" s="1428" t="str">
        <f>'XM.GUI MAIL'!$E$88</f>
        <v>5~8</v>
      </c>
      <c r="H16" s="2449" t="str">
        <f>'XM.GUI MAIL'!$F$88</f>
        <v>(6±1)</v>
      </c>
      <c r="I16" s="2434">
        <f>'XM.GUI MAIL'!I88</f>
        <v>6.4533899999999997</v>
      </c>
      <c r="J16" s="57" t="s">
        <v>8</v>
      </c>
      <c r="K16" s="58">
        <f>'XM.GUI MAIL'!L88</f>
        <v>0</v>
      </c>
      <c r="L16" s="59" t="s">
        <v>10</v>
      </c>
      <c r="M16" s="621">
        <f>'XM.GUI MAIL'!P88</f>
        <v>6.4322049999999997</v>
      </c>
      <c r="N16" s="1099" t="s">
        <v>8</v>
      </c>
      <c r="O16" s="58">
        <f>'XM.GUI MAIL'!S88</f>
        <v>0</v>
      </c>
      <c r="P16" s="59" t="s">
        <v>10</v>
      </c>
      <c r="Q16" s="621">
        <f>'XM.GUI MAIL'!W88</f>
        <v>6.1568000000000005</v>
      </c>
      <c r="R16" s="845" t="s">
        <v>8</v>
      </c>
      <c r="S16" s="846">
        <f>'XM.GUI MAIL'!Z88</f>
        <v>0</v>
      </c>
      <c r="T16" s="1102" t="s">
        <v>10</v>
      </c>
      <c r="U16" s="1100" t="s">
        <v>43</v>
      </c>
      <c r="V16" s="8"/>
      <c r="W16" s="3166">
        <v>6</v>
      </c>
      <c r="X16" s="3177" t="s">
        <v>1168</v>
      </c>
      <c r="Y16" s="3178"/>
      <c r="Z16" s="3178"/>
      <c r="AA16" s="3181"/>
      <c r="AB16" s="2171"/>
      <c r="AC16" s="1919" t="s">
        <v>10</v>
      </c>
      <c r="AD16" s="1906"/>
      <c r="AE16" s="1921" t="s">
        <v>3</v>
      </c>
      <c r="AF16" s="2171"/>
      <c r="AG16" s="1919" t="s">
        <v>10</v>
      </c>
      <c r="AH16" s="1906"/>
      <c r="AI16" s="1921" t="s">
        <v>3</v>
      </c>
      <c r="AJ16" s="2171"/>
      <c r="AK16" s="1919" t="s">
        <v>10</v>
      </c>
      <c r="AL16" s="1906"/>
      <c r="AM16" s="1921" t="s">
        <v>3</v>
      </c>
    </row>
    <row r="17" spans="1:39" ht="36.75" customHeight="1">
      <c r="A17" s="3167"/>
      <c r="B17" s="3179"/>
      <c r="C17" s="3180"/>
      <c r="D17" s="3180"/>
      <c r="E17" s="3182"/>
      <c r="F17" s="80" t="s">
        <v>5</v>
      </c>
      <c r="G17" s="1428" t="str">
        <f>'XM.GUI MAIL'!$E$89</f>
        <v>2.0~2.4</v>
      </c>
      <c r="H17" s="2449" t="str">
        <f>'XM.GUI MAIL'!$F$89</f>
        <v>(2.2±0.1)</v>
      </c>
      <c r="I17" s="2458">
        <f>'XM.GUI MAIL'!I89</f>
        <v>2.2999999999999998</v>
      </c>
      <c r="J17" s="845"/>
      <c r="K17" s="846"/>
      <c r="L17" s="1102"/>
      <c r="M17" s="2456">
        <f>'XM.GUI MAIL'!P89</f>
        <v>2.2400000000000002</v>
      </c>
      <c r="N17" s="845"/>
      <c r="O17" s="846"/>
      <c r="P17" s="1102"/>
      <c r="Q17" s="2456">
        <f>'XM.GUI MAIL'!W89</f>
        <v>2.2999999999999998</v>
      </c>
      <c r="R17" s="845"/>
      <c r="S17" s="846"/>
      <c r="T17" s="1102"/>
      <c r="U17" s="98"/>
      <c r="W17" s="3167"/>
      <c r="X17" s="3179"/>
      <c r="Y17" s="3180"/>
      <c r="Z17" s="3180"/>
      <c r="AA17" s="3182"/>
      <c r="AB17" s="2171"/>
      <c r="AC17" s="1919"/>
      <c r="AD17" s="1906"/>
      <c r="AE17" s="1921" t="s">
        <v>5</v>
      </c>
      <c r="AF17" s="2171"/>
      <c r="AG17" s="1919"/>
      <c r="AH17" s="1906"/>
      <c r="AI17" s="1921" t="s">
        <v>5</v>
      </c>
      <c r="AJ17" s="2171"/>
      <c r="AK17" s="1919"/>
      <c r="AL17" s="1906"/>
      <c r="AM17" s="1921" t="s">
        <v>5</v>
      </c>
    </row>
    <row r="18" spans="1:39" ht="36.75" customHeight="1">
      <c r="A18" s="1060">
        <v>7</v>
      </c>
      <c r="B18" s="3174" t="s">
        <v>1604</v>
      </c>
      <c r="C18" s="3175"/>
      <c r="D18" s="3175"/>
      <c r="E18" s="3176"/>
      <c r="F18" s="80" t="s">
        <v>6</v>
      </c>
      <c r="G18" s="1043" t="str">
        <f>'XM.GUI MAIL'!$E$90</f>
        <v>40~50</v>
      </c>
      <c r="H18" s="2450" t="str">
        <f>'XM.GUI MAIL'!$F$90</f>
        <v>(45±5)</v>
      </c>
      <c r="I18" s="2435">
        <f>'XM.GUI MAIL'!I90</f>
        <v>0.49731250000000005</v>
      </c>
      <c r="J18" s="1480"/>
      <c r="K18" s="1481">
        <f>'XM.GUI MAIL'!L90</f>
        <v>0</v>
      </c>
      <c r="L18" s="1482"/>
      <c r="M18" s="63">
        <f>'XM.GUI MAIL'!P90</f>
        <v>0.4881875</v>
      </c>
      <c r="N18" s="1480"/>
      <c r="O18" s="1481">
        <f>'XM.GUI MAIL'!S90</f>
        <v>0</v>
      </c>
      <c r="P18" s="1482"/>
      <c r="Q18" s="63">
        <f>'XM.GUI MAIL'!W90</f>
        <v>0.47906250000000006</v>
      </c>
      <c r="R18" s="66"/>
      <c r="S18" s="67">
        <f>'XM.GUI MAIL'!Z90</f>
        <v>0</v>
      </c>
      <c r="T18" s="30"/>
      <c r="U18" s="1058"/>
      <c r="W18" s="1524">
        <v>7</v>
      </c>
      <c r="X18" s="3174" t="s">
        <v>981</v>
      </c>
      <c r="Y18" s="3175"/>
      <c r="Z18" s="3175"/>
      <c r="AA18" s="3176"/>
      <c r="AB18" s="2171"/>
      <c r="AC18" s="1919"/>
      <c r="AD18" s="1906"/>
      <c r="AE18" s="1921" t="s">
        <v>6</v>
      </c>
      <c r="AF18" s="2171"/>
      <c r="AG18" s="1919"/>
      <c r="AH18" s="1906"/>
      <c r="AI18" s="1921" t="s">
        <v>6</v>
      </c>
      <c r="AJ18" s="2171"/>
      <c r="AK18" s="1919"/>
      <c r="AL18" s="1906"/>
      <c r="AM18" s="1921" t="s">
        <v>6</v>
      </c>
    </row>
    <row r="19" spans="1:39" ht="36.75" customHeight="1">
      <c r="A19" s="2494">
        <v>8</v>
      </c>
      <c r="B19" s="3174" t="s">
        <v>1603</v>
      </c>
      <c r="C19" s="3175"/>
      <c r="D19" s="3175"/>
      <c r="E19" s="3176"/>
      <c r="F19" s="80" t="s">
        <v>6</v>
      </c>
      <c r="G19" s="1043" t="str">
        <f>'XM.GUI MAIL'!$E$90</f>
        <v>40~50</v>
      </c>
      <c r="H19" s="2450" t="str">
        <f>'XM.GUI MAIL'!$F$90</f>
        <v>(45±5)</v>
      </c>
      <c r="I19" s="2435">
        <f>'XM.GUI MAIL'!I91</f>
        <v>0.46081249999999996</v>
      </c>
      <c r="J19" s="1480"/>
      <c r="K19" s="1481">
        <f>'XM.GUI MAIL'!L91</f>
        <v>0</v>
      </c>
      <c r="L19" s="1482"/>
      <c r="M19" s="63">
        <f>'XM.GUI MAIL'!P91</f>
        <v>0.45168749999999996</v>
      </c>
      <c r="N19" s="1480"/>
      <c r="O19" s="1481">
        <f>'XM.GUI MAIL'!S91</f>
        <v>0</v>
      </c>
      <c r="P19" s="1482"/>
      <c r="Q19" s="63">
        <f>'XM.GUI MAIL'!W91</f>
        <v>0.45624999999999999</v>
      </c>
      <c r="R19" s="66"/>
      <c r="S19" s="67">
        <f>'XM.GUI MAIL'!Z91</f>
        <v>0</v>
      </c>
      <c r="T19" s="30"/>
      <c r="U19" s="2493"/>
      <c r="W19" s="2494">
        <v>7</v>
      </c>
      <c r="X19" s="3174" t="s">
        <v>981</v>
      </c>
      <c r="Y19" s="3175"/>
      <c r="Z19" s="3175"/>
      <c r="AA19" s="3176"/>
      <c r="AB19" s="2171"/>
      <c r="AC19" s="1919"/>
      <c r="AD19" s="1906"/>
      <c r="AE19" s="1921" t="s">
        <v>6</v>
      </c>
      <c r="AF19" s="2171"/>
      <c r="AG19" s="1919"/>
      <c r="AH19" s="1906"/>
      <c r="AI19" s="1921" t="s">
        <v>6</v>
      </c>
      <c r="AJ19" s="2171"/>
      <c r="AK19" s="1919"/>
      <c r="AL19" s="1906"/>
      <c r="AM19" s="1921" t="s">
        <v>6</v>
      </c>
    </row>
    <row r="20" spans="1:39" ht="36.75" customHeight="1">
      <c r="A20" s="1060">
        <v>9</v>
      </c>
      <c r="B20" s="3174" t="s">
        <v>1605</v>
      </c>
      <c r="C20" s="3175"/>
      <c r="D20" s="3175"/>
      <c r="E20" s="3176"/>
      <c r="F20" s="80" t="s">
        <v>6</v>
      </c>
      <c r="G20" s="1043" t="str">
        <f>'XM.GUI MAIL'!$E$92</f>
        <v>40~50</v>
      </c>
      <c r="H20" s="2450" t="str">
        <f>'XM.GUI MAIL'!$F$92</f>
        <v>(45±5)</v>
      </c>
      <c r="I20" s="2435">
        <f>'XM.GUI MAIL'!I92</f>
        <v>0.45168749999999996</v>
      </c>
      <c r="J20" s="1480" t="s">
        <v>8</v>
      </c>
      <c r="K20" s="1481">
        <f>'XM.GUI MAIL'!L92</f>
        <v>0</v>
      </c>
      <c r="L20" s="1482" t="s">
        <v>10</v>
      </c>
      <c r="M20" s="63">
        <f>'XM.GUI MAIL'!P92</f>
        <v>0.43799999999999994</v>
      </c>
      <c r="N20" s="1480" t="s">
        <v>8</v>
      </c>
      <c r="O20" s="1481">
        <f>'XM.GUI MAIL'!S92</f>
        <v>126.1080000000007</v>
      </c>
      <c r="P20" s="1482" t="s">
        <v>10</v>
      </c>
      <c r="Q20" s="63">
        <f>'XM.GUI MAIL'!W92</f>
        <v>0.43343749999999998</v>
      </c>
      <c r="R20" s="66" t="s">
        <v>8</v>
      </c>
      <c r="S20" s="67">
        <f>'XM.GUI MAIL'!Z92</f>
        <v>174.05531250000038</v>
      </c>
      <c r="T20" s="30" t="s">
        <v>10</v>
      </c>
      <c r="U20" s="1044" t="s">
        <v>44</v>
      </c>
      <c r="W20" s="1524">
        <v>8</v>
      </c>
      <c r="X20" s="3174" t="s">
        <v>982</v>
      </c>
      <c r="Y20" s="3175"/>
      <c r="Z20" s="3175"/>
      <c r="AA20" s="3176"/>
      <c r="AB20" s="2171"/>
      <c r="AC20" s="1919" t="s">
        <v>10</v>
      </c>
      <c r="AD20" s="1906"/>
      <c r="AE20" s="1921" t="s">
        <v>6</v>
      </c>
      <c r="AF20" s="2171"/>
      <c r="AG20" s="1919" t="s">
        <v>10</v>
      </c>
      <c r="AH20" s="1906"/>
      <c r="AI20" s="1921" t="s">
        <v>6</v>
      </c>
      <c r="AJ20" s="2171"/>
      <c r="AK20" s="1919" t="s">
        <v>10</v>
      </c>
      <c r="AL20" s="1906"/>
      <c r="AM20" s="1921" t="s">
        <v>6</v>
      </c>
    </row>
    <row r="21" spans="1:39" ht="36.75" customHeight="1">
      <c r="A21" s="1060">
        <v>10</v>
      </c>
      <c r="B21" s="3171" t="s">
        <v>83</v>
      </c>
      <c r="C21" s="3172"/>
      <c r="D21" s="3172"/>
      <c r="E21" s="3173"/>
      <c r="F21" s="80" t="s">
        <v>6</v>
      </c>
      <c r="G21" s="1043" t="str">
        <f>'XM.GUI MAIL'!$E$93</f>
        <v>10~20</v>
      </c>
      <c r="H21" s="2450" t="str">
        <f>'XM.GUI MAIL'!$F$93</f>
        <v>(15±5)</v>
      </c>
      <c r="I21" s="2436">
        <f>'XM.GUI MAIL'!I93</f>
        <v>0.1323125</v>
      </c>
      <c r="J21" s="66" t="s">
        <v>8</v>
      </c>
      <c r="K21" s="67">
        <f>'XM.GUI MAIL'!L93</f>
        <v>57.201374999999985</v>
      </c>
      <c r="L21" s="30" t="s">
        <v>10</v>
      </c>
      <c r="M21" s="310">
        <f>'XM.GUI MAIL'!P93</f>
        <v>0.12775</v>
      </c>
      <c r="N21" s="66" t="s">
        <v>8</v>
      </c>
      <c r="O21" s="67">
        <f>'XM.GUI MAIL'!S93</f>
        <v>71.956499999999977</v>
      </c>
      <c r="P21" s="30" t="s">
        <v>10</v>
      </c>
      <c r="Q21" s="310">
        <f>'XM.GUI MAIL'!W93</f>
        <v>0.1323125</v>
      </c>
      <c r="R21" s="66" t="s">
        <v>8</v>
      </c>
      <c r="S21" s="67">
        <f>'XM.GUI MAIL'!Z93</f>
        <v>57.201374999999985</v>
      </c>
      <c r="T21" s="30" t="s">
        <v>10</v>
      </c>
      <c r="U21" s="1058" t="s">
        <v>45</v>
      </c>
      <c r="W21" s="1524">
        <v>9</v>
      </c>
      <c r="X21" s="3171" t="s">
        <v>83</v>
      </c>
      <c r="Y21" s="3172"/>
      <c r="Z21" s="3172"/>
      <c r="AA21" s="3173"/>
      <c r="AB21" s="2171"/>
      <c r="AC21" s="1919" t="s">
        <v>10</v>
      </c>
      <c r="AD21" s="1906"/>
      <c r="AE21" s="1921" t="s">
        <v>6</v>
      </c>
      <c r="AF21" s="2171"/>
      <c r="AG21" s="1919" t="s">
        <v>10</v>
      </c>
      <c r="AH21" s="1906"/>
      <c r="AI21" s="1921" t="s">
        <v>6</v>
      </c>
      <c r="AJ21" s="2171"/>
      <c r="AK21" s="1919" t="s">
        <v>10</v>
      </c>
      <c r="AL21" s="1906"/>
      <c r="AM21" s="1921" t="s">
        <v>6</v>
      </c>
    </row>
    <row r="22" spans="1:39" ht="36.75" customHeight="1">
      <c r="A22" s="1060">
        <v>11</v>
      </c>
      <c r="B22" s="3171" t="s">
        <v>983</v>
      </c>
      <c r="C22" s="3172" t="s">
        <v>983</v>
      </c>
      <c r="D22" s="3172" t="s">
        <v>983</v>
      </c>
      <c r="E22" s="3173" t="s">
        <v>983</v>
      </c>
      <c r="F22" s="80" t="s">
        <v>6</v>
      </c>
      <c r="G22" s="1043" t="str">
        <f>'XM.GUI MAIL'!$E$94</f>
        <v>(1±0.4)=0.6~1.4</v>
      </c>
      <c r="H22" s="2450" t="str">
        <f>'XM.GUI MAIL'!$F$94</f>
        <v>(1±0.4)</v>
      </c>
      <c r="I22" s="2437">
        <f>'XM.GUI MAIL'!I94</f>
        <v>7.5599999999999999E-3</v>
      </c>
      <c r="J22" s="1480" t="s">
        <v>8</v>
      </c>
      <c r="K22" s="1485">
        <f>'XM.GUI MAIL'!L94</f>
        <v>6.9806622516556294</v>
      </c>
      <c r="L22" s="1482" t="s">
        <v>10</v>
      </c>
      <c r="M22" s="2390">
        <f>'XM.GUI MAIL'!P94</f>
        <v>7.5599999999999999E-3</v>
      </c>
      <c r="N22" s="1480" t="s">
        <v>8</v>
      </c>
      <c r="O22" s="1485">
        <f>'XM.GUI MAIL'!S94</f>
        <v>6.9806622516556294</v>
      </c>
      <c r="P22" s="1482" t="s">
        <v>10</v>
      </c>
      <c r="Q22" s="2390">
        <f>'XM.GUI MAIL'!W94</f>
        <v>7.4340000000000005E-3</v>
      </c>
      <c r="R22" s="66" t="s">
        <v>8</v>
      </c>
      <c r="S22" s="69">
        <f>'XM.GUI MAIL'!Z94</f>
        <v>7.3411390728476809</v>
      </c>
      <c r="T22" s="71" t="s">
        <v>10</v>
      </c>
      <c r="U22" s="1058" t="s">
        <v>45</v>
      </c>
      <c r="W22" s="1524">
        <v>10</v>
      </c>
      <c r="X22" s="3171" t="s">
        <v>983</v>
      </c>
      <c r="Y22" s="3172" t="s">
        <v>983</v>
      </c>
      <c r="Z22" s="3172" t="s">
        <v>983</v>
      </c>
      <c r="AA22" s="3173" t="s">
        <v>983</v>
      </c>
      <c r="AB22" s="2171"/>
      <c r="AC22" s="1919" t="s">
        <v>10</v>
      </c>
      <c r="AD22" s="1906"/>
      <c r="AE22" s="1921" t="s">
        <v>6</v>
      </c>
      <c r="AF22" s="2171"/>
      <c r="AG22" s="1919" t="s">
        <v>10</v>
      </c>
      <c r="AH22" s="1906"/>
      <c r="AI22" s="1921" t="s">
        <v>6</v>
      </c>
      <c r="AJ22" s="2171"/>
      <c r="AK22" s="1919" t="s">
        <v>10</v>
      </c>
      <c r="AL22" s="1906"/>
      <c r="AM22" s="1921" t="s">
        <v>6</v>
      </c>
    </row>
    <row r="23" spans="1:39" s="19" customFormat="1" ht="30" customHeight="1">
      <c r="A23" s="3116">
        <v>12</v>
      </c>
      <c r="B23" s="2877" t="str">
        <f>'[6]XM.GUI MAIL'!$C$94</f>
        <v>Nồng độ   Cr2O3 （K) 三價鉻 
FINIDIP 124  (49)</v>
      </c>
      <c r="C23" s="2878"/>
      <c r="D23" s="2878"/>
      <c r="E23" s="2879"/>
      <c r="F23" s="2" t="s">
        <v>3</v>
      </c>
      <c r="G23" s="929" t="str">
        <f>'XM.GUI MAIL'!$E$95</f>
        <v>5~8</v>
      </c>
      <c r="H23" s="2427" t="str">
        <f>'XM.GUI MAIL'!$F$95</f>
        <v>(6±0.5)</v>
      </c>
      <c r="I23" s="2398">
        <f>'XM.GUI MAIL'!I95</f>
        <v>5.76</v>
      </c>
      <c r="J23" s="66" t="s">
        <v>8</v>
      </c>
      <c r="K23" s="69">
        <f>'XM.GUI MAIL'!L95</f>
        <v>8.9860042105263229</v>
      </c>
      <c r="L23" s="71" t="s">
        <v>10</v>
      </c>
      <c r="M23" s="2398">
        <f>'XM.GUI MAIL'!P95</f>
        <v>5.7200000000000006</v>
      </c>
      <c r="N23" s="66" t="s">
        <v>8</v>
      </c>
      <c r="O23" s="69">
        <f>'XM.GUI MAIL'!S95</f>
        <v>10.483671578947346</v>
      </c>
      <c r="P23" s="71" t="s">
        <v>10</v>
      </c>
      <c r="Q23" s="2398">
        <f>'XM.GUI MAIL'!W95</f>
        <v>5.7200000000000006</v>
      </c>
      <c r="R23" s="66" t="s">
        <v>8</v>
      </c>
      <c r="S23" s="69">
        <f>'XM.GUI MAIL'!Z95</f>
        <v>10.483671578947346</v>
      </c>
      <c r="T23" s="71" t="s">
        <v>10</v>
      </c>
      <c r="U23" s="281"/>
      <c r="V23" s="8"/>
      <c r="W23" s="3116">
        <v>11</v>
      </c>
      <c r="X23" s="2877" t="s">
        <v>75</v>
      </c>
      <c r="Y23" s="2878"/>
      <c r="Z23" s="2878"/>
      <c r="AA23" s="2879"/>
      <c r="AB23" s="2171"/>
      <c r="AC23" s="1919" t="s">
        <v>10</v>
      </c>
      <c r="AD23" s="1906"/>
      <c r="AE23" s="1922" t="s">
        <v>3</v>
      </c>
      <c r="AF23" s="2171"/>
      <c r="AG23" s="1919" t="s">
        <v>10</v>
      </c>
      <c r="AH23" s="1906"/>
      <c r="AI23" s="1922" t="s">
        <v>3</v>
      </c>
      <c r="AJ23" s="2171"/>
      <c r="AK23" s="1919" t="s">
        <v>10</v>
      </c>
      <c r="AL23" s="1906"/>
      <c r="AM23" s="1922" t="s">
        <v>3</v>
      </c>
    </row>
    <row r="24" spans="1:39" s="19" customFormat="1" ht="30" customHeight="1">
      <c r="A24" s="3117"/>
      <c r="B24" s="3156"/>
      <c r="C24" s="3147"/>
      <c r="D24" s="3147"/>
      <c r="E24" s="3148"/>
      <c r="F24" s="2" t="s">
        <v>5</v>
      </c>
      <c r="G24" s="929" t="str">
        <f>'XM.GUI MAIL'!$E$96</f>
        <v>1.8~2.4</v>
      </c>
      <c r="H24" s="2427" t="str">
        <f>'XM.GUI MAIL'!$F$96</f>
        <v>(2.1±0.1)</v>
      </c>
      <c r="I24" s="1869">
        <f>'XM.GUI MAIL'!I96</f>
        <v>2.1</v>
      </c>
      <c r="J24" s="66" t="s">
        <v>8</v>
      </c>
      <c r="K24" s="69"/>
      <c r="L24" s="71"/>
      <c r="M24" s="1869">
        <f>'XM.GUI MAIL'!P96</f>
        <v>2</v>
      </c>
      <c r="N24" s="66" t="s">
        <v>8</v>
      </c>
      <c r="O24" s="69"/>
      <c r="P24" s="71"/>
      <c r="Q24" s="1869">
        <f>'XM.GUI MAIL'!W96</f>
        <v>2.08</v>
      </c>
      <c r="R24" s="66" t="s">
        <v>8</v>
      </c>
      <c r="S24" s="69"/>
      <c r="T24" s="71"/>
      <c r="U24" s="281"/>
      <c r="W24" s="3117"/>
      <c r="X24" s="2880"/>
      <c r="Y24" s="2881"/>
      <c r="Z24" s="2881"/>
      <c r="AA24" s="2882"/>
      <c r="AB24" s="2172"/>
      <c r="AC24" s="1919"/>
      <c r="AD24" s="1910"/>
      <c r="AE24" s="1853"/>
      <c r="AF24" s="2172"/>
      <c r="AG24" s="1919"/>
      <c r="AH24" s="1910"/>
      <c r="AI24" s="1853"/>
      <c r="AJ24" s="2172"/>
      <c r="AK24" s="1919"/>
      <c r="AL24" s="1910"/>
      <c r="AM24" s="1853"/>
    </row>
    <row r="25" spans="1:39" s="19" customFormat="1" ht="33.75" hidden="1" customHeight="1">
      <c r="A25" s="1240"/>
      <c r="B25" s="3160" t="s">
        <v>1169</v>
      </c>
      <c r="C25" s="3161"/>
      <c r="D25" s="3161"/>
      <c r="E25" s="3162"/>
      <c r="F25" s="1239" t="s">
        <v>3</v>
      </c>
      <c r="G25" s="1387" t="str">
        <f>'XM.GUI MAIL'!$E$97</f>
        <v>8~16 %</v>
      </c>
      <c r="H25" s="1387"/>
      <c r="I25" s="1230" t="str">
        <f>'XM.GUI MAIL'!I97</f>
        <v/>
      </c>
      <c r="J25" s="1241" t="s">
        <v>8</v>
      </c>
      <c r="K25" s="1242" t="str">
        <f>'XM.GUI MAIL'!L97</f>
        <v/>
      </c>
      <c r="L25" s="1243"/>
      <c r="M25" s="1230" t="str">
        <f>'XM.GUI MAIL'!P97</f>
        <v/>
      </c>
      <c r="N25" s="1241" t="s">
        <v>8</v>
      </c>
      <c r="O25" s="1242" t="str">
        <f>'XM.GUI MAIL'!S97</f>
        <v/>
      </c>
      <c r="P25" s="1243"/>
      <c r="Q25" s="1230" t="str">
        <f>'XM.GUI MAIL'!W97</f>
        <v/>
      </c>
      <c r="R25" s="1241" t="s">
        <v>8</v>
      </c>
      <c r="S25" s="1242" t="str">
        <f>'XM.GUI MAIL'!Z97</f>
        <v/>
      </c>
      <c r="T25" s="1102"/>
      <c r="U25" s="98"/>
      <c r="W25" s="1240"/>
      <c r="X25" s="3160" t="s">
        <v>1169</v>
      </c>
      <c r="Y25" s="3161"/>
      <c r="Z25" s="3161"/>
      <c r="AA25" s="3162"/>
      <c r="AB25" s="1531"/>
      <c r="AC25" s="1531"/>
      <c r="AD25" s="1531"/>
      <c r="AE25" s="1531"/>
      <c r="AF25" s="1531"/>
      <c r="AG25" s="726"/>
      <c r="AH25" s="726"/>
    </row>
    <row r="26" spans="1:39" s="19" customFormat="1" ht="33.75" hidden="1" customHeight="1">
      <c r="A26" s="1240"/>
      <c r="B26" s="3163"/>
      <c r="C26" s="3164"/>
      <c r="D26" s="3164"/>
      <c r="E26" s="3165"/>
      <c r="F26" s="1239" t="s">
        <v>5</v>
      </c>
      <c r="G26" s="1387" t="str">
        <f>'XM.GUI MAIL'!$E$98</f>
        <v>1.8~2.4</v>
      </c>
      <c r="H26" s="1387"/>
      <c r="I26" s="1247">
        <f>'XM.GUI MAIL'!I98</f>
        <v>0</v>
      </c>
      <c r="J26" s="1241" t="s">
        <v>8</v>
      </c>
      <c r="K26" s="1244">
        <f>'XM.GUI MAIL'!L98</f>
        <v>0</v>
      </c>
      <c r="L26" s="1243"/>
      <c r="M26" s="1247">
        <f>'XM.GUI MAIL'!P98</f>
        <v>0</v>
      </c>
      <c r="N26" s="1241" t="s">
        <v>8</v>
      </c>
      <c r="O26" s="1244">
        <f>'XM.GUI MAIL'!S98</f>
        <v>0</v>
      </c>
      <c r="P26" s="1243"/>
      <c r="Q26" s="1247">
        <f>'XM.GUI MAIL'!W98</f>
        <v>0</v>
      </c>
      <c r="R26" s="1241" t="s">
        <v>8</v>
      </c>
      <c r="S26" s="1245"/>
      <c r="T26" s="1102"/>
      <c r="U26" s="98"/>
      <c r="W26" s="1240"/>
      <c r="X26" s="3163"/>
      <c r="Y26" s="3164"/>
      <c r="Z26" s="3164"/>
      <c r="AA26" s="3165"/>
      <c r="AB26" s="1531"/>
      <c r="AC26" s="1531"/>
      <c r="AD26" s="1531"/>
      <c r="AE26" s="1531"/>
      <c r="AF26" s="1531"/>
      <c r="AG26" s="726"/>
      <c r="AH26" s="726"/>
    </row>
    <row r="27" spans="1:39" ht="30" customHeight="1">
      <c r="A27" s="1060"/>
      <c r="B27" s="260"/>
      <c r="C27" s="261"/>
      <c r="D27" s="261"/>
      <c r="E27" s="261"/>
      <c r="F27" s="261"/>
      <c r="G27" s="2366" t="s">
        <v>2</v>
      </c>
      <c r="H27" s="1022"/>
      <c r="I27" s="263"/>
      <c r="J27" s="261"/>
      <c r="K27" s="261"/>
      <c r="L27" s="261"/>
      <c r="M27" s="261"/>
      <c r="N27" s="261"/>
      <c r="O27" s="261"/>
      <c r="P27" s="261"/>
      <c r="Q27" s="261"/>
      <c r="R27" s="261"/>
      <c r="S27" s="261"/>
      <c r="T27" s="261"/>
      <c r="U27" s="262"/>
      <c r="W27" s="1524"/>
      <c r="X27" s="260"/>
      <c r="Y27" s="261"/>
      <c r="Z27" s="261"/>
      <c r="AA27" s="261"/>
      <c r="AB27" s="261"/>
      <c r="AC27" s="261"/>
      <c r="AD27" s="261"/>
      <c r="AE27" s="261"/>
      <c r="AF27" s="261"/>
      <c r="AG27" s="171"/>
      <c r="AH27" s="171"/>
    </row>
    <row r="28" spans="1:39" ht="36.75" customHeight="1">
      <c r="A28" s="1060" t="s">
        <v>7</v>
      </c>
      <c r="B28" s="3013" t="s">
        <v>21</v>
      </c>
      <c r="C28" s="3014"/>
      <c r="D28" s="3014"/>
      <c r="E28" s="3015"/>
      <c r="F28" s="78" t="s">
        <v>22</v>
      </c>
      <c r="G28" s="1010" t="s">
        <v>1325</v>
      </c>
      <c r="H28" s="2429" t="s">
        <v>1317</v>
      </c>
      <c r="I28" s="3168" t="s">
        <v>24</v>
      </c>
      <c r="J28" s="3169"/>
      <c r="K28" s="3194" t="s">
        <v>25</v>
      </c>
      <c r="L28" s="3169"/>
      <c r="M28" s="3194" t="s">
        <v>24</v>
      </c>
      <c r="N28" s="3169"/>
      <c r="O28" s="3194" t="s">
        <v>25</v>
      </c>
      <c r="P28" s="3169"/>
      <c r="Q28" s="3194" t="s">
        <v>24</v>
      </c>
      <c r="R28" s="3169"/>
      <c r="S28" s="3194" t="s">
        <v>25</v>
      </c>
      <c r="T28" s="3169"/>
      <c r="U28" s="10"/>
      <c r="W28" s="1524" t="s">
        <v>7</v>
      </c>
      <c r="X28" s="3013" t="s">
        <v>21</v>
      </c>
      <c r="Y28" s="3014"/>
      <c r="Z28" s="3014"/>
      <c r="AA28" s="3015"/>
      <c r="AB28" s="3106" t="s">
        <v>1375</v>
      </c>
      <c r="AC28" s="2904"/>
      <c r="AD28" s="2904"/>
      <c r="AE28" s="2905"/>
      <c r="AF28" s="3106" t="s">
        <v>1375</v>
      </c>
      <c r="AG28" s="2904"/>
      <c r="AH28" s="2904"/>
      <c r="AI28" s="2905"/>
      <c r="AJ28" s="3106" t="s">
        <v>1375</v>
      </c>
      <c r="AK28" s="2904"/>
      <c r="AL28" s="2904"/>
      <c r="AM28" s="2905"/>
    </row>
    <row r="29" spans="1:39" ht="32.25" customHeight="1">
      <c r="A29" s="1060">
        <v>1</v>
      </c>
      <c r="B29" s="3013" t="s">
        <v>34</v>
      </c>
      <c r="C29" s="3014"/>
      <c r="D29" s="3014"/>
      <c r="E29" s="3015"/>
      <c r="F29" s="11" t="s">
        <v>26</v>
      </c>
      <c r="G29" s="1045" t="str">
        <f>'XM.GUI MAIL'!$E$104</f>
        <v>50~70</v>
      </c>
      <c r="H29" s="2431" t="str">
        <f>'XM.GUI MAIL'!$F$104</f>
        <v>(60±5)</v>
      </c>
      <c r="I29" s="2934">
        <f>'XM.GUI MAIL'!I104</f>
        <v>60</v>
      </c>
      <c r="J29" s="2867"/>
      <c r="K29" s="2867">
        <f>'XM.GUI MAIL'!L104</f>
        <v>60</v>
      </c>
      <c r="L29" s="2867"/>
      <c r="M29" s="2867">
        <f>'XM.GUI MAIL'!P104</f>
        <v>60</v>
      </c>
      <c r="N29" s="2867"/>
      <c r="O29" s="2867">
        <f>'XM.GUI MAIL'!S104</f>
        <v>60</v>
      </c>
      <c r="P29" s="2867"/>
      <c r="Q29" s="2867">
        <f>'XM.GUI MAIL'!W104</f>
        <v>60</v>
      </c>
      <c r="R29" s="2867"/>
      <c r="S29" s="2867">
        <f>'XM.GUI MAIL'!Z104</f>
        <v>60</v>
      </c>
      <c r="T29" s="2867"/>
      <c r="U29" s="1060"/>
      <c r="W29" s="1524">
        <v>1</v>
      </c>
      <c r="X29" s="3013" t="s">
        <v>34</v>
      </c>
      <c r="Y29" s="3014"/>
      <c r="Z29" s="3014"/>
      <c r="AA29" s="3015"/>
      <c r="AB29" s="1597"/>
      <c r="AC29" s="1901"/>
      <c r="AD29" s="1901"/>
      <c r="AE29" s="1598"/>
      <c r="AF29" s="1597"/>
      <c r="AG29" s="1901"/>
      <c r="AH29" s="1901"/>
      <c r="AI29" s="1598"/>
      <c r="AJ29" s="1597"/>
      <c r="AK29" s="1901"/>
      <c r="AL29" s="1901"/>
      <c r="AM29" s="1598"/>
    </row>
    <row r="30" spans="1:39" ht="32.25" customHeight="1">
      <c r="A30" s="1060">
        <v>2</v>
      </c>
      <c r="B30" s="3013" t="s">
        <v>35</v>
      </c>
      <c r="C30" s="3014"/>
      <c r="D30" s="3014"/>
      <c r="E30" s="3015"/>
      <c r="F30" s="11" t="s">
        <v>26</v>
      </c>
      <c r="G30" s="1045" t="str">
        <f>'XM.GUI MAIL'!$E$105</f>
        <v>50~70</v>
      </c>
      <c r="H30" s="2431" t="str">
        <f>'XM.GUI MAIL'!$F$105</f>
        <v>(60±5)</v>
      </c>
      <c r="I30" s="2934">
        <f>'XM.GUI MAIL'!I105</f>
        <v>61</v>
      </c>
      <c r="J30" s="2867"/>
      <c r="K30" s="2867">
        <f>'XM.GUI MAIL'!L105</f>
        <v>61</v>
      </c>
      <c r="L30" s="2867"/>
      <c r="M30" s="2867">
        <f>'XM.GUI MAIL'!P105</f>
        <v>60</v>
      </c>
      <c r="N30" s="2867"/>
      <c r="O30" s="2867">
        <f>'XM.GUI MAIL'!S105</f>
        <v>60</v>
      </c>
      <c r="P30" s="2867"/>
      <c r="Q30" s="2867">
        <f>'XM.GUI MAIL'!W105</f>
        <v>61</v>
      </c>
      <c r="R30" s="2867"/>
      <c r="S30" s="2867">
        <f>'XM.GUI MAIL'!Z105</f>
        <v>60</v>
      </c>
      <c r="T30" s="2867"/>
      <c r="U30" s="1060"/>
      <c r="W30" s="1524">
        <v>2</v>
      </c>
      <c r="X30" s="3013" t="s">
        <v>35</v>
      </c>
      <c r="Y30" s="3014"/>
      <c r="Z30" s="3014"/>
      <c r="AA30" s="3015"/>
      <c r="AB30" s="1597"/>
      <c r="AC30" s="1901"/>
      <c r="AD30" s="1901"/>
      <c r="AE30" s="1598"/>
      <c r="AF30" s="1597"/>
      <c r="AG30" s="1901"/>
      <c r="AH30" s="1901"/>
      <c r="AI30" s="1598"/>
      <c r="AJ30" s="1597"/>
      <c r="AK30" s="1901"/>
      <c r="AL30" s="1901"/>
      <c r="AM30" s="1598"/>
    </row>
    <row r="31" spans="1:39" ht="32.25" customHeight="1">
      <c r="A31" s="1060">
        <v>3</v>
      </c>
      <c r="B31" s="3013" t="s">
        <v>27</v>
      </c>
      <c r="C31" s="3014"/>
      <c r="D31" s="3014"/>
      <c r="E31" s="3015"/>
      <c r="F31" s="11" t="s">
        <v>26</v>
      </c>
      <c r="G31" s="1045" t="str">
        <f>'XM.GUI MAIL'!$E$106</f>
        <v>50~70</v>
      </c>
      <c r="H31" s="2431" t="str">
        <f>'XM.GUI MAIL'!$F$106</f>
        <v>(60±5)</v>
      </c>
      <c r="I31" s="2934">
        <f>'XM.GUI MAIL'!I106</f>
        <v>61</v>
      </c>
      <c r="J31" s="2867"/>
      <c r="K31" s="2867">
        <f>'XM.GUI MAIL'!L106</f>
        <v>60</v>
      </c>
      <c r="L31" s="2867"/>
      <c r="M31" s="2867">
        <f>'XM.GUI MAIL'!P106</f>
        <v>60</v>
      </c>
      <c r="N31" s="2867"/>
      <c r="O31" s="2867">
        <f>'XM.GUI MAIL'!S106</f>
        <v>60</v>
      </c>
      <c r="P31" s="2867"/>
      <c r="Q31" s="2867">
        <f>'XM.GUI MAIL'!W106</f>
        <v>59</v>
      </c>
      <c r="R31" s="2867"/>
      <c r="S31" s="2867">
        <f>'XM.GUI MAIL'!Z106</f>
        <v>58</v>
      </c>
      <c r="T31" s="2867"/>
      <c r="U31" s="1060"/>
      <c r="W31" s="1524">
        <v>3</v>
      </c>
      <c r="X31" s="3013" t="s">
        <v>27</v>
      </c>
      <c r="Y31" s="3014"/>
      <c r="Z31" s="3014"/>
      <c r="AA31" s="3015"/>
      <c r="AB31" s="1597"/>
      <c r="AC31" s="1901"/>
      <c r="AD31" s="1901"/>
      <c r="AE31" s="1598"/>
      <c r="AF31" s="1597"/>
      <c r="AG31" s="1901"/>
      <c r="AH31" s="1901"/>
      <c r="AI31" s="1598"/>
      <c r="AJ31" s="1597"/>
      <c r="AK31" s="1901"/>
      <c r="AL31" s="1901"/>
      <c r="AM31" s="1598"/>
    </row>
    <row r="32" spans="1:39" ht="32.25" customHeight="1">
      <c r="A32" s="1060">
        <v>4</v>
      </c>
      <c r="B32" s="3013" t="s">
        <v>28</v>
      </c>
      <c r="C32" s="3014"/>
      <c r="D32" s="3014"/>
      <c r="E32" s="3015"/>
      <c r="F32" s="11" t="s">
        <v>26</v>
      </c>
      <c r="G32" s="1045" t="str">
        <f>'XM.GUI MAIL'!$E$107</f>
        <v>50~70</v>
      </c>
      <c r="H32" s="2431" t="str">
        <f>'XM.GUI MAIL'!$F$107</f>
        <v>(60±5)</v>
      </c>
      <c r="I32" s="2934">
        <f>'XM.GUI MAIL'!I107</f>
        <v>62</v>
      </c>
      <c r="J32" s="2867"/>
      <c r="K32" s="2867">
        <f>'XM.GUI MAIL'!L107</f>
        <v>63</v>
      </c>
      <c r="L32" s="2867"/>
      <c r="M32" s="2867">
        <f>'XM.GUI MAIL'!P107</f>
        <v>63</v>
      </c>
      <c r="N32" s="2867"/>
      <c r="O32" s="2867">
        <f>'XM.GUI MAIL'!S107</f>
        <v>64</v>
      </c>
      <c r="P32" s="2867"/>
      <c r="Q32" s="2867">
        <f>'XM.GUI MAIL'!W107</f>
        <v>63</v>
      </c>
      <c r="R32" s="2867"/>
      <c r="S32" s="2867">
        <f>'XM.GUI MAIL'!Z107</f>
        <v>63</v>
      </c>
      <c r="T32" s="2867"/>
      <c r="U32" s="1060"/>
      <c r="W32" s="1524">
        <v>4</v>
      </c>
      <c r="X32" s="3013" t="s">
        <v>28</v>
      </c>
      <c r="Y32" s="3014"/>
      <c r="Z32" s="3014"/>
      <c r="AA32" s="3015"/>
      <c r="AB32" s="1597"/>
      <c r="AC32" s="1901"/>
      <c r="AD32" s="1901"/>
      <c r="AE32" s="1598"/>
      <c r="AF32" s="1597"/>
      <c r="AG32" s="1901"/>
      <c r="AH32" s="1901"/>
      <c r="AI32" s="1598"/>
      <c r="AJ32" s="1597"/>
      <c r="AK32" s="1901"/>
      <c r="AL32" s="1901"/>
      <c r="AM32" s="1598"/>
    </row>
    <row r="33" spans="1:40" ht="32.25" customHeight="1">
      <c r="A33" s="1060">
        <v>5</v>
      </c>
      <c r="B33" s="3013" t="s">
        <v>29</v>
      </c>
      <c r="C33" s="3014"/>
      <c r="D33" s="3014"/>
      <c r="E33" s="3015"/>
      <c r="F33" s="11" t="s">
        <v>26</v>
      </c>
      <c r="G33" s="1045" t="str">
        <f>'XM.GUI MAIL'!$E$108</f>
        <v>22~28</v>
      </c>
      <c r="H33" s="2431" t="str">
        <f>'XM.GUI MAIL'!$F$108</f>
        <v>(25±3)</v>
      </c>
      <c r="I33" s="2968">
        <f>'XM.GUI MAIL'!I108</f>
        <v>25</v>
      </c>
      <c r="J33" s="2969"/>
      <c r="K33" s="2969">
        <f>'XM.GUI MAIL'!L108</f>
        <v>25</v>
      </c>
      <c r="L33" s="2969"/>
      <c r="M33" s="2969">
        <f>'XM.GUI MAIL'!P108</f>
        <v>26</v>
      </c>
      <c r="N33" s="2969"/>
      <c r="O33" s="2969">
        <f>'XM.GUI MAIL'!S108</f>
        <v>25</v>
      </c>
      <c r="P33" s="2969"/>
      <c r="Q33" s="2969">
        <f>'XM.GUI MAIL'!W108</f>
        <v>25</v>
      </c>
      <c r="R33" s="2969"/>
      <c r="S33" s="2969">
        <f>'XM.GUI MAIL'!Z108</f>
        <v>24</v>
      </c>
      <c r="T33" s="2969"/>
      <c r="U33" s="1060"/>
      <c r="W33" s="1524">
        <v>5</v>
      </c>
      <c r="X33" s="3013" t="s">
        <v>29</v>
      </c>
      <c r="Y33" s="3014"/>
      <c r="Z33" s="3014"/>
      <c r="AA33" s="3015"/>
      <c r="AB33" s="1597"/>
      <c r="AC33" s="1901"/>
      <c r="AD33" s="1901"/>
      <c r="AE33" s="1598"/>
      <c r="AF33" s="1597"/>
      <c r="AG33" s="1901"/>
      <c r="AH33" s="1901"/>
      <c r="AI33" s="1598"/>
      <c r="AJ33" s="1597"/>
      <c r="AK33" s="1901"/>
      <c r="AL33" s="1901"/>
      <c r="AM33" s="1598"/>
    </row>
    <row r="34" spans="1:40" ht="32.25" customHeight="1">
      <c r="A34" s="1060">
        <v>6</v>
      </c>
      <c r="B34" s="3013" t="s">
        <v>1291</v>
      </c>
      <c r="C34" s="3014"/>
      <c r="D34" s="3014"/>
      <c r="E34" s="3015"/>
      <c r="F34" s="11" t="s">
        <v>26</v>
      </c>
      <c r="G34" s="1045" t="str">
        <f>'XM.GUI MAIL'!$E$109</f>
        <v>30~40</v>
      </c>
      <c r="H34" s="2431" t="str">
        <f>'XM.GUI MAIL'!$F$109</f>
        <v>(34±3)</v>
      </c>
      <c r="I34" s="2934">
        <f>'XM.GUI MAIL'!I109</f>
        <v>34</v>
      </c>
      <c r="J34" s="2867"/>
      <c r="K34" s="2867">
        <f>'XM.GUI MAIL'!L109</f>
        <v>33</v>
      </c>
      <c r="L34" s="2867"/>
      <c r="M34" s="2867">
        <f>'XM.GUI MAIL'!P109</f>
        <v>34</v>
      </c>
      <c r="N34" s="2867"/>
      <c r="O34" s="2867">
        <f>'XM.GUI MAIL'!S109</f>
        <v>33</v>
      </c>
      <c r="P34" s="2867"/>
      <c r="Q34" s="2867">
        <f>'XM.GUI MAIL'!W109</f>
        <v>34</v>
      </c>
      <c r="R34" s="2867"/>
      <c r="S34" s="2867">
        <f>'XM.GUI MAIL'!Z109</f>
        <v>33</v>
      </c>
      <c r="T34" s="2867"/>
      <c r="U34" s="1060"/>
      <c r="W34" s="1524">
        <v>6</v>
      </c>
      <c r="X34" s="3013" t="s">
        <v>1291</v>
      </c>
      <c r="Y34" s="3014"/>
      <c r="Z34" s="3014"/>
      <c r="AA34" s="3015"/>
      <c r="AB34" s="1597"/>
      <c r="AC34" s="1901"/>
      <c r="AD34" s="1901"/>
      <c r="AE34" s="1598"/>
      <c r="AF34" s="1597"/>
      <c r="AG34" s="1901"/>
      <c r="AH34" s="1901"/>
      <c r="AI34" s="1598"/>
      <c r="AJ34" s="1597"/>
      <c r="AK34" s="1901"/>
      <c r="AL34" s="1901"/>
      <c r="AM34" s="1598"/>
    </row>
    <row r="35" spans="1:40" ht="32.25" customHeight="1">
      <c r="A35" s="1060">
        <v>7</v>
      </c>
      <c r="B35" s="3013" t="s">
        <v>31</v>
      </c>
      <c r="C35" s="3014"/>
      <c r="D35" s="3014"/>
      <c r="E35" s="3015"/>
      <c r="F35" s="11" t="s">
        <v>26</v>
      </c>
      <c r="G35" s="1045" t="str">
        <f>'XM.GUI MAIL'!$E$110</f>
        <v>55~65</v>
      </c>
      <c r="H35" s="2431" t="str">
        <f>'XM.GUI MAIL'!$F$110</f>
        <v>(60±5)</v>
      </c>
      <c r="I35" s="2934">
        <f>'XM.GUI MAIL'!I110</f>
        <v>56</v>
      </c>
      <c r="J35" s="2867"/>
      <c r="K35" s="2867">
        <f>'XM.GUI MAIL'!L110</f>
        <v>54</v>
      </c>
      <c r="L35" s="2867"/>
      <c r="M35" s="2867">
        <f>'XM.GUI MAIL'!P110</f>
        <v>62</v>
      </c>
      <c r="N35" s="2867"/>
      <c r="O35" s="2867">
        <f>'XM.GUI MAIL'!S110</f>
        <v>61</v>
      </c>
      <c r="P35" s="2867"/>
      <c r="Q35" s="2867">
        <f>'XM.GUI MAIL'!W110</f>
        <v>58</v>
      </c>
      <c r="R35" s="2867"/>
      <c r="S35" s="2867">
        <f>'XM.GUI MAIL'!Z110</f>
        <v>57</v>
      </c>
      <c r="T35" s="2867"/>
      <c r="U35" s="1060"/>
      <c r="W35" s="1524">
        <v>7</v>
      </c>
      <c r="X35" s="3013" t="s">
        <v>31</v>
      </c>
      <c r="Y35" s="3014"/>
      <c r="Z35" s="3014"/>
      <c r="AA35" s="3015"/>
      <c r="AB35" s="1597"/>
      <c r="AC35" s="1901"/>
      <c r="AD35" s="1901"/>
      <c r="AE35" s="1598"/>
      <c r="AF35" s="1597"/>
      <c r="AG35" s="1901"/>
      <c r="AH35" s="1901"/>
      <c r="AI35" s="1598"/>
      <c r="AJ35" s="1597"/>
      <c r="AK35" s="1901"/>
      <c r="AL35" s="1901"/>
      <c r="AM35" s="1598"/>
    </row>
    <row r="36" spans="1:40" ht="32.25" customHeight="1">
      <c r="A36" s="1060">
        <v>8</v>
      </c>
      <c r="B36" s="3013" t="s">
        <v>32</v>
      </c>
      <c r="C36" s="3014"/>
      <c r="D36" s="3014"/>
      <c r="E36" s="3015"/>
      <c r="F36" s="11" t="s">
        <v>26</v>
      </c>
      <c r="G36" s="1045" t="str">
        <f>'XM.GUI MAIL'!$E$111</f>
        <v>80~100</v>
      </c>
      <c r="H36" s="2431" t="str">
        <f>'XM.GUI MAIL'!$F$111</f>
        <v>(90±5)</v>
      </c>
      <c r="I36" s="3001" t="s">
        <v>48</v>
      </c>
      <c r="J36" s="3008"/>
      <c r="K36" s="2867">
        <f>'XM.GUI MAIL'!L111</f>
        <v>94</v>
      </c>
      <c r="L36" s="2867"/>
      <c r="M36" s="3008" t="s">
        <v>48</v>
      </c>
      <c r="N36" s="3008"/>
      <c r="O36" s="2867">
        <f>'XM.GUI MAIL'!S111</f>
        <v>92</v>
      </c>
      <c r="P36" s="2867"/>
      <c r="Q36" s="3008" t="s">
        <v>48</v>
      </c>
      <c r="R36" s="3008"/>
      <c r="S36" s="2867">
        <f>'XM.GUI MAIL'!Z111</f>
        <v>94</v>
      </c>
      <c r="T36" s="2867"/>
      <c r="U36" s="1060"/>
      <c r="W36" s="1524">
        <v>8</v>
      </c>
      <c r="X36" s="3013" t="s">
        <v>32</v>
      </c>
      <c r="Y36" s="3014"/>
      <c r="Z36" s="3014"/>
      <c r="AA36" s="3015"/>
      <c r="AB36" s="1597"/>
      <c r="AC36" s="1901"/>
      <c r="AD36" s="1901"/>
      <c r="AE36" s="1598"/>
      <c r="AF36" s="1597"/>
      <c r="AG36" s="1901"/>
      <c r="AH36" s="1901"/>
      <c r="AI36" s="1598"/>
      <c r="AJ36" s="1597"/>
      <c r="AK36" s="1901"/>
      <c r="AL36" s="1901"/>
      <c r="AM36" s="1598"/>
    </row>
    <row r="37" spans="1:40" ht="32.25" customHeight="1">
      <c r="A37" s="2359"/>
      <c r="B37" s="3013" t="s">
        <v>1302</v>
      </c>
      <c r="C37" s="3014"/>
      <c r="D37" s="3014"/>
      <c r="E37" s="3015"/>
      <c r="F37" s="11" t="s">
        <v>26</v>
      </c>
      <c r="G37" s="1045" t="str">
        <f>'XM.GUI MAIL'!$E$112</f>
        <v>40~60</v>
      </c>
      <c r="H37" s="2431" t="str">
        <f>'XM.GUI MAIL'!$F$112</f>
        <v>(50±10)</v>
      </c>
      <c r="I37" s="3003">
        <f>'XM.GUI MAIL'!I112</f>
        <v>52</v>
      </c>
      <c r="J37" s="3004"/>
      <c r="K37" s="3004">
        <f>'XM.GUI MAIL'!L112</f>
        <v>51</v>
      </c>
      <c r="L37" s="3004"/>
      <c r="M37" s="3004">
        <f>'XM.GUI MAIL'!P112</f>
        <v>52</v>
      </c>
      <c r="N37" s="3004"/>
      <c r="O37" s="3004">
        <f>'XM.GUI MAIL'!S112</f>
        <v>51</v>
      </c>
      <c r="P37" s="3004"/>
      <c r="Q37" s="3004">
        <f>'XM.GUI MAIL'!W112</f>
        <v>52</v>
      </c>
      <c r="R37" s="3004"/>
      <c r="S37" s="3004">
        <f>'XM.GUI MAIL'!Z112</f>
        <v>52</v>
      </c>
      <c r="T37" s="3004"/>
      <c r="U37" s="927"/>
      <c r="W37" s="2359"/>
      <c r="X37" s="3013" t="s">
        <v>1302</v>
      </c>
      <c r="Y37" s="3014"/>
      <c r="Z37" s="3014"/>
      <c r="AA37" s="3015"/>
      <c r="AB37" s="2360"/>
      <c r="AC37" s="2361"/>
      <c r="AD37" s="2361"/>
      <c r="AE37" s="1598"/>
      <c r="AF37" s="2360"/>
      <c r="AG37" s="2361"/>
      <c r="AH37" s="2361"/>
      <c r="AI37" s="1598"/>
      <c r="AJ37" s="2360"/>
      <c r="AK37" s="2361"/>
      <c r="AL37" s="2361"/>
      <c r="AM37" s="1598"/>
    </row>
    <row r="38" spans="1:40" ht="32.25" customHeight="1">
      <c r="A38" s="2359"/>
      <c r="B38" s="3005" t="s">
        <v>1305</v>
      </c>
      <c r="C38" s="3006"/>
      <c r="D38" s="3006"/>
      <c r="E38" s="3007"/>
      <c r="F38" s="11" t="s">
        <v>26</v>
      </c>
      <c r="G38" s="1045" t="str">
        <f>'XM.GUI MAIL'!$E$113</f>
        <v>50~70</v>
      </c>
      <c r="H38" s="2431" t="str">
        <f>'XM.GUI MAIL'!$F$113</f>
        <v>(60±10)</v>
      </c>
      <c r="I38" s="3003">
        <f>'XM.GUI MAIL'!I113</f>
        <v>54</v>
      </c>
      <c r="J38" s="3004"/>
      <c r="K38" s="3004">
        <f>'XM.GUI MAIL'!L113</f>
        <v>53</v>
      </c>
      <c r="L38" s="3004"/>
      <c r="M38" s="3004">
        <f>'XM.GUI MAIL'!P113</f>
        <v>57</v>
      </c>
      <c r="N38" s="3004"/>
      <c r="O38" s="3004">
        <f>'XM.GUI MAIL'!S113</f>
        <v>58</v>
      </c>
      <c r="P38" s="3004"/>
      <c r="Q38" s="3004">
        <f>'XM.GUI MAIL'!W113</f>
        <v>60</v>
      </c>
      <c r="R38" s="3004"/>
      <c r="S38" s="3004">
        <f>'XM.GUI MAIL'!Z113</f>
        <v>61</v>
      </c>
      <c r="T38" s="3004"/>
      <c r="U38" s="927"/>
      <c r="W38" s="2359"/>
      <c r="X38" s="2356"/>
      <c r="Y38" s="2357"/>
      <c r="Z38" s="2357"/>
      <c r="AA38" s="2358"/>
      <c r="AB38" s="2360"/>
      <c r="AC38" s="2361"/>
      <c r="AD38" s="2361"/>
      <c r="AE38" s="1598"/>
      <c r="AF38" s="2360"/>
      <c r="AG38" s="2361"/>
      <c r="AH38" s="2361"/>
      <c r="AI38" s="1598"/>
      <c r="AJ38" s="2360"/>
      <c r="AK38" s="2361"/>
      <c r="AL38" s="2361"/>
      <c r="AM38" s="1598"/>
    </row>
    <row r="39" spans="1:40" ht="32.25" hidden="1" customHeight="1">
      <c r="A39" s="1060">
        <v>9</v>
      </c>
      <c r="B39" s="3013" t="s">
        <v>992</v>
      </c>
      <c r="C39" s="3014"/>
      <c r="D39" s="3014"/>
      <c r="E39" s="3015"/>
      <c r="F39" s="11" t="s">
        <v>26</v>
      </c>
      <c r="G39" s="1045" t="str">
        <f>'XM.GUI MAIL'!$E$114</f>
        <v>20~30</v>
      </c>
      <c r="H39" s="2431" t="str">
        <f>'XM.GUI MAIL'!$F$114</f>
        <v>20~30</v>
      </c>
      <c r="I39" s="3019">
        <f>'XM.GUI MAIL'!I114</f>
        <v>0</v>
      </c>
      <c r="J39" s="2821"/>
      <c r="K39" s="2823">
        <f>'XM.GUI MAIL'!L114</f>
        <v>0</v>
      </c>
      <c r="L39" s="2821"/>
      <c r="M39" s="2823">
        <f>'XM.GUI MAIL'!P114</f>
        <v>0</v>
      </c>
      <c r="N39" s="2821"/>
      <c r="O39" s="2823">
        <f>'XM.GUI MAIL'!S114</f>
        <v>0</v>
      </c>
      <c r="P39" s="2821"/>
      <c r="Q39" s="2823">
        <f>'XM.GUI MAIL'!W114</f>
        <v>0</v>
      </c>
      <c r="R39" s="2821"/>
      <c r="S39" s="2823">
        <f>'XM.GUI MAIL'!Z114</f>
        <v>0</v>
      </c>
      <c r="T39" s="2821"/>
      <c r="U39" s="927"/>
      <c r="W39" s="1524">
        <v>9</v>
      </c>
      <c r="X39" s="3013" t="s">
        <v>992</v>
      </c>
      <c r="Y39" s="3014"/>
      <c r="Z39" s="3014"/>
      <c r="AA39" s="3015"/>
      <c r="AB39" s="1597"/>
      <c r="AC39" s="1901"/>
      <c r="AD39" s="1901"/>
      <c r="AE39" s="1598"/>
      <c r="AF39" s="2355"/>
      <c r="AG39" s="2354"/>
      <c r="AH39" s="1918"/>
      <c r="AI39" s="1599"/>
      <c r="AJ39" s="1593"/>
      <c r="AK39" s="1898"/>
      <c r="AL39" s="1898"/>
      <c r="AM39" s="1599"/>
    </row>
    <row r="40" spans="1:40" ht="33.75" hidden="1" customHeight="1">
      <c r="A40" s="1423"/>
      <c r="B40" s="3157" t="s">
        <v>1295</v>
      </c>
      <c r="C40" s="3158"/>
      <c r="D40" s="3158"/>
      <c r="E40" s="3159"/>
      <c r="F40" s="11" t="s">
        <v>26</v>
      </c>
      <c r="G40" s="1045" t="str">
        <f>'XM.GUI MAIL'!$E$115</f>
        <v>35~45</v>
      </c>
      <c r="H40" s="1470"/>
      <c r="I40" s="2831">
        <f>'XM.GUI MAIL'!I115</f>
        <v>0</v>
      </c>
      <c r="J40" s="2832"/>
      <c r="K40" s="2831">
        <f>'XM.GUI MAIL'!L115</f>
        <v>0</v>
      </c>
      <c r="L40" s="2832"/>
      <c r="M40" s="2831">
        <f>'XM.GUI MAIL'!P115</f>
        <v>0</v>
      </c>
      <c r="N40" s="2832"/>
      <c r="O40" s="2831">
        <f>'XM.GUI MAIL'!S115</f>
        <v>0</v>
      </c>
      <c r="P40" s="2832"/>
      <c r="Q40" s="2831">
        <f>'XM.GUI MAIL'!W115</f>
        <v>0</v>
      </c>
      <c r="R40" s="2832"/>
      <c r="S40" s="2831">
        <f>'XM.GUI MAIL'!Z115</f>
        <v>0</v>
      </c>
      <c r="T40" s="2832"/>
      <c r="U40" s="927"/>
      <c r="W40" s="1524"/>
      <c r="X40" s="3157" t="s">
        <v>1294</v>
      </c>
      <c r="Y40" s="3158"/>
      <c r="Z40" s="3158"/>
      <c r="AA40" s="3159"/>
      <c r="AB40" s="1531"/>
      <c r="AC40" s="1531"/>
      <c r="AD40" s="1531"/>
      <c r="AE40" s="1531"/>
      <c r="AF40" s="2365"/>
      <c r="AG40" s="726"/>
      <c r="AH40" s="726"/>
    </row>
    <row r="41" spans="1:40" ht="34.5" customHeight="1">
      <c r="A41" s="1060"/>
      <c r="B41" s="260"/>
      <c r="C41" s="261"/>
      <c r="D41" s="261"/>
      <c r="E41" s="261"/>
      <c r="F41" s="261"/>
      <c r="G41" s="2366" t="s">
        <v>225</v>
      </c>
      <c r="H41" s="1022"/>
      <c r="I41" s="263"/>
      <c r="J41" s="261"/>
      <c r="K41" s="261"/>
      <c r="L41" s="261"/>
      <c r="M41" s="261"/>
      <c r="N41" s="261"/>
      <c r="O41" s="261"/>
      <c r="P41" s="261"/>
      <c r="Q41" s="261"/>
      <c r="R41" s="261"/>
      <c r="S41" s="261"/>
      <c r="T41" s="261"/>
      <c r="U41" s="262"/>
      <c r="W41" s="1524"/>
      <c r="X41" s="260"/>
      <c r="Y41" s="261"/>
      <c r="Z41" s="261"/>
      <c r="AA41" s="261"/>
      <c r="AB41" s="261"/>
      <c r="AC41" s="261"/>
      <c r="AD41" s="261"/>
      <c r="AE41" s="261"/>
      <c r="AF41" s="261"/>
      <c r="AG41" s="171"/>
      <c r="AH41" s="171"/>
    </row>
    <row r="42" spans="1:40" ht="44.25" customHeight="1">
      <c r="A42" s="1060" t="s">
        <v>7</v>
      </c>
      <c r="B42" s="3013" t="s">
        <v>33</v>
      </c>
      <c r="C42" s="3014"/>
      <c r="D42" s="3014"/>
      <c r="E42" s="3015"/>
      <c r="F42" s="78" t="s">
        <v>18</v>
      </c>
      <c r="G42" s="1010" t="s">
        <v>1325</v>
      </c>
      <c r="H42" s="2429" t="s">
        <v>1317</v>
      </c>
      <c r="I42" s="3168" t="s">
        <v>143</v>
      </c>
      <c r="J42" s="3168"/>
      <c r="K42" s="3168"/>
      <c r="L42" s="3169"/>
      <c r="M42" s="3194" t="s">
        <v>143</v>
      </c>
      <c r="N42" s="3168"/>
      <c r="O42" s="3168"/>
      <c r="P42" s="3169"/>
      <c r="Q42" s="3194" t="s">
        <v>143</v>
      </c>
      <c r="R42" s="3168"/>
      <c r="S42" s="3168"/>
      <c r="T42" s="3169"/>
      <c r="U42" s="10"/>
      <c r="W42" s="1524" t="s">
        <v>7</v>
      </c>
      <c r="X42" s="3013" t="s">
        <v>33</v>
      </c>
      <c r="Y42" s="3014"/>
      <c r="Z42" s="3014"/>
      <c r="AA42" s="3015"/>
      <c r="AB42" s="3106" t="s">
        <v>1375</v>
      </c>
      <c r="AC42" s="2904"/>
      <c r="AD42" s="2904"/>
      <c r="AE42" s="2905"/>
      <c r="AF42" s="3106" t="s">
        <v>1375</v>
      </c>
      <c r="AG42" s="2904"/>
      <c r="AH42" s="2904"/>
      <c r="AI42" s="2905"/>
      <c r="AJ42" s="3106" t="s">
        <v>1375</v>
      </c>
      <c r="AK42" s="2904"/>
      <c r="AL42" s="2904"/>
      <c r="AM42" s="2905"/>
    </row>
    <row r="43" spans="1:40" ht="44.25" customHeight="1">
      <c r="A43" s="1060">
        <v>1</v>
      </c>
      <c r="B43" s="2991" t="s">
        <v>1123</v>
      </c>
      <c r="C43" s="2992"/>
      <c r="D43" s="2992"/>
      <c r="E43" s="2993"/>
      <c r="F43" s="80" t="s">
        <v>49</v>
      </c>
      <c r="G43" s="1428" t="str">
        <f>'XM.GUI MAIL'!$E$119</f>
        <v>30~50 
(40)</v>
      </c>
      <c r="H43" s="2449" t="str">
        <f>'XM.GUI MAIL'!$F$119</f>
        <v>30~50 
(40)</v>
      </c>
      <c r="I43" s="3088">
        <f>'XM.GUI MAIL'!I119</f>
        <v>50</v>
      </c>
      <c r="J43" s="3088"/>
      <c r="K43" s="3088"/>
      <c r="L43" s="3088"/>
      <c r="M43" s="3016">
        <f>'XM.GUI MAIL'!P119</f>
        <v>48</v>
      </c>
      <c r="N43" s="3088"/>
      <c r="O43" s="3088"/>
      <c r="P43" s="3088"/>
      <c r="Q43" s="3016">
        <f>'XM.GUI MAIL'!W119</f>
        <v>50</v>
      </c>
      <c r="R43" s="3088"/>
      <c r="S43" s="3088"/>
      <c r="T43" s="3088"/>
      <c r="U43" s="1060"/>
      <c r="W43" s="1524">
        <v>1</v>
      </c>
      <c r="X43" s="2991" t="s">
        <v>1123</v>
      </c>
      <c r="Y43" s="2992"/>
      <c r="Z43" s="2992"/>
      <c r="AA43" s="2993"/>
      <c r="AB43" s="1597"/>
      <c r="AC43" s="1901"/>
      <c r="AD43" s="1901"/>
      <c r="AE43" s="1598"/>
      <c r="AF43" s="1597"/>
      <c r="AG43" s="1901"/>
      <c r="AH43" s="1901"/>
      <c r="AI43" s="1598"/>
      <c r="AJ43" s="1597"/>
      <c r="AK43" s="1901"/>
      <c r="AL43" s="1901"/>
      <c r="AM43" s="1598"/>
    </row>
    <row r="44" spans="1:40" ht="44.25" customHeight="1">
      <c r="A44" s="1060">
        <v>2</v>
      </c>
      <c r="B44" s="2991" t="s">
        <v>227</v>
      </c>
      <c r="C44" s="2992"/>
      <c r="D44" s="2992"/>
      <c r="E44" s="2993"/>
      <c r="F44" s="80" t="s">
        <v>49</v>
      </c>
      <c r="G44" s="1428" t="str">
        <f>'XM.GUI MAIL'!$E$120</f>
        <v>160~220
(180)</v>
      </c>
      <c r="H44" s="2449" t="str">
        <f>'XM.GUI MAIL'!$F$120</f>
        <v>160~220
(180)</v>
      </c>
      <c r="I44" s="3088">
        <f>'XM.GUI MAIL'!I120</f>
        <v>175</v>
      </c>
      <c r="J44" s="3088"/>
      <c r="K44" s="3088"/>
      <c r="L44" s="3088"/>
      <c r="M44" s="3016">
        <f>'XM.GUI MAIL'!P120</f>
        <v>178</v>
      </c>
      <c r="N44" s="3088"/>
      <c r="O44" s="3088"/>
      <c r="P44" s="3088"/>
      <c r="Q44" s="3016">
        <f>'XM.GUI MAIL'!W120</f>
        <v>180</v>
      </c>
      <c r="R44" s="3088"/>
      <c r="S44" s="3088"/>
      <c r="T44" s="3088"/>
      <c r="U44" s="1060"/>
      <c r="W44" s="1524">
        <v>2</v>
      </c>
      <c r="X44" s="2991" t="s">
        <v>227</v>
      </c>
      <c r="Y44" s="2992"/>
      <c r="Z44" s="2992"/>
      <c r="AA44" s="2993"/>
      <c r="AB44" s="1593"/>
      <c r="AC44" s="1898"/>
      <c r="AD44" s="1898"/>
      <c r="AE44" s="1599"/>
      <c r="AF44" s="1593"/>
      <c r="AG44" s="1898"/>
      <c r="AH44" s="1898"/>
      <c r="AI44" s="1599"/>
      <c r="AJ44" s="1593"/>
      <c r="AK44" s="1898"/>
      <c r="AL44" s="1898"/>
      <c r="AM44" s="1599"/>
    </row>
    <row r="45" spans="1:40">
      <c r="AB45" s="31"/>
      <c r="AC45" s="31"/>
      <c r="AD45" s="31"/>
      <c r="AE45" s="31"/>
      <c r="AF45" s="31"/>
      <c r="AG45" s="31"/>
      <c r="AH45" s="31"/>
      <c r="AI45" s="31"/>
      <c r="AJ45" s="31"/>
      <c r="AK45" s="31"/>
      <c r="AL45" s="31"/>
      <c r="AM45" s="31"/>
      <c r="AN45" s="31"/>
    </row>
    <row r="46" spans="1:40">
      <c r="AB46" s="31"/>
      <c r="AC46" s="31"/>
      <c r="AD46" s="31"/>
      <c r="AE46" s="31"/>
      <c r="AF46" s="31"/>
      <c r="AG46" s="31"/>
      <c r="AH46" s="31"/>
      <c r="AI46" s="31"/>
      <c r="AJ46" s="31"/>
      <c r="AK46" s="31"/>
      <c r="AL46" s="31"/>
      <c r="AM46" s="31"/>
      <c r="AN46" s="31"/>
    </row>
  </sheetData>
  <sheetProtection selectLockedCells="1"/>
  <mergeCells count="217">
    <mergeCell ref="AC3:AD3"/>
    <mergeCell ref="X36:AA36"/>
    <mergeCell ref="X39:AA39"/>
    <mergeCell ref="X40:AA40"/>
    <mergeCell ref="X42:AA42"/>
    <mergeCell ref="X43:AA43"/>
    <mergeCell ref="X44:AA44"/>
    <mergeCell ref="X25:AA26"/>
    <mergeCell ref="X28:AA28"/>
    <mergeCell ref="X29:AA29"/>
    <mergeCell ref="X30:AA30"/>
    <mergeCell ref="X31:AA31"/>
    <mergeCell ref="X32:AA32"/>
    <mergeCell ref="X33:AA33"/>
    <mergeCell ref="X34:AA34"/>
    <mergeCell ref="X35:AA35"/>
    <mergeCell ref="X16:Z17"/>
    <mergeCell ref="AA16:AA17"/>
    <mergeCell ref="X18:AA18"/>
    <mergeCell ref="X20:AA20"/>
    <mergeCell ref="X21:AA21"/>
    <mergeCell ref="X22:AA22"/>
    <mergeCell ref="AB4:AE4"/>
    <mergeCell ref="X37:AA37"/>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X19:AA19"/>
    <mergeCell ref="W1:AA1"/>
    <mergeCell ref="W2:AA2"/>
    <mergeCell ref="W4:W5"/>
    <mergeCell ref="X4:AA5"/>
    <mergeCell ref="W6:W7"/>
    <mergeCell ref="X6:Y7"/>
    <mergeCell ref="Z6:AA6"/>
    <mergeCell ref="Z7:AA7"/>
    <mergeCell ref="W8:W9"/>
    <mergeCell ref="X8:Y9"/>
    <mergeCell ref="Z8:AA8"/>
    <mergeCell ref="Z9:AA9"/>
    <mergeCell ref="S35:T35"/>
    <mergeCell ref="Q36:R36"/>
    <mergeCell ref="S36:T36"/>
    <mergeCell ref="K36:L36"/>
    <mergeCell ref="M42:P42"/>
    <mergeCell ref="M43:P43"/>
    <mergeCell ref="M44:P44"/>
    <mergeCell ref="Q42:T42"/>
    <mergeCell ref="Q40:R40"/>
    <mergeCell ref="S40:T40"/>
    <mergeCell ref="Q39:R39"/>
    <mergeCell ref="M37:N37"/>
    <mergeCell ref="O37:P37"/>
    <mergeCell ref="Q37:R37"/>
    <mergeCell ref="S37:T37"/>
    <mergeCell ref="M38:N38"/>
    <mergeCell ref="O38:P38"/>
    <mergeCell ref="Q38:R38"/>
    <mergeCell ref="S38:T38"/>
    <mergeCell ref="M40:N40"/>
    <mergeCell ref="O40:P40"/>
    <mergeCell ref="K35:L35"/>
    <mergeCell ref="K31:L31"/>
    <mergeCell ref="M28:N28"/>
    <mergeCell ref="O28:P28"/>
    <mergeCell ref="M29:N29"/>
    <mergeCell ref="B28:E28"/>
    <mergeCell ref="B29:E29"/>
    <mergeCell ref="I32:J32"/>
    <mergeCell ref="M30:N30"/>
    <mergeCell ref="B31:E31"/>
    <mergeCell ref="B39:E39"/>
    <mergeCell ref="I39:J39"/>
    <mergeCell ref="K39:L39"/>
    <mergeCell ref="I28:J28"/>
    <mergeCell ref="K28:L28"/>
    <mergeCell ref="I29:J29"/>
    <mergeCell ref="K29:L29"/>
    <mergeCell ref="O29:P29"/>
    <mergeCell ref="U4:U5"/>
    <mergeCell ref="Q30:R30"/>
    <mergeCell ref="S30:T30"/>
    <mergeCell ref="M32:N32"/>
    <mergeCell ref="B35:E35"/>
    <mergeCell ref="I34:J34"/>
    <mergeCell ref="K34:L34"/>
    <mergeCell ref="I35:J35"/>
    <mergeCell ref="B34:E34"/>
    <mergeCell ref="B32:E32"/>
    <mergeCell ref="M35:N35"/>
    <mergeCell ref="O35:P35"/>
    <mergeCell ref="Q28:R28"/>
    <mergeCell ref="S28:T28"/>
    <mergeCell ref="Q29:R29"/>
    <mergeCell ref="S29:T29"/>
    <mergeCell ref="M34:N34"/>
    <mergeCell ref="O34:P34"/>
    <mergeCell ref="M33:N33"/>
    <mergeCell ref="O33:P33"/>
    <mergeCell ref="B33:E33"/>
    <mergeCell ref="O32:P32"/>
    <mergeCell ref="Q35:R3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I31:J31"/>
    <mergeCell ref="D6:E6"/>
    <mergeCell ref="D7:E7"/>
    <mergeCell ref="A4:A5"/>
    <mergeCell ref="B4:E5"/>
    <mergeCell ref="F4:F5"/>
    <mergeCell ref="G4:G5"/>
    <mergeCell ref="I4:L4"/>
    <mergeCell ref="R5:T5"/>
    <mergeCell ref="I30:J30"/>
    <mergeCell ref="K30:L30"/>
    <mergeCell ref="B22:E22"/>
    <mergeCell ref="B18:E18"/>
    <mergeCell ref="B20:E20"/>
    <mergeCell ref="B21:E21"/>
    <mergeCell ref="A16:A17"/>
    <mergeCell ref="B16:D17"/>
    <mergeCell ref="E16:E17"/>
    <mergeCell ref="B19:E19"/>
    <mergeCell ref="C14:E14"/>
    <mergeCell ref="C15:E15"/>
    <mergeCell ref="M4:P4"/>
    <mergeCell ref="N5:P5"/>
    <mergeCell ref="Q4:T4"/>
    <mergeCell ref="B14:B15"/>
    <mergeCell ref="S2:T2"/>
    <mergeCell ref="S3:T3"/>
    <mergeCell ref="O30:P30"/>
    <mergeCell ref="H3:I3"/>
    <mergeCell ref="A12:A13"/>
    <mergeCell ref="B12:C13"/>
    <mergeCell ref="A14:A15"/>
    <mergeCell ref="B44:E44"/>
    <mergeCell ref="I44:L44"/>
    <mergeCell ref="B36:E36"/>
    <mergeCell ref="B42:E42"/>
    <mergeCell ref="I42:L42"/>
    <mergeCell ref="S39:T39"/>
    <mergeCell ref="Q31:R31"/>
    <mergeCell ref="Q44:T44"/>
    <mergeCell ref="M39:N39"/>
    <mergeCell ref="O39:P39"/>
    <mergeCell ref="S31:T31"/>
    <mergeCell ref="Q32:R32"/>
    <mergeCell ref="S32:T32"/>
    <mergeCell ref="M36:N36"/>
    <mergeCell ref="O36:P36"/>
    <mergeCell ref="Q34:R34"/>
    <mergeCell ref="S34:T34"/>
    <mergeCell ref="Q33:R33"/>
    <mergeCell ref="S33:T33"/>
    <mergeCell ref="Q43:T43"/>
    <mergeCell ref="M31:N31"/>
    <mergeCell ref="O31:P31"/>
    <mergeCell ref="I33:J33"/>
    <mergeCell ref="K33:L33"/>
    <mergeCell ref="A23:A24"/>
    <mergeCell ref="B23:E24"/>
    <mergeCell ref="B43:E43"/>
    <mergeCell ref="I43:L43"/>
    <mergeCell ref="I36:J36"/>
    <mergeCell ref="K32:L32"/>
    <mergeCell ref="B37:E37"/>
    <mergeCell ref="I37:J37"/>
    <mergeCell ref="K37:L37"/>
    <mergeCell ref="B38:E38"/>
    <mergeCell ref="I38:J38"/>
    <mergeCell ref="K38:L38"/>
    <mergeCell ref="B40:E40"/>
    <mergeCell ref="I40:J40"/>
    <mergeCell ref="K40:L40"/>
    <mergeCell ref="B25:E26"/>
    <mergeCell ref="B30:E30"/>
    <mergeCell ref="AF4:AI4"/>
    <mergeCell ref="AJ4:AM4"/>
    <mergeCell ref="AB28:AE28"/>
    <mergeCell ref="AF28:AI28"/>
    <mergeCell ref="AJ28:AM28"/>
    <mergeCell ref="AB42:AE42"/>
    <mergeCell ref="AF42:AI42"/>
    <mergeCell ref="AJ42:AM42"/>
    <mergeCell ref="AB5:AC5"/>
    <mergeCell ref="AD5:AE5"/>
    <mergeCell ref="AF5:AG5"/>
    <mergeCell ref="AH5:AI5"/>
    <mergeCell ref="AJ5:AK5"/>
    <mergeCell ref="AL5:AM5"/>
  </mergeCells>
  <phoneticPr fontId="7" type="noConversion"/>
  <conditionalFormatting sqref="I26 Q26 M26">
    <cfRule type="expression" dxfId="2387" priority="1702">
      <formula>I26&lt;1.8</formula>
    </cfRule>
    <cfRule type="expression" dxfId="2386" priority="1703">
      <formula>I26&gt;2.4</formula>
    </cfRule>
  </conditionalFormatting>
  <conditionalFormatting sqref="I25 Q25 M25">
    <cfRule type="expression" dxfId="2385" priority="1700">
      <formula>I25&lt;8</formula>
    </cfRule>
    <cfRule type="expression" dxfId="2384" priority="1701">
      <formula>I25&gt;16</formula>
    </cfRule>
  </conditionalFormatting>
  <conditionalFormatting sqref="I43 M43 Q43">
    <cfRule type="expression" dxfId="2383" priority="1642">
      <formula>I43&lt;30</formula>
    </cfRule>
    <cfRule type="expression" dxfId="2382" priority="1643">
      <formula>I43&gt;50</formula>
    </cfRule>
  </conditionalFormatting>
  <conditionalFormatting sqref="I44 M44 Q44">
    <cfRule type="expression" dxfId="2381" priority="1640">
      <formula>I44&lt;160</formula>
    </cfRule>
    <cfRule type="expression" dxfId="2380" priority="1641">
      <formula>I44&gt;220</formula>
    </cfRule>
  </conditionalFormatting>
  <conditionalFormatting sqref="I40 K40 M40 O40 Q40 S40">
    <cfRule type="expression" dxfId="2379" priority="1552">
      <formula>I40&lt;35</formula>
    </cfRule>
    <cfRule type="expression" dxfId="2378" priority="1553">
      <formula>I40&gt;45</formula>
    </cfRule>
  </conditionalFormatting>
  <conditionalFormatting sqref="I14">
    <cfRule type="expression" dxfId="2377" priority="277" stopIfTrue="1">
      <formula>I14&lt;135</formula>
    </cfRule>
  </conditionalFormatting>
  <conditionalFormatting sqref="I14">
    <cfRule type="expression" dxfId="2376" priority="276" stopIfTrue="1">
      <formula>I14&gt;145</formula>
    </cfRule>
  </conditionalFormatting>
  <conditionalFormatting sqref="I16">
    <cfRule type="cellIs" dxfId="2375" priority="271" operator="between">
      <formula>7.01</formula>
      <formula>8</formula>
    </cfRule>
    <cfRule type="expression" dxfId="2374" priority="272">
      <formula>I16&lt;5</formula>
    </cfRule>
    <cfRule type="expression" dxfId="2373" priority="273">
      <formula>I16&gt;8</formula>
    </cfRule>
  </conditionalFormatting>
  <conditionalFormatting sqref="I21">
    <cfRule type="expression" dxfId="2372" priority="267">
      <formula>I21&lt;10%</formula>
    </cfRule>
    <cfRule type="expression" dxfId="2371" priority="268">
      <formula>I21&gt;20%</formula>
    </cfRule>
  </conditionalFormatting>
  <conditionalFormatting sqref="I10 I12">
    <cfRule type="cellIs" dxfId="2370" priority="263" operator="between">
      <formula>50</formula>
      <formula>54.99</formula>
    </cfRule>
    <cfRule type="cellIs" dxfId="2369" priority="264" operator="between">
      <formula>65.01</formula>
      <formula>70</formula>
    </cfRule>
    <cfRule type="expression" dxfId="2368" priority="265">
      <formula>I10&lt;50</formula>
    </cfRule>
    <cfRule type="expression" dxfId="2367" priority="266">
      <formula>I10&gt;70</formula>
    </cfRule>
  </conditionalFormatting>
  <conditionalFormatting sqref="I6 I8">
    <cfRule type="cellIs" dxfId="2366" priority="259" operator="between">
      <formula>40</formula>
      <formula>44.99</formula>
    </cfRule>
    <cfRule type="cellIs" dxfId="2365" priority="260" operator="between">
      <formula>55.1</formula>
      <formula>60</formula>
    </cfRule>
    <cfRule type="expression" dxfId="2364" priority="261">
      <formula>I6&lt;40</formula>
    </cfRule>
    <cfRule type="expression" dxfId="2363" priority="262">
      <formula>I6&gt;60</formula>
    </cfRule>
  </conditionalFormatting>
  <conditionalFormatting sqref="I18:I20">
    <cfRule type="expression" dxfId="2362" priority="257">
      <formula>I18&lt;40%</formula>
    </cfRule>
    <cfRule type="expression" dxfId="2361" priority="258">
      <formula>I18&gt;50%</formula>
    </cfRule>
  </conditionalFormatting>
  <conditionalFormatting sqref="I22">
    <cfRule type="expression" dxfId="2360" priority="255">
      <formula>I22&lt;0.6%</formula>
    </cfRule>
    <cfRule type="expression" dxfId="2359" priority="256">
      <formula>I22&gt;1.4%</formula>
    </cfRule>
  </conditionalFormatting>
  <conditionalFormatting sqref="M14">
    <cfRule type="expression" dxfId="2358" priority="254" stopIfTrue="1">
      <formula>M14&lt;135</formula>
    </cfRule>
  </conditionalFormatting>
  <conditionalFormatting sqref="M14">
    <cfRule type="expression" dxfId="2357" priority="253" stopIfTrue="1">
      <formula>M14&gt;145</formula>
    </cfRule>
  </conditionalFormatting>
  <conditionalFormatting sqref="M16">
    <cfRule type="cellIs" dxfId="2356" priority="248" operator="between">
      <formula>7.01</formula>
      <formula>8</formula>
    </cfRule>
    <cfRule type="expression" dxfId="2355" priority="249">
      <formula>M16&lt;5</formula>
    </cfRule>
    <cfRule type="expression" dxfId="2354" priority="250">
      <formula>M16&gt;8</formula>
    </cfRule>
  </conditionalFormatting>
  <conditionalFormatting sqref="M21">
    <cfRule type="expression" dxfId="2353" priority="244">
      <formula>M21&lt;10%</formula>
    </cfRule>
    <cfRule type="expression" dxfId="2352" priority="245">
      <formula>M21&gt;20%</formula>
    </cfRule>
  </conditionalFormatting>
  <conditionalFormatting sqref="M10 M12">
    <cfRule type="cellIs" dxfId="2351" priority="240" operator="between">
      <formula>50</formula>
      <formula>54.99</formula>
    </cfRule>
    <cfRule type="cellIs" dxfId="2350" priority="241" operator="between">
      <formula>65.01</formula>
      <formula>70</formula>
    </cfRule>
    <cfRule type="expression" dxfId="2349" priority="242">
      <formula>M10&lt;50</formula>
    </cfRule>
    <cfRule type="expression" dxfId="2348" priority="243">
      <formula>M10&gt;70</formula>
    </cfRule>
  </conditionalFormatting>
  <conditionalFormatting sqref="M6 M8">
    <cfRule type="cellIs" dxfId="2347" priority="236" operator="between">
      <formula>40</formula>
      <formula>44.99</formula>
    </cfRule>
    <cfRule type="cellIs" dxfId="2346" priority="237" operator="between">
      <formula>55.1</formula>
      <formula>60</formula>
    </cfRule>
    <cfRule type="expression" dxfId="2345" priority="238">
      <formula>M6&lt;40</formula>
    </cfRule>
    <cfRule type="expression" dxfId="2344" priority="239">
      <formula>M6&gt;60</formula>
    </cfRule>
  </conditionalFormatting>
  <conditionalFormatting sqref="M18:M20">
    <cfRule type="expression" dxfId="2343" priority="234">
      <formula>M18&lt;40%</formula>
    </cfRule>
    <cfRule type="expression" dxfId="2342" priority="235">
      <formula>M18&gt;50%</formula>
    </cfRule>
  </conditionalFormatting>
  <conditionalFormatting sqref="M22">
    <cfRule type="expression" dxfId="2341" priority="232">
      <formula>M22&lt;0.6%</formula>
    </cfRule>
    <cfRule type="expression" dxfId="2340" priority="233">
      <formula>M22&gt;1.4%</formula>
    </cfRule>
  </conditionalFormatting>
  <conditionalFormatting sqref="Q14">
    <cfRule type="expression" dxfId="2339" priority="231" stopIfTrue="1">
      <formula>Q14&lt;135</formula>
    </cfRule>
  </conditionalFormatting>
  <conditionalFormatting sqref="Q14">
    <cfRule type="expression" dxfId="2338" priority="230" stopIfTrue="1">
      <formula>Q14&gt;145</formula>
    </cfRule>
  </conditionalFormatting>
  <conditionalFormatting sqref="Q16">
    <cfRule type="cellIs" dxfId="2337" priority="225" operator="between">
      <formula>7.01</formula>
      <formula>8</formula>
    </cfRule>
    <cfRule type="expression" dxfId="2336" priority="226">
      <formula>Q16&lt;5</formula>
    </cfRule>
    <cfRule type="expression" dxfId="2335" priority="227">
      <formula>Q16&gt;8</formula>
    </cfRule>
  </conditionalFormatting>
  <conditionalFormatting sqref="Q21">
    <cfRule type="expression" dxfId="2334" priority="221">
      <formula>Q21&lt;10%</formula>
    </cfRule>
    <cfRule type="expression" dxfId="2333" priority="222">
      <formula>Q21&gt;20%</formula>
    </cfRule>
  </conditionalFormatting>
  <conditionalFormatting sqref="Q10 Q12">
    <cfRule type="cellIs" dxfId="2332" priority="217" operator="between">
      <formula>50</formula>
      <formula>54.99</formula>
    </cfRule>
    <cfRule type="cellIs" dxfId="2331" priority="218" operator="between">
      <formula>65.01</formula>
      <formula>70</formula>
    </cfRule>
    <cfRule type="expression" dxfId="2330" priority="219">
      <formula>Q10&lt;50</formula>
    </cfRule>
    <cfRule type="expression" dxfId="2329" priority="220">
      <formula>Q10&gt;70</formula>
    </cfRule>
  </conditionalFormatting>
  <conditionalFormatting sqref="Q6 Q8">
    <cfRule type="cellIs" dxfId="2328" priority="213" operator="between">
      <formula>40</formula>
      <formula>44.99</formula>
    </cfRule>
    <cfRule type="cellIs" dxfId="2327" priority="214" operator="between">
      <formula>55.1</formula>
      <formula>60</formula>
    </cfRule>
    <cfRule type="expression" dxfId="2326" priority="215">
      <formula>Q6&lt;40</formula>
    </cfRule>
    <cfRule type="expression" dxfId="2325" priority="216">
      <formula>Q6&gt;60</formula>
    </cfRule>
  </conditionalFormatting>
  <conditionalFormatting sqref="Q18:Q20">
    <cfRule type="expression" dxfId="2324" priority="211">
      <formula>Q18&lt;40%</formula>
    </cfRule>
    <cfRule type="expression" dxfId="2323" priority="212">
      <formula>Q18&gt;50%</formula>
    </cfRule>
  </conditionalFormatting>
  <conditionalFormatting sqref="Q22">
    <cfRule type="expression" dxfId="2322" priority="209">
      <formula>Q22&lt;0.6%</formula>
    </cfRule>
    <cfRule type="expression" dxfId="2321" priority="210">
      <formula>Q22&gt;1.4%</formula>
    </cfRule>
  </conditionalFormatting>
  <conditionalFormatting sqref="K33:L33">
    <cfRule type="expression" dxfId="2320" priority="207">
      <formula>K33&lt;22</formula>
    </cfRule>
    <cfRule type="expression" dxfId="2319" priority="208">
      <formula>K33&gt;28</formula>
    </cfRule>
  </conditionalFormatting>
  <conditionalFormatting sqref="K29:L31">
    <cfRule type="cellIs" dxfId="2318" priority="203" operator="between">
      <formula>50</formula>
      <formula>54.9</formula>
    </cfRule>
    <cfRule type="cellIs" dxfId="2317" priority="204" operator="between">
      <formula>65.1</formula>
      <formula>70</formula>
    </cfRule>
    <cfRule type="expression" dxfId="2316" priority="205">
      <formula>K29&lt;50</formula>
    </cfRule>
    <cfRule type="expression" dxfId="2315" priority="206">
      <formula>K29&gt;70</formula>
    </cfRule>
  </conditionalFormatting>
  <conditionalFormatting sqref="K34">
    <cfRule type="cellIs" dxfId="2314" priority="199" operator="between">
      <formula>30</formula>
      <formula>30.9</formula>
    </cfRule>
    <cfRule type="cellIs" dxfId="2313" priority="200" operator="between">
      <formula>37.1</formula>
      <formula>40</formula>
    </cfRule>
    <cfRule type="expression" dxfId="2312" priority="201">
      <formula>K34&lt;30</formula>
    </cfRule>
    <cfRule type="expression" dxfId="2311" priority="202">
      <formula>K34&gt;40</formula>
    </cfRule>
  </conditionalFormatting>
  <conditionalFormatting sqref="K35">
    <cfRule type="expression" dxfId="2310" priority="197">
      <formula>K35&lt;55</formula>
    </cfRule>
    <cfRule type="expression" dxfId="2309" priority="198">
      <formula>K35&gt;65</formula>
    </cfRule>
  </conditionalFormatting>
  <conditionalFormatting sqref="K36">
    <cfRule type="cellIs" dxfId="2308" priority="193" operator="between">
      <formula>80</formula>
      <formula>84.9</formula>
    </cfRule>
    <cfRule type="cellIs" dxfId="2307" priority="194" operator="between">
      <formula>95.1</formula>
      <formula>100</formula>
    </cfRule>
    <cfRule type="expression" dxfId="2306" priority="195">
      <formula>K36&lt;80</formula>
    </cfRule>
    <cfRule type="expression" dxfId="2305" priority="196">
      <formula>K36&gt;100</formula>
    </cfRule>
  </conditionalFormatting>
  <conditionalFormatting sqref="K37">
    <cfRule type="expression" dxfId="2304" priority="191">
      <formula>K37&lt;40</formula>
    </cfRule>
    <cfRule type="expression" dxfId="2303" priority="192">
      <formula>K37&gt;60</formula>
    </cfRule>
  </conditionalFormatting>
  <conditionalFormatting sqref="K38">
    <cfRule type="expression" dxfId="2302" priority="189">
      <formula>K38&lt;50</formula>
    </cfRule>
    <cfRule type="expression" dxfId="2301" priority="190">
      <formula>K38&gt;70</formula>
    </cfRule>
  </conditionalFormatting>
  <conditionalFormatting sqref="K32:L32">
    <cfRule type="cellIs" dxfId="2300" priority="185" operator="between">
      <formula>50</formula>
      <formula>54.9</formula>
    </cfRule>
    <cfRule type="cellIs" dxfId="2299" priority="186" operator="between">
      <formula>65.1</formula>
      <formula>70</formula>
    </cfRule>
    <cfRule type="expression" dxfId="2298" priority="187">
      <formula>K32&lt;50</formula>
    </cfRule>
    <cfRule type="expression" dxfId="2297" priority="188">
      <formula>K32&gt;70</formula>
    </cfRule>
  </conditionalFormatting>
  <conditionalFormatting sqref="I33:J33">
    <cfRule type="expression" dxfId="2296" priority="183">
      <formula>I33&lt;22</formula>
    </cfRule>
    <cfRule type="expression" dxfId="2295" priority="184">
      <formula>I33&gt;28</formula>
    </cfRule>
  </conditionalFormatting>
  <conditionalFormatting sqref="I29:J31">
    <cfRule type="cellIs" dxfId="2294" priority="179" operator="between">
      <formula>50</formula>
      <formula>54.9</formula>
    </cfRule>
    <cfRule type="cellIs" dxfId="2293" priority="180" operator="between">
      <formula>65.1</formula>
      <formula>70</formula>
    </cfRule>
    <cfRule type="expression" dxfId="2292" priority="181">
      <formula>I29&lt;50</formula>
    </cfRule>
    <cfRule type="expression" dxfId="2291" priority="182">
      <formula>I29&gt;70</formula>
    </cfRule>
  </conditionalFormatting>
  <conditionalFormatting sqref="I34">
    <cfRule type="cellIs" dxfId="2290" priority="175" operator="between">
      <formula>30</formula>
      <formula>30.9</formula>
    </cfRule>
    <cfRule type="cellIs" dxfId="2289" priority="176" operator="between">
      <formula>37.1</formula>
      <formula>40</formula>
    </cfRule>
    <cfRule type="expression" dxfId="2288" priority="177">
      <formula>I34&lt;30</formula>
    </cfRule>
    <cfRule type="expression" dxfId="2287" priority="178">
      <formula>I34&gt;40</formula>
    </cfRule>
  </conditionalFormatting>
  <conditionalFormatting sqref="I35">
    <cfRule type="expression" dxfId="2286" priority="173">
      <formula>I35&lt;55</formula>
    </cfRule>
    <cfRule type="expression" dxfId="2285" priority="174">
      <formula>I35&gt;65</formula>
    </cfRule>
  </conditionalFormatting>
  <conditionalFormatting sqref="I37">
    <cfRule type="expression" dxfId="2284" priority="171">
      <formula>I37&lt;40</formula>
    </cfRule>
    <cfRule type="expression" dxfId="2283" priority="172">
      <formula>I37&gt;60</formula>
    </cfRule>
  </conditionalFormatting>
  <conditionalFormatting sqref="I38">
    <cfRule type="expression" dxfId="2282" priority="169">
      <formula>I38&lt;50</formula>
    </cfRule>
    <cfRule type="expression" dxfId="2281" priority="170">
      <formula>I38&gt;70</formula>
    </cfRule>
  </conditionalFormatting>
  <conditionalFormatting sqref="I32:J32">
    <cfRule type="cellIs" dxfId="2280" priority="165" operator="between">
      <formula>50</formula>
      <formula>54.9</formula>
    </cfRule>
    <cfRule type="cellIs" dxfId="2279" priority="166" operator="between">
      <formula>65.1</formula>
      <formula>70</formula>
    </cfRule>
    <cfRule type="expression" dxfId="2278" priority="167">
      <formula>I32&lt;50</formula>
    </cfRule>
    <cfRule type="expression" dxfId="2277" priority="168">
      <formula>I32&gt;70</formula>
    </cfRule>
  </conditionalFormatting>
  <conditionalFormatting sqref="O33:P33">
    <cfRule type="expression" dxfId="2276" priority="163">
      <formula>O33&lt;22</formula>
    </cfRule>
    <cfRule type="expression" dxfId="2275" priority="164">
      <formula>O33&gt;28</formula>
    </cfRule>
  </conditionalFormatting>
  <conditionalFormatting sqref="O29:P31">
    <cfRule type="cellIs" dxfId="2274" priority="159" operator="between">
      <formula>50</formula>
      <formula>54.9</formula>
    </cfRule>
    <cfRule type="cellIs" dxfId="2273" priority="160" operator="between">
      <formula>65.1</formula>
      <formula>70</formula>
    </cfRule>
    <cfRule type="expression" dxfId="2272" priority="161">
      <formula>O29&lt;50</formula>
    </cfRule>
    <cfRule type="expression" dxfId="2271" priority="162">
      <formula>O29&gt;70</formula>
    </cfRule>
  </conditionalFormatting>
  <conditionalFormatting sqref="O34">
    <cfRule type="cellIs" dxfId="2270" priority="155" operator="between">
      <formula>30</formula>
      <formula>30.9</formula>
    </cfRule>
    <cfRule type="cellIs" dxfId="2269" priority="156" operator="between">
      <formula>37.1</formula>
      <formula>40</formula>
    </cfRule>
    <cfRule type="expression" dxfId="2268" priority="157">
      <formula>O34&lt;30</formula>
    </cfRule>
    <cfRule type="expression" dxfId="2267" priority="158">
      <formula>O34&gt;40</formula>
    </cfRule>
  </conditionalFormatting>
  <conditionalFormatting sqref="O35">
    <cfRule type="expression" dxfId="2266" priority="153">
      <formula>O35&lt;55</formula>
    </cfRule>
    <cfRule type="expression" dxfId="2265" priority="154">
      <formula>O35&gt;65</formula>
    </cfRule>
  </conditionalFormatting>
  <conditionalFormatting sqref="O36">
    <cfRule type="cellIs" dxfId="2264" priority="149" operator="between">
      <formula>80</formula>
      <formula>84.9</formula>
    </cfRule>
    <cfRule type="cellIs" dxfId="2263" priority="150" operator="between">
      <formula>95.1</formula>
      <formula>100</formula>
    </cfRule>
    <cfRule type="expression" dxfId="2262" priority="151">
      <formula>O36&lt;80</formula>
    </cfRule>
    <cfRule type="expression" dxfId="2261" priority="152">
      <formula>O36&gt;100</formula>
    </cfRule>
  </conditionalFormatting>
  <conditionalFormatting sqref="O37">
    <cfRule type="expression" dxfId="2260" priority="147">
      <formula>O37&lt;40</formula>
    </cfRule>
    <cfRule type="expression" dxfId="2259" priority="148">
      <formula>O37&gt;60</formula>
    </cfRule>
  </conditionalFormatting>
  <conditionalFormatting sqref="O38">
    <cfRule type="expression" dxfId="2258" priority="145">
      <formula>O38&lt;50</formula>
    </cfRule>
    <cfRule type="expression" dxfId="2257" priority="146">
      <formula>O38&gt;70</formula>
    </cfRule>
  </conditionalFormatting>
  <conditionalFormatting sqref="O32:P32">
    <cfRule type="cellIs" dxfId="2256" priority="141" operator="between">
      <formula>50</formula>
      <formula>54.9</formula>
    </cfRule>
    <cfRule type="cellIs" dxfId="2255" priority="142" operator="between">
      <formula>65.1</formula>
      <formula>70</formula>
    </cfRule>
    <cfRule type="expression" dxfId="2254" priority="143">
      <formula>O32&lt;50</formula>
    </cfRule>
    <cfRule type="expression" dxfId="2253" priority="144">
      <formula>O32&gt;70</formula>
    </cfRule>
  </conditionalFormatting>
  <conditionalFormatting sqref="M33:N33">
    <cfRule type="expression" dxfId="2252" priority="139">
      <formula>M33&lt;22</formula>
    </cfRule>
    <cfRule type="expression" dxfId="2251" priority="140">
      <formula>M33&gt;28</formula>
    </cfRule>
  </conditionalFormatting>
  <conditionalFormatting sqref="M29:N31">
    <cfRule type="cellIs" dxfId="2250" priority="135" operator="between">
      <formula>50</formula>
      <formula>54.9</formula>
    </cfRule>
    <cfRule type="cellIs" dxfId="2249" priority="136" operator="between">
      <formula>65.1</formula>
      <formula>70</formula>
    </cfRule>
    <cfRule type="expression" dxfId="2248" priority="137">
      <formula>M29&lt;50</formula>
    </cfRule>
    <cfRule type="expression" dxfId="2247" priority="138">
      <formula>M29&gt;70</formula>
    </cfRule>
  </conditionalFormatting>
  <conditionalFormatting sqref="M34">
    <cfRule type="cellIs" dxfId="2246" priority="131" operator="between">
      <formula>30</formula>
      <formula>30.9</formula>
    </cfRule>
    <cfRule type="cellIs" dxfId="2245" priority="132" operator="between">
      <formula>37.1</formula>
      <formula>40</formula>
    </cfRule>
    <cfRule type="expression" dxfId="2244" priority="133">
      <formula>M34&lt;30</formula>
    </cfRule>
    <cfRule type="expression" dxfId="2243" priority="134">
      <formula>M34&gt;40</formula>
    </cfRule>
  </conditionalFormatting>
  <conditionalFormatting sqref="M35">
    <cfRule type="expression" dxfId="2242" priority="129">
      <formula>M35&lt;55</formula>
    </cfRule>
    <cfRule type="expression" dxfId="2241" priority="130">
      <formula>M35&gt;65</formula>
    </cfRule>
  </conditionalFormatting>
  <conditionalFormatting sqref="M37">
    <cfRule type="expression" dxfId="2240" priority="127">
      <formula>M37&lt;40</formula>
    </cfRule>
    <cfRule type="expression" dxfId="2239" priority="128">
      <formula>M37&gt;60</formula>
    </cfRule>
  </conditionalFormatting>
  <conditionalFormatting sqref="M38">
    <cfRule type="expression" dxfId="2238" priority="125">
      <formula>M38&lt;50</formula>
    </cfRule>
    <cfRule type="expression" dxfId="2237" priority="126">
      <formula>M38&gt;70</formula>
    </cfRule>
  </conditionalFormatting>
  <conditionalFormatting sqref="M32:N32">
    <cfRule type="cellIs" dxfId="2236" priority="121" operator="between">
      <formula>50</formula>
      <formula>54.9</formula>
    </cfRule>
    <cfRule type="cellIs" dxfId="2235" priority="122" operator="between">
      <formula>65.1</formula>
      <formula>70</formula>
    </cfRule>
    <cfRule type="expression" dxfId="2234" priority="123">
      <formula>M32&lt;50</formula>
    </cfRule>
    <cfRule type="expression" dxfId="2233" priority="124">
      <formula>M32&gt;70</formula>
    </cfRule>
  </conditionalFormatting>
  <conditionalFormatting sqref="S33:T33">
    <cfRule type="expression" dxfId="2232" priority="119">
      <formula>S33&lt;22</formula>
    </cfRule>
    <cfRule type="expression" dxfId="2231" priority="120">
      <formula>S33&gt;28</formula>
    </cfRule>
  </conditionalFormatting>
  <conditionalFormatting sqref="S29:T31">
    <cfRule type="cellIs" dxfId="2230" priority="115" operator="between">
      <formula>50</formula>
      <formula>54.9</formula>
    </cfRule>
    <cfRule type="cellIs" dxfId="2229" priority="116" operator="between">
      <formula>65.1</formula>
      <formula>70</formula>
    </cfRule>
    <cfRule type="expression" dxfId="2228" priority="117">
      <formula>S29&lt;50</formula>
    </cfRule>
    <cfRule type="expression" dxfId="2227" priority="118">
      <formula>S29&gt;70</formula>
    </cfRule>
  </conditionalFormatting>
  <conditionalFormatting sqref="S34">
    <cfRule type="cellIs" dxfId="2226" priority="111" operator="between">
      <formula>30</formula>
      <formula>30.9</formula>
    </cfRule>
    <cfRule type="cellIs" dxfId="2225" priority="112" operator="between">
      <formula>37.1</formula>
      <formula>40</formula>
    </cfRule>
    <cfRule type="expression" dxfId="2224" priority="113">
      <formula>S34&lt;30</formula>
    </cfRule>
    <cfRule type="expression" dxfId="2223" priority="114">
      <formula>S34&gt;40</formula>
    </cfRule>
  </conditionalFormatting>
  <conditionalFormatting sqref="S35">
    <cfRule type="expression" dxfId="2222" priority="109">
      <formula>S35&lt;55</formula>
    </cfRule>
    <cfRule type="expression" dxfId="2221" priority="110">
      <formula>S35&gt;65</formula>
    </cfRule>
  </conditionalFormatting>
  <conditionalFormatting sqref="S36">
    <cfRule type="cellIs" dxfId="2220" priority="105" operator="between">
      <formula>80</formula>
      <formula>84.9</formula>
    </cfRule>
    <cfRule type="cellIs" dxfId="2219" priority="106" operator="between">
      <formula>95.1</formula>
      <formula>100</formula>
    </cfRule>
    <cfRule type="expression" dxfId="2218" priority="107">
      <formula>S36&lt;80</formula>
    </cfRule>
    <cfRule type="expression" dxfId="2217" priority="108">
      <formula>S36&gt;100</formula>
    </cfRule>
  </conditionalFormatting>
  <conditionalFormatting sqref="S37">
    <cfRule type="expression" dxfId="2216" priority="103">
      <formula>S37&lt;40</formula>
    </cfRule>
    <cfRule type="expression" dxfId="2215" priority="104">
      <formula>S37&gt;60</formula>
    </cfRule>
  </conditionalFormatting>
  <conditionalFormatting sqref="S38">
    <cfRule type="expression" dxfId="2214" priority="101">
      <formula>S38&lt;50</formula>
    </cfRule>
    <cfRule type="expression" dxfId="2213" priority="102">
      <formula>S38&gt;70</formula>
    </cfRule>
  </conditionalFormatting>
  <conditionalFormatting sqref="S32:T32">
    <cfRule type="cellIs" dxfId="2212" priority="97" operator="between">
      <formula>50</formula>
      <formula>54.9</formula>
    </cfRule>
    <cfRule type="cellIs" dxfId="2211" priority="98" operator="between">
      <formula>65.1</formula>
      <formula>70</formula>
    </cfRule>
    <cfRule type="expression" dxfId="2210" priority="99">
      <formula>S32&lt;50</formula>
    </cfRule>
    <cfRule type="expression" dxfId="2209" priority="100">
      <formula>S32&gt;70</formula>
    </cfRule>
  </conditionalFormatting>
  <conditionalFormatting sqref="Q33:R33">
    <cfRule type="expression" dxfId="2208" priority="95">
      <formula>Q33&lt;22</formula>
    </cfRule>
    <cfRule type="expression" dxfId="2207" priority="96">
      <formula>Q33&gt;28</formula>
    </cfRule>
  </conditionalFormatting>
  <conditionalFormatting sqref="Q29:R31">
    <cfRule type="cellIs" dxfId="2206" priority="91" operator="between">
      <formula>50</formula>
      <formula>54.9</formula>
    </cfRule>
    <cfRule type="cellIs" dxfId="2205" priority="92" operator="between">
      <formula>65.1</formula>
      <formula>70</formula>
    </cfRule>
    <cfRule type="expression" dxfId="2204" priority="93">
      <formula>Q29&lt;50</formula>
    </cfRule>
    <cfRule type="expression" dxfId="2203" priority="94">
      <formula>Q29&gt;70</formula>
    </cfRule>
  </conditionalFormatting>
  <conditionalFormatting sqref="Q34">
    <cfRule type="cellIs" dxfId="2202" priority="87" operator="between">
      <formula>30</formula>
      <formula>30.9</formula>
    </cfRule>
    <cfRule type="cellIs" dxfId="2201" priority="88" operator="between">
      <formula>37.1</formula>
      <formula>40</formula>
    </cfRule>
    <cfRule type="expression" dxfId="2200" priority="89">
      <formula>Q34&lt;30</formula>
    </cfRule>
    <cfRule type="expression" dxfId="2199" priority="90">
      <formula>Q34&gt;40</formula>
    </cfRule>
  </conditionalFormatting>
  <conditionalFormatting sqref="Q35">
    <cfRule type="expression" dxfId="2198" priority="85">
      <formula>Q35&lt;55</formula>
    </cfRule>
    <cfRule type="expression" dxfId="2197" priority="86">
      <formula>Q35&gt;65</formula>
    </cfRule>
  </conditionalFormatting>
  <conditionalFormatting sqref="Q37">
    <cfRule type="expression" dxfId="2196" priority="83">
      <formula>Q37&lt;40</formula>
    </cfRule>
    <cfRule type="expression" dxfId="2195" priority="84">
      <formula>Q37&gt;60</formula>
    </cfRule>
  </conditionalFormatting>
  <conditionalFormatting sqref="Q38">
    <cfRule type="expression" dxfId="2194" priority="81">
      <formula>Q38&lt;50</formula>
    </cfRule>
    <cfRule type="expression" dxfId="2193" priority="82">
      <formula>Q38&gt;70</formula>
    </cfRule>
  </conditionalFormatting>
  <conditionalFormatting sqref="Q32:R32">
    <cfRule type="cellIs" dxfId="2192" priority="77" operator="between">
      <formula>50</formula>
      <formula>54.9</formula>
    </cfRule>
    <cfRule type="cellIs" dxfId="2191" priority="78" operator="between">
      <formula>65.1</formula>
      <formula>70</formula>
    </cfRule>
    <cfRule type="expression" dxfId="2190" priority="79">
      <formula>Q32&lt;50</formula>
    </cfRule>
    <cfRule type="expression" dxfId="2189" priority="80">
      <formula>Q32&gt;70</formula>
    </cfRule>
  </conditionalFormatting>
  <conditionalFormatting sqref="I39 M39 Q39">
    <cfRule type="expression" dxfId="2188" priority="75">
      <formula>I39&lt;20</formula>
    </cfRule>
    <cfRule type="expression" dxfId="2187" priority="76">
      <formula>I39&gt;30</formula>
    </cfRule>
  </conditionalFormatting>
  <conditionalFormatting sqref="K39 O39 S39">
    <cfRule type="expression" dxfId="2186" priority="73">
      <formula>K39&lt;20</formula>
    </cfRule>
    <cfRule type="expression" dxfId="2185" priority="74">
      <formula>K39&gt;30</formula>
    </cfRule>
  </conditionalFormatting>
  <conditionalFormatting sqref="I15">
    <cfRule type="cellIs" dxfId="2184" priority="69" operator="between">
      <formula>7</formula>
      <formula>7.499</formula>
    </cfRule>
    <cfRule type="cellIs" dxfId="2183" priority="70" operator="between">
      <formula>9.51</formula>
      <formula>10</formula>
    </cfRule>
    <cfRule type="expression" dxfId="2182" priority="71">
      <formula>I15&lt;7</formula>
    </cfRule>
    <cfRule type="expression" dxfId="2181" priority="72">
      <formula>I15&gt;10</formula>
    </cfRule>
  </conditionalFormatting>
  <conditionalFormatting sqref="M15">
    <cfRule type="cellIs" dxfId="2180" priority="65" operator="between">
      <formula>7</formula>
      <formula>7.499</formula>
    </cfRule>
    <cfRule type="cellIs" dxfId="2179" priority="66" operator="between">
      <formula>9.51</formula>
      <formula>10</formula>
    </cfRule>
    <cfRule type="expression" dxfId="2178" priority="67">
      <formula>M15&lt;7</formula>
    </cfRule>
    <cfRule type="expression" dxfId="2177" priority="68">
      <formula>M15&gt;10</formula>
    </cfRule>
  </conditionalFormatting>
  <conditionalFormatting sqref="Q15">
    <cfRule type="cellIs" dxfId="2176" priority="61" operator="between">
      <formula>7</formula>
      <formula>7.499</formula>
    </cfRule>
    <cfRule type="cellIs" dxfId="2175" priority="62" operator="between">
      <formula>9.51</formula>
      <formula>10</formula>
    </cfRule>
    <cfRule type="expression" dxfId="2174" priority="63">
      <formula>Q15&lt;7</formula>
    </cfRule>
    <cfRule type="expression" dxfId="2173" priority="64">
      <formula>Q15&gt;10</formula>
    </cfRule>
  </conditionalFormatting>
  <conditionalFormatting sqref="I17">
    <cfRule type="cellIs" dxfId="2172" priority="33" operator="between">
      <formula>2</formula>
      <formula>2.099</formula>
    </cfRule>
    <cfRule type="cellIs" dxfId="2171" priority="34" operator="between">
      <formula>2.31</formula>
      <formula>2.4</formula>
    </cfRule>
    <cfRule type="expression" dxfId="2170" priority="35">
      <formula>I17&lt;2</formula>
    </cfRule>
    <cfRule type="expression" dxfId="2169" priority="36">
      <formula>I17&gt;2.4</formula>
    </cfRule>
  </conditionalFormatting>
  <conditionalFormatting sqref="M17">
    <cfRule type="cellIs" dxfId="2168" priority="29" operator="between">
      <formula>2</formula>
      <formula>2.099</formula>
    </cfRule>
    <cfRule type="cellIs" dxfId="2167" priority="30" operator="between">
      <formula>2.31</formula>
      <formula>2.4</formula>
    </cfRule>
    <cfRule type="expression" dxfId="2166" priority="31">
      <formula>M17&lt;2</formula>
    </cfRule>
    <cfRule type="expression" dxfId="2165" priority="32">
      <formula>M17&gt;2.4</formula>
    </cfRule>
  </conditionalFormatting>
  <conditionalFormatting sqref="Q17">
    <cfRule type="cellIs" dxfId="2164" priority="25" operator="between">
      <formula>2</formula>
      <formula>2.099</formula>
    </cfRule>
    <cfRule type="cellIs" dxfId="2163" priority="26" operator="between">
      <formula>2.31</formula>
      <formula>2.4</formula>
    </cfRule>
    <cfRule type="expression" dxfId="2162" priority="27">
      <formula>Q17&lt;2</formula>
    </cfRule>
    <cfRule type="expression" dxfId="2161" priority="28">
      <formula>Q17&gt;2.4</formula>
    </cfRule>
  </conditionalFormatting>
  <conditionalFormatting sqref="I23">
    <cfRule type="cellIs" dxfId="2160" priority="21" operator="between">
      <formula>5</formula>
      <formula>5.499</formula>
    </cfRule>
    <cfRule type="cellIs" dxfId="2159" priority="22" operator="between">
      <formula>6.51</formula>
      <formula>8</formula>
    </cfRule>
    <cfRule type="expression" dxfId="2158" priority="23">
      <formula>I23&lt;5</formula>
    </cfRule>
    <cfRule type="expression" dxfId="2157" priority="24">
      <formula>I23&gt;8</formula>
    </cfRule>
  </conditionalFormatting>
  <conditionalFormatting sqref="I24">
    <cfRule type="cellIs" dxfId="2156" priority="17" operator="between">
      <formula>1.8</formula>
      <formula>1.999</formula>
    </cfRule>
    <cfRule type="cellIs" dxfId="2155" priority="18" operator="between">
      <formula>2.21</formula>
      <formula>2.4</formula>
    </cfRule>
    <cfRule type="expression" dxfId="2154" priority="19">
      <formula>I24&lt;1.8</formula>
    </cfRule>
    <cfRule type="expression" dxfId="2153" priority="20">
      <formula>I24&gt;2.4</formula>
    </cfRule>
  </conditionalFormatting>
  <conditionalFormatting sqref="M23">
    <cfRule type="cellIs" dxfId="2152" priority="13" operator="between">
      <formula>5</formula>
      <formula>5.499</formula>
    </cfRule>
    <cfRule type="cellIs" dxfId="2151" priority="14" operator="between">
      <formula>6.51</formula>
      <formula>8</formula>
    </cfRule>
    <cfRule type="expression" dxfId="2150" priority="15">
      <formula>M23&lt;5</formula>
    </cfRule>
    <cfRule type="expression" dxfId="2149" priority="16">
      <formula>M23&gt;8</formula>
    </cfRule>
  </conditionalFormatting>
  <conditionalFormatting sqref="M24">
    <cfRule type="cellIs" dxfId="2148" priority="9" operator="between">
      <formula>1.8</formula>
      <formula>1.999</formula>
    </cfRule>
    <cfRule type="cellIs" dxfId="2147" priority="10" operator="between">
      <formula>2.21</formula>
      <formula>2.4</formula>
    </cfRule>
    <cfRule type="expression" dxfId="2146" priority="11">
      <formula>M24&lt;1.8</formula>
    </cfRule>
    <cfRule type="expression" dxfId="2145" priority="12">
      <formula>M24&gt;2.4</formula>
    </cfRule>
  </conditionalFormatting>
  <conditionalFormatting sqref="Q23">
    <cfRule type="cellIs" dxfId="2144" priority="5" operator="between">
      <formula>5</formula>
      <formula>5.499</formula>
    </cfRule>
    <cfRule type="cellIs" dxfId="2143" priority="6" operator="between">
      <formula>6.51</formula>
      <formula>8</formula>
    </cfRule>
    <cfRule type="expression" dxfId="2142" priority="7">
      <formula>Q23&lt;5</formula>
    </cfRule>
    <cfRule type="expression" dxfId="2141" priority="8">
      <formula>Q23&gt;8</formula>
    </cfRule>
  </conditionalFormatting>
  <conditionalFormatting sqref="Q24">
    <cfRule type="cellIs" dxfId="2140" priority="1" operator="between">
      <formula>1.8</formula>
      <formula>1.999</formula>
    </cfRule>
    <cfRule type="cellIs" dxfId="2139" priority="2" operator="between">
      <formula>2.21</formula>
      <formula>2.4</formula>
    </cfRule>
    <cfRule type="expression" dxfId="2138" priority="3">
      <formula>Q24&lt;1.8</formula>
    </cfRule>
    <cfRule type="expression" dxfId="2137" priority="4">
      <formula>Q24&gt;2.4</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2.xml><?xml version="1.0" encoding="utf-8"?>
<worksheet xmlns="http://schemas.openxmlformats.org/spreadsheetml/2006/main" xmlns:r="http://schemas.openxmlformats.org/officeDocument/2006/relationships">
  <sheetPr>
    <tabColor rgb="FFFF0000"/>
  </sheetPr>
  <dimension ref="A1:T22"/>
  <sheetViews>
    <sheetView view="pageBreakPreview" zoomScale="70" zoomScaleNormal="70" zoomScaleSheetLayoutView="70" workbookViewId="0">
      <selection activeCell="G12" sqref="G12"/>
    </sheetView>
  </sheetViews>
  <sheetFormatPr defaultRowHeight="16.5"/>
  <cols>
    <col min="1" max="1" width="5" style="8" customWidth="1"/>
    <col min="2" max="2" width="15" style="31" customWidth="1"/>
    <col min="3" max="3" width="5.75" style="31" customWidth="1"/>
    <col min="4" max="4" width="5.125" style="31" customWidth="1"/>
    <col min="5" max="5" width="2.75" style="31" customWidth="1"/>
    <col min="6" max="6" width="6.625" style="7" customWidth="1"/>
    <col min="7" max="7" width="9" style="7" customWidth="1"/>
    <col min="8" max="8" width="9.75" style="7" customWidth="1"/>
    <col min="9" max="9" width="10.625" style="7" customWidth="1"/>
    <col min="10" max="10" width="3.125" style="7" customWidth="1"/>
    <col min="11" max="11" width="7.875" style="7" customWidth="1"/>
    <col min="12" max="12" width="4" style="7" customWidth="1"/>
    <col min="13" max="13" width="9" style="7" customWidth="1"/>
    <col min="14" max="14" width="4.875" style="7" customWidth="1"/>
    <col min="15" max="15" width="7.25" style="7" customWidth="1"/>
    <col min="16" max="16" width="5.625" style="7" customWidth="1"/>
    <col min="17" max="17" width="9.25" style="7" customWidth="1"/>
    <col min="18" max="18" width="4.25" style="7" customWidth="1"/>
    <col min="19" max="19" width="7.375" style="7" customWidth="1"/>
    <col min="20" max="20" width="6.125" style="7" customWidth="1"/>
    <col min="21" max="21" width="14.375" style="8" customWidth="1"/>
    <col min="22" max="16384" width="9" style="8"/>
  </cols>
  <sheetData>
    <row r="1" spans="1:20" ht="28.5" customHeight="1">
      <c r="A1" s="2970" t="s">
        <v>136</v>
      </c>
      <c r="B1" s="2970"/>
      <c r="C1" s="2970"/>
      <c r="D1" s="2970"/>
      <c r="E1" s="2970"/>
      <c r="F1" s="2970"/>
      <c r="G1" s="2970"/>
      <c r="H1" s="2970"/>
      <c r="I1" s="2970"/>
      <c r="J1" s="2970"/>
      <c r="K1" s="2970"/>
      <c r="L1" s="2970"/>
      <c r="M1" s="2970"/>
      <c r="N1" s="2970"/>
      <c r="O1" s="2970"/>
      <c r="P1" s="2970"/>
      <c r="Q1" s="1742" t="s">
        <v>1529</v>
      </c>
      <c r="R1" s="1742"/>
      <c r="S1" s="1742"/>
      <c r="T1" s="1742"/>
    </row>
    <row r="2" spans="1:20" ht="51.75" customHeight="1">
      <c r="A2" s="3213" t="s">
        <v>1473</v>
      </c>
      <c r="B2" s="3213"/>
      <c r="C2" s="3213"/>
      <c r="D2" s="3213"/>
      <c r="E2" s="3213"/>
      <c r="F2" s="3213"/>
      <c r="G2" s="3213"/>
      <c r="H2" s="3213"/>
      <c r="I2" s="3213"/>
      <c r="J2" s="3213"/>
      <c r="K2" s="3213"/>
      <c r="L2" s="3213"/>
      <c r="M2" s="3213"/>
      <c r="N2" s="3213"/>
      <c r="O2" s="3213"/>
      <c r="P2" s="3214"/>
      <c r="Q2" s="3135" t="s">
        <v>89</v>
      </c>
      <c r="R2" s="3135"/>
      <c r="S2" s="3202" t="s">
        <v>1371</v>
      </c>
      <c r="T2" s="3202"/>
    </row>
    <row r="3" spans="1:20" ht="34.5" customHeight="1">
      <c r="A3" s="9"/>
      <c r="B3" s="3215" t="s">
        <v>1530</v>
      </c>
      <c r="C3" s="3215"/>
      <c r="E3" s="1930"/>
      <c r="F3" s="1932" t="str">
        <f>MENU!$AC$9</f>
        <v>Thứ 3,</v>
      </c>
      <c r="G3" s="1933" t="str">
        <f>MENU!$AD$9</f>
        <v>2024/01/09</v>
      </c>
      <c r="H3" s="1933"/>
      <c r="I3" s="28"/>
      <c r="J3" s="28"/>
      <c r="K3" s="28"/>
      <c r="L3" s="29"/>
      <c r="M3" s="29"/>
      <c r="N3" s="29"/>
      <c r="O3" s="29"/>
      <c r="P3" s="29"/>
      <c r="Q3" s="3201" t="str">
        <f>'3.XT-C TT'!S3</f>
        <v>Trang</v>
      </c>
      <c r="R3" s="3201"/>
      <c r="S3" s="3203"/>
      <c r="T3" s="3203"/>
    </row>
    <row r="4" spans="1:20" s="65" customFormat="1" ht="41.25" customHeight="1">
      <c r="A4" s="3170" t="s">
        <v>7</v>
      </c>
      <c r="B4" s="2877" t="s">
        <v>77</v>
      </c>
      <c r="C4" s="2878"/>
      <c r="D4" s="2878"/>
      <c r="E4" s="2879"/>
      <c r="F4" s="3135" t="s">
        <v>125</v>
      </c>
      <c r="G4" s="2922" t="s">
        <v>1325</v>
      </c>
      <c r="H4" s="2920" t="s">
        <v>1317</v>
      </c>
      <c r="I4" s="2937">
        <v>0.30208333333333331</v>
      </c>
      <c r="J4" s="2904"/>
      <c r="K4" s="2904"/>
      <c r="L4" s="2905"/>
      <c r="M4" s="2903">
        <v>0.46875</v>
      </c>
      <c r="N4" s="2904"/>
      <c r="O4" s="2904"/>
      <c r="P4" s="2905"/>
      <c r="Q4" s="3204">
        <v>0.63541666666666663</v>
      </c>
      <c r="R4" s="3135"/>
      <c r="S4" s="3135"/>
      <c r="T4" s="3135"/>
    </row>
    <row r="5" spans="1:20" s="65" customFormat="1" ht="35.25" customHeight="1">
      <c r="A5" s="3170"/>
      <c r="B5" s="2880"/>
      <c r="C5" s="2881"/>
      <c r="D5" s="2881"/>
      <c r="E5" s="2882"/>
      <c r="F5" s="3136"/>
      <c r="G5" s="2923"/>
      <c r="H5" s="2921"/>
      <c r="I5" s="2448" t="s">
        <v>130</v>
      </c>
      <c r="J5" s="2909" t="s">
        <v>1</v>
      </c>
      <c r="K5" s="2910"/>
      <c r="L5" s="2911"/>
      <c r="M5" s="55" t="s">
        <v>130</v>
      </c>
      <c r="N5" s="2909" t="s">
        <v>1</v>
      </c>
      <c r="O5" s="2910"/>
      <c r="P5" s="2911"/>
      <c r="Q5" s="1783" t="s">
        <v>130</v>
      </c>
      <c r="R5" s="3136" t="s">
        <v>1</v>
      </c>
      <c r="S5" s="3136"/>
      <c r="T5" s="3136"/>
    </row>
    <row r="6" spans="1:20" ht="36.75" customHeight="1">
      <c r="A6" s="1539">
        <v>1</v>
      </c>
      <c r="B6" s="3205" t="s">
        <v>123</v>
      </c>
      <c r="C6" s="3206"/>
      <c r="D6" s="3199" t="s">
        <v>117</v>
      </c>
      <c r="E6" s="3200"/>
      <c r="F6" s="565" t="s">
        <v>4</v>
      </c>
      <c r="G6" s="929" t="str">
        <f>'XM.GUI MAIL'!$E$99</f>
        <v>5~6</v>
      </c>
      <c r="H6" s="2427" t="str">
        <f>'XM.GUI MAIL'!$F$99</f>
        <v>(5.5± 0.5)</v>
      </c>
      <c r="I6" s="2438">
        <f>'XM.GUI MAIL'!I99</f>
        <v>5.59</v>
      </c>
      <c r="J6" s="845" t="s">
        <v>8</v>
      </c>
      <c r="K6" s="846">
        <f>'XM.GUI MAIL'!L99</f>
        <v>0</v>
      </c>
      <c r="L6" s="70" t="s">
        <v>9</v>
      </c>
      <c r="M6" s="56">
        <f>'XM.GUI MAIL'!P99</f>
        <v>5.3950000000000005</v>
      </c>
      <c r="N6" s="845" t="s">
        <v>8</v>
      </c>
      <c r="O6" s="846">
        <f>'XM.GUI MAIL'!S99</f>
        <v>0.83999999999999642</v>
      </c>
      <c r="P6" s="70" t="s">
        <v>9</v>
      </c>
      <c r="Q6" s="56">
        <f>'XM.GUI MAIL'!W99</f>
        <v>5.4600000000000009</v>
      </c>
      <c r="R6" s="2210" t="s">
        <v>8</v>
      </c>
      <c r="S6" s="2211">
        <f>'XM.GUI MAIL'!Z99</f>
        <v>0.31999999999999318</v>
      </c>
      <c r="T6" s="68" t="s">
        <v>9</v>
      </c>
    </row>
    <row r="7" spans="1:20" ht="36.75" customHeight="1">
      <c r="A7" s="1539">
        <v>2</v>
      </c>
      <c r="B7" s="3207"/>
      <c r="C7" s="3208"/>
      <c r="D7" s="3199" t="s">
        <v>101</v>
      </c>
      <c r="E7" s="3200"/>
      <c r="F7" s="565" t="s">
        <v>4</v>
      </c>
      <c r="G7" s="929" t="str">
        <f>'XM.GUI MAIL'!$E$100</f>
        <v>130~140</v>
      </c>
      <c r="H7" s="2427" t="str">
        <f>'XM.GUI MAIL'!$F$100</f>
        <v>(135 ± 5)</v>
      </c>
      <c r="I7" s="2438">
        <f>'XM.GUI MAIL'!I100</f>
        <v>134</v>
      </c>
      <c r="J7" s="845" t="s">
        <v>8</v>
      </c>
      <c r="K7" s="846">
        <f>'XM.GUI MAIL'!L100</f>
        <v>8</v>
      </c>
      <c r="L7" s="70" t="s">
        <v>989</v>
      </c>
      <c r="M7" s="56">
        <f>'XM.GUI MAIL'!P100</f>
        <v>136</v>
      </c>
      <c r="N7" s="845" t="s">
        <v>8</v>
      </c>
      <c r="O7" s="846">
        <f>'XM.GUI MAIL'!S100</f>
        <v>0</v>
      </c>
      <c r="P7" s="70" t="s">
        <v>989</v>
      </c>
      <c r="Q7" s="56">
        <f>'XM.GUI MAIL'!W100</f>
        <v>135.6</v>
      </c>
      <c r="R7" s="2210" t="s">
        <v>8</v>
      </c>
      <c r="S7" s="2211">
        <f>'XM.GUI MAIL'!Z100</f>
        <v>0</v>
      </c>
      <c r="T7" s="68" t="s">
        <v>993</v>
      </c>
    </row>
    <row r="8" spans="1:20" ht="36.75" customHeight="1">
      <c r="A8" s="1539">
        <v>3</v>
      </c>
      <c r="B8" s="3194" t="s">
        <v>124</v>
      </c>
      <c r="C8" s="3169"/>
      <c r="D8" s="3199" t="s">
        <v>5</v>
      </c>
      <c r="E8" s="3200"/>
      <c r="F8" s="80" t="s">
        <v>5</v>
      </c>
      <c r="G8" s="929" t="str">
        <f>'XM.GUI MAIL'!$E$101</f>
        <v>3.0-4.5</v>
      </c>
      <c r="H8" s="2427" t="str">
        <f>'XM.GUI MAIL'!$F$101</f>
        <v>(4.3±0.2)</v>
      </c>
      <c r="I8" s="2453">
        <f>'XM.GUI MAIL'!I101</f>
        <v>4.0999999999999996</v>
      </c>
      <c r="J8" s="845" t="s">
        <v>8</v>
      </c>
      <c r="K8" s="846"/>
      <c r="L8" s="70"/>
      <c r="M8" s="62">
        <f>'XM.GUI MAIL'!P101</f>
        <v>4.0999999999999996</v>
      </c>
      <c r="N8" s="845" t="s">
        <v>8</v>
      </c>
      <c r="O8" s="846"/>
      <c r="P8" s="70"/>
      <c r="Q8" s="62">
        <f>'XM.GUI MAIL'!W101</f>
        <v>4.0999999999999996</v>
      </c>
      <c r="R8" s="2210" t="s">
        <v>8</v>
      </c>
      <c r="S8" s="2211"/>
      <c r="T8" s="68"/>
    </row>
    <row r="9" spans="1:20" ht="41.25" customHeight="1">
      <c r="A9" s="1528"/>
      <c r="B9" s="3216" t="s">
        <v>2</v>
      </c>
      <c r="C9" s="3216"/>
      <c r="D9" s="3216"/>
      <c r="E9" s="3216"/>
      <c r="F9" s="3216"/>
      <c r="G9" s="3216"/>
      <c r="H9" s="3216"/>
      <c r="I9" s="3216"/>
      <c r="J9" s="3216"/>
      <c r="K9" s="3216"/>
      <c r="L9" s="3216"/>
      <c r="M9" s="3216"/>
      <c r="N9" s="3216"/>
      <c r="O9" s="3216"/>
      <c r="P9" s="3216"/>
      <c r="Q9" s="3216"/>
      <c r="R9" s="3216"/>
      <c r="S9" s="3216"/>
      <c r="T9" s="3216"/>
    </row>
    <row r="10" spans="1:20" ht="62.25" customHeight="1">
      <c r="A10" s="1528" t="s">
        <v>7</v>
      </c>
      <c r="B10" s="3013" t="s">
        <v>21</v>
      </c>
      <c r="C10" s="3014"/>
      <c r="D10" s="3014"/>
      <c r="E10" s="3015"/>
      <c r="F10" s="78" t="s">
        <v>22</v>
      </c>
      <c r="G10" s="1010" t="s">
        <v>1325</v>
      </c>
      <c r="H10" s="2429" t="s">
        <v>1317</v>
      </c>
      <c r="I10" s="3168" t="s">
        <v>24</v>
      </c>
      <c r="J10" s="3169"/>
      <c r="K10" s="3194" t="s">
        <v>25</v>
      </c>
      <c r="L10" s="3169"/>
      <c r="M10" s="3194" t="s">
        <v>24</v>
      </c>
      <c r="N10" s="3169"/>
      <c r="O10" s="3194" t="s">
        <v>25</v>
      </c>
      <c r="P10" s="3169"/>
      <c r="Q10" s="3212" t="s">
        <v>24</v>
      </c>
      <c r="R10" s="3212"/>
      <c r="S10" s="3212" t="s">
        <v>25</v>
      </c>
      <c r="T10" s="3212"/>
    </row>
    <row r="11" spans="1:20" ht="43.5" customHeight="1">
      <c r="A11" s="80">
        <v>4</v>
      </c>
      <c r="B11" s="3194" t="s">
        <v>118</v>
      </c>
      <c r="C11" s="3168"/>
      <c r="D11" s="3168"/>
      <c r="E11" s="3169"/>
      <c r="F11" s="11" t="s">
        <v>26</v>
      </c>
      <c r="G11" s="1045" t="str">
        <f>'XM.GUI MAIL'!$E$116</f>
        <v>24~28</v>
      </c>
      <c r="H11" s="2431" t="str">
        <f>'XM.GUI MAIL'!$F$116</f>
        <v>(26±2)</v>
      </c>
      <c r="I11" s="3088">
        <f>'XM.GUI MAIL'!I116</f>
        <v>26</v>
      </c>
      <c r="J11" s="3088"/>
      <c r="K11" s="3016">
        <f>'XM.GUI MAIL'!L116</f>
        <v>25</v>
      </c>
      <c r="L11" s="3088"/>
      <c r="M11" s="3016">
        <f>'XM.GUI MAIL'!P116</f>
        <v>25</v>
      </c>
      <c r="N11" s="3088"/>
      <c r="O11" s="3016">
        <f>'XM.GUI MAIL'!S116</f>
        <v>25</v>
      </c>
      <c r="P11" s="3088"/>
      <c r="Q11" s="2969">
        <f>'XM.GUI MAIL'!W116</f>
        <v>26</v>
      </c>
      <c r="R11" s="2969"/>
      <c r="S11" s="2969">
        <f>'XM.GUI MAIL'!Z116</f>
        <v>26</v>
      </c>
      <c r="T11" s="2969"/>
    </row>
    <row r="12" spans="1:20" ht="43.5" customHeight="1">
      <c r="A12" s="80">
        <v>5</v>
      </c>
      <c r="B12" s="3194" t="s">
        <v>1306</v>
      </c>
      <c r="C12" s="3168"/>
      <c r="D12" s="3168"/>
      <c r="E12" s="3169"/>
      <c r="F12" s="11" t="s">
        <v>26</v>
      </c>
      <c r="G12" s="1045" t="str">
        <f>'XM.GUI MAIL'!$E$117</f>
        <v>20~30</v>
      </c>
      <c r="H12" s="2431" t="str">
        <f>'XM.GUI MAIL'!$F$117</f>
        <v>(25±5)</v>
      </c>
      <c r="I12" s="3088">
        <f>'XM.GUI MAIL'!I117</f>
        <v>28</v>
      </c>
      <c r="J12" s="3088"/>
      <c r="K12" s="3016">
        <f>'XM.GUI MAIL'!L117</f>
        <v>28</v>
      </c>
      <c r="L12" s="3088"/>
      <c r="M12" s="3016">
        <f>'XM.GUI MAIL'!P117</f>
        <v>29</v>
      </c>
      <c r="N12" s="3088"/>
      <c r="O12" s="3016">
        <f>'XM.GUI MAIL'!S117</f>
        <v>28</v>
      </c>
      <c r="P12" s="3088"/>
      <c r="Q12" s="2969">
        <f>'XM.GUI MAIL'!W117</f>
        <v>29</v>
      </c>
      <c r="R12" s="2969"/>
      <c r="S12" s="2969">
        <f>'XM.GUI MAIL'!Z117</f>
        <v>28</v>
      </c>
      <c r="T12" s="2969"/>
    </row>
    <row r="13" spans="1:20" ht="21" customHeight="1">
      <c r="B13" s="8"/>
      <c r="C13" s="8"/>
      <c r="D13" s="8"/>
      <c r="E13" s="8"/>
      <c r="F13" s="8"/>
      <c r="G13" s="8"/>
      <c r="H13" s="8"/>
      <c r="I13" s="8"/>
      <c r="J13" s="8"/>
      <c r="K13" s="8"/>
      <c r="L13" s="8"/>
      <c r="M13" s="8"/>
      <c r="N13" s="8"/>
      <c r="O13" s="8"/>
      <c r="P13" s="8"/>
      <c r="Q13" s="8"/>
      <c r="R13" s="8"/>
      <c r="S13" s="8"/>
      <c r="T13" s="8"/>
    </row>
    <row r="14" spans="1:20" ht="18" customHeight="1">
      <c r="A14" s="2214"/>
      <c r="B14" s="2215"/>
      <c r="C14" s="2215"/>
      <c r="D14" s="2215"/>
      <c r="E14" s="2215"/>
      <c r="F14" s="2216"/>
      <c r="G14" s="2217"/>
      <c r="H14" s="2217"/>
      <c r="I14" s="2215"/>
      <c r="J14" s="2215"/>
      <c r="K14" s="2215"/>
      <c r="L14" s="2215"/>
      <c r="M14" s="2215"/>
      <c r="N14" s="2215"/>
      <c r="O14" s="2215"/>
      <c r="P14" s="2215"/>
      <c r="Q14" s="2215"/>
      <c r="R14" s="2215"/>
      <c r="S14" s="2215"/>
      <c r="T14" s="2215"/>
    </row>
    <row r="15" spans="1:20" ht="39" customHeight="1">
      <c r="A15" s="3211" t="s">
        <v>1472</v>
      </c>
      <c r="B15" s="3211"/>
      <c r="C15" s="3211"/>
      <c r="D15" s="3211"/>
      <c r="E15" s="3211"/>
      <c r="F15" s="3211"/>
      <c r="G15" s="3211"/>
      <c r="H15" s="3211"/>
      <c r="I15" s="3211"/>
      <c r="J15" s="3211"/>
      <c r="K15" s="3211"/>
      <c r="L15" s="3211"/>
      <c r="M15" s="3211"/>
      <c r="N15" s="3211"/>
      <c r="O15" s="3211"/>
      <c r="P15" s="3211"/>
      <c r="Q15" s="3211"/>
      <c r="R15" s="3211"/>
      <c r="S15" s="3211"/>
      <c r="T15" s="3211"/>
    </row>
    <row r="16" spans="1:20" ht="24" customHeight="1"/>
    <row r="17" spans="1:20" ht="36" customHeight="1">
      <c r="A17" s="3170" t="s">
        <v>7</v>
      </c>
      <c r="B17" s="2877" t="s">
        <v>77</v>
      </c>
      <c r="C17" s="2878"/>
      <c r="D17" s="2878"/>
      <c r="E17" s="2879"/>
      <c r="F17" s="3135" t="s">
        <v>125</v>
      </c>
      <c r="G17" s="2922" t="s">
        <v>1325</v>
      </c>
      <c r="H17" s="3209" t="s">
        <v>1317</v>
      </c>
      <c r="I17" s="2903">
        <v>0.30208333333333331</v>
      </c>
      <c r="J17" s="2904"/>
      <c r="K17" s="2904"/>
      <c r="L17" s="2905"/>
      <c r="M17" s="2903">
        <v>0.46875</v>
      </c>
      <c r="N17" s="2904"/>
      <c r="O17" s="2904"/>
      <c r="P17" s="2905"/>
      <c r="Q17" s="2903">
        <v>0.63541666666666663</v>
      </c>
      <c r="R17" s="2904"/>
      <c r="S17" s="2904"/>
      <c r="T17" s="2905"/>
    </row>
    <row r="18" spans="1:20" ht="60.75" customHeight="1">
      <c r="A18" s="3170"/>
      <c r="B18" s="2880"/>
      <c r="C18" s="2881"/>
      <c r="D18" s="2881"/>
      <c r="E18" s="2882"/>
      <c r="F18" s="3136"/>
      <c r="G18" s="2923"/>
      <c r="H18" s="3210"/>
      <c r="I18" s="3195" t="s">
        <v>1468</v>
      </c>
      <c r="J18" s="3196"/>
      <c r="K18" s="3197" t="s">
        <v>1385</v>
      </c>
      <c r="L18" s="3198"/>
      <c r="M18" s="3195" t="s">
        <v>1468</v>
      </c>
      <c r="N18" s="3196"/>
      <c r="O18" s="3197" t="s">
        <v>1385</v>
      </c>
      <c r="P18" s="3198"/>
      <c r="Q18" s="3195" t="s">
        <v>1468</v>
      </c>
      <c r="R18" s="3196"/>
      <c r="S18" s="3197" t="s">
        <v>1385</v>
      </c>
      <c r="T18" s="3198"/>
    </row>
    <row r="19" spans="1:20" ht="54" customHeight="1">
      <c r="A19" s="1539">
        <v>1</v>
      </c>
      <c r="B19" s="3205" t="s">
        <v>123</v>
      </c>
      <c r="C19" s="3206"/>
      <c r="D19" s="3199" t="s">
        <v>117</v>
      </c>
      <c r="E19" s="3200"/>
      <c r="F19" s="565" t="s">
        <v>4</v>
      </c>
      <c r="G19" s="929" t="str">
        <f>'XM.GUI MAIL'!$E$99</f>
        <v>5~6</v>
      </c>
      <c r="H19" s="929" t="str">
        <f>'XM.GUI MAIL'!$F$99</f>
        <v>(5.5± 0.5)</v>
      </c>
      <c r="I19" s="2173"/>
      <c r="J19" s="1923" t="s">
        <v>9</v>
      </c>
      <c r="K19" s="1924"/>
      <c r="L19" s="1925" t="s">
        <v>4</v>
      </c>
      <c r="M19" s="2173"/>
      <c r="N19" s="1923" t="s">
        <v>9</v>
      </c>
      <c r="O19" s="1924"/>
      <c r="P19" s="1925" t="s">
        <v>4</v>
      </c>
      <c r="Q19" s="2173"/>
      <c r="R19" s="1923" t="s">
        <v>9</v>
      </c>
      <c r="S19" s="1924"/>
      <c r="T19" s="1925" t="s">
        <v>4</v>
      </c>
    </row>
    <row r="20" spans="1:20" ht="54" customHeight="1">
      <c r="A20" s="1539">
        <v>2</v>
      </c>
      <c r="B20" s="3207"/>
      <c r="C20" s="3208"/>
      <c r="D20" s="3199" t="s">
        <v>101</v>
      </c>
      <c r="E20" s="3200"/>
      <c r="F20" s="565" t="s">
        <v>4</v>
      </c>
      <c r="G20" s="929" t="str">
        <f>'XM.GUI MAIL'!$E$100</f>
        <v>130~140</v>
      </c>
      <c r="H20" s="929" t="str">
        <f>'XM.GUI MAIL'!$F$100</f>
        <v>(135 ± 5)</v>
      </c>
      <c r="I20" s="2173"/>
      <c r="J20" s="1923" t="s">
        <v>989</v>
      </c>
      <c r="K20" s="1924"/>
      <c r="L20" s="1925" t="s">
        <v>4</v>
      </c>
      <c r="M20" s="2173"/>
      <c r="N20" s="1923" t="s">
        <v>989</v>
      </c>
      <c r="O20" s="1924"/>
      <c r="P20" s="1925" t="s">
        <v>4</v>
      </c>
      <c r="Q20" s="2173"/>
      <c r="R20" s="1923" t="s">
        <v>989</v>
      </c>
      <c r="S20" s="1924"/>
      <c r="T20" s="1925" t="s">
        <v>4</v>
      </c>
    </row>
    <row r="21" spans="1:20" ht="54" customHeight="1">
      <c r="A21" s="1539">
        <v>3</v>
      </c>
      <c r="B21" s="3194" t="s">
        <v>124</v>
      </c>
      <c r="C21" s="3169"/>
      <c r="D21" s="3199" t="s">
        <v>5</v>
      </c>
      <c r="E21" s="3200"/>
      <c r="F21" s="80" t="s">
        <v>5</v>
      </c>
      <c r="G21" s="929" t="str">
        <f>'XM.GUI MAIL'!$E$101</f>
        <v>3.0-4.5</v>
      </c>
      <c r="H21" s="929" t="str">
        <f>'XM.GUI MAIL'!$F$101</f>
        <v>(4.3±0.2)</v>
      </c>
      <c r="I21" s="2173"/>
      <c r="J21" s="1924"/>
      <c r="K21" s="1924"/>
      <c r="L21" s="1921" t="s">
        <v>5</v>
      </c>
      <c r="M21" s="2173"/>
      <c r="N21" s="1924"/>
      <c r="O21" s="1924"/>
      <c r="P21" s="1921" t="s">
        <v>5</v>
      </c>
      <c r="Q21" s="2173"/>
      <c r="R21" s="1924"/>
      <c r="S21" s="1924"/>
      <c r="T21" s="1921" t="s">
        <v>5</v>
      </c>
    </row>
    <row r="22" spans="1:20" ht="36" customHeight="1"/>
  </sheetData>
  <sheetProtection selectLockedCells="1"/>
  <mergeCells count="65">
    <mergeCell ref="Q10:R10"/>
    <mergeCell ref="S10:T10"/>
    <mergeCell ref="Q11:R11"/>
    <mergeCell ref="A1:P1"/>
    <mergeCell ref="A2:P2"/>
    <mergeCell ref="M10:N10"/>
    <mergeCell ref="O10:P10"/>
    <mergeCell ref="M11:N11"/>
    <mergeCell ref="O11:P11"/>
    <mergeCell ref="B3:C3"/>
    <mergeCell ref="D7:E7"/>
    <mergeCell ref="B8:C8"/>
    <mergeCell ref="D8:E8"/>
    <mergeCell ref="B6:C7"/>
    <mergeCell ref="D6:E6"/>
    <mergeCell ref="B9:T9"/>
    <mergeCell ref="B10:E10"/>
    <mergeCell ref="I10:J10"/>
    <mergeCell ref="K10:L10"/>
    <mergeCell ref="B19:C20"/>
    <mergeCell ref="D19:E19"/>
    <mergeCell ref="D20:E20"/>
    <mergeCell ref="F17:F18"/>
    <mergeCell ref="G17:G18"/>
    <mergeCell ref="H17:H18"/>
    <mergeCell ref="B12:E12"/>
    <mergeCell ref="B11:E11"/>
    <mergeCell ref="I11:J11"/>
    <mergeCell ref="K11:L11"/>
    <mergeCell ref="K18:L18"/>
    <mergeCell ref="I17:L17"/>
    <mergeCell ref="A15:T15"/>
    <mergeCell ref="B21:C21"/>
    <mergeCell ref="D21:E21"/>
    <mergeCell ref="Q2:R2"/>
    <mergeCell ref="Q3:R3"/>
    <mergeCell ref="S2:T2"/>
    <mergeCell ref="S3:T3"/>
    <mergeCell ref="Q4:T4"/>
    <mergeCell ref="J5:L5"/>
    <mergeCell ref="R5:T5"/>
    <mergeCell ref="I4:L4"/>
    <mergeCell ref="M4:P4"/>
    <mergeCell ref="N5:P5"/>
    <mergeCell ref="I18:J18"/>
    <mergeCell ref="S18:T18"/>
    <mergeCell ref="Q18:R18"/>
    <mergeCell ref="Q17:T17"/>
    <mergeCell ref="A4:A5"/>
    <mergeCell ref="B4:E5"/>
    <mergeCell ref="F4:F5"/>
    <mergeCell ref="G4:G5"/>
    <mergeCell ref="H4:H5"/>
    <mergeCell ref="A17:A18"/>
    <mergeCell ref="B17:E18"/>
    <mergeCell ref="M17:P17"/>
    <mergeCell ref="M18:N18"/>
    <mergeCell ref="O18:P18"/>
    <mergeCell ref="S11:T11"/>
    <mergeCell ref="I12:J12"/>
    <mergeCell ref="K12:L12"/>
    <mergeCell ref="Q12:R12"/>
    <mergeCell ref="S12:T12"/>
    <mergeCell ref="M12:N12"/>
    <mergeCell ref="O12:P12"/>
  </mergeCells>
  <conditionalFormatting sqref="I6 Q6 M6">
    <cfRule type="expression" dxfId="2136" priority="169" stopIfTrue="1">
      <formula>I6&gt;6</formula>
    </cfRule>
    <cfRule type="expression" dxfId="2135" priority="170" stopIfTrue="1">
      <formula>I6&lt;5</formula>
    </cfRule>
  </conditionalFormatting>
  <conditionalFormatting sqref="I7 Q7 M7">
    <cfRule type="expression" dxfId="2134" priority="165" stopIfTrue="1">
      <formula>I7&gt;140</formula>
    </cfRule>
    <cfRule type="expression" dxfId="2133" priority="166" stopIfTrue="1">
      <formula>I7&lt;130</formula>
    </cfRule>
  </conditionalFormatting>
  <conditionalFormatting sqref="I8 Q8 M8">
    <cfRule type="expression" dxfId="2132" priority="161" stopIfTrue="1">
      <formula>I8&gt;4.5</formula>
    </cfRule>
    <cfRule type="expression" dxfId="2131" priority="162" stopIfTrue="1">
      <formula>I8&lt;3</formula>
    </cfRule>
  </conditionalFormatting>
  <conditionalFormatting sqref="K12 Q12 S12 I12">
    <cfRule type="expression" dxfId="2130" priority="139">
      <formula>I12&lt;20</formula>
    </cfRule>
    <cfRule type="expression" dxfId="2129" priority="140">
      <formula>I12&gt;30</formula>
    </cfRule>
  </conditionalFormatting>
  <conditionalFormatting sqref="I11 K11 Q11 S11 M11 O11">
    <cfRule type="expression" dxfId="2128" priority="137">
      <formula>I11&lt;24</formula>
    </cfRule>
    <cfRule type="expression" dxfId="2127" priority="138">
      <formula>I11&gt;28</formula>
    </cfRule>
  </conditionalFormatting>
  <conditionalFormatting sqref="O12 M12">
    <cfRule type="expression" dxfId="2126" priority="5">
      <formula>M12&lt;20</formula>
    </cfRule>
    <cfRule type="expression" dxfId="2125" priority="6">
      <formula>M12&gt;30</formula>
    </cfRule>
  </conditionalFormatting>
  <pageMargins left="0.62" right="0" top="0.46"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3.xml><?xml version="1.0" encoding="utf-8"?>
<worksheet xmlns="http://schemas.openxmlformats.org/spreadsheetml/2006/main" xmlns:r="http://schemas.openxmlformats.org/officeDocument/2006/relationships">
  <sheetPr>
    <tabColor theme="5" tint="0.39997558519241921"/>
  </sheetPr>
  <dimension ref="A1:AM39"/>
  <sheetViews>
    <sheetView zoomScale="55" zoomScaleNormal="55" zoomScaleSheetLayoutView="40" workbookViewId="0">
      <selection activeCell="F19" sqref="F19"/>
    </sheetView>
  </sheetViews>
  <sheetFormatPr defaultRowHeight="15"/>
  <cols>
    <col min="1" max="1" width="3.75" style="15" customWidth="1"/>
    <col min="2" max="2" width="6" style="15" customWidth="1"/>
    <col min="3" max="3" width="5.12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8.5" style="15" customWidth="1"/>
    <col min="18" max="18" width="4" style="15" customWidth="1"/>
    <col min="19" max="19" width="8.5" style="15" customWidth="1"/>
    <col min="20" max="20" width="5.625" style="15" customWidth="1"/>
    <col min="21" max="21" width="13.5" style="15" customWidth="1"/>
    <col min="22" max="22" width="3.75" style="15" customWidth="1"/>
    <col min="23" max="23" width="5.125" style="15" customWidth="1"/>
    <col min="24" max="24" width="9" style="15"/>
    <col min="25" max="25" width="3.75" style="15" customWidth="1"/>
    <col min="26" max="26" width="9" style="15"/>
    <col min="27" max="27" width="9.875" style="15" customWidth="1"/>
    <col min="28" max="28" width="12.75" style="15" customWidth="1"/>
    <col min="29" max="29" width="6.25" style="15" customWidth="1"/>
    <col min="30" max="30" width="11.25" style="15" customWidth="1"/>
    <col min="31" max="31" width="6.625" style="15" customWidth="1"/>
    <col min="32" max="32" width="13" style="15" customWidth="1"/>
    <col min="33" max="33" width="6" style="15" customWidth="1"/>
    <col min="34" max="34" width="11.625" style="15" customWidth="1"/>
    <col min="35" max="35" width="6.875" style="15" customWidth="1"/>
    <col min="36" max="36" width="12.75" style="15" customWidth="1"/>
    <col min="37" max="37" width="6.625" style="15" customWidth="1"/>
    <col min="38" max="38" width="9.375" style="15" customWidth="1"/>
    <col min="39" max="39" width="6.375" style="15" customWidth="1"/>
    <col min="40" max="16384" width="9" style="15"/>
  </cols>
  <sheetData>
    <row r="1" spans="1:39" ht="25.5" customHeight="1">
      <c r="A1" s="3130" t="s">
        <v>568</v>
      </c>
      <c r="B1" s="3130"/>
      <c r="C1" s="3130"/>
      <c r="D1" s="3130"/>
      <c r="E1" s="3130"/>
      <c r="F1" s="3130"/>
      <c r="G1" s="3130"/>
      <c r="H1" s="3130"/>
      <c r="I1" s="3130"/>
      <c r="J1" s="3130"/>
      <c r="K1" s="3130"/>
      <c r="L1" s="3130"/>
      <c r="M1" s="3130"/>
      <c r="N1" s="3130"/>
      <c r="O1" s="3130"/>
      <c r="P1" s="3130"/>
      <c r="Q1" s="3130"/>
      <c r="R1" s="3130"/>
      <c r="S1" s="1048"/>
      <c r="T1" s="1048"/>
      <c r="U1" s="1533" t="s">
        <v>1376</v>
      </c>
      <c r="W1" s="1530"/>
      <c r="X1" s="1530"/>
      <c r="Y1" s="1530"/>
      <c r="Z1" s="1530"/>
      <c r="AA1" s="1530"/>
      <c r="AB1" s="1530"/>
      <c r="AC1" s="1530"/>
      <c r="AD1" s="1530"/>
      <c r="AE1" s="1530"/>
      <c r="AF1" s="1530"/>
      <c r="AG1" s="1530"/>
      <c r="AH1" s="1530"/>
      <c r="AI1" s="1530"/>
      <c r="AJ1" s="1530"/>
      <c r="AK1" s="1530"/>
      <c r="AL1" s="1530"/>
      <c r="AM1" s="1535" t="s">
        <v>1377</v>
      </c>
    </row>
    <row r="2" spans="1:39" ht="43.5" customHeight="1">
      <c r="A2" s="2865" t="s">
        <v>220</v>
      </c>
      <c r="B2" s="2865"/>
      <c r="C2" s="2865"/>
      <c r="D2" s="2865"/>
      <c r="E2" s="2865"/>
      <c r="F2" s="2865"/>
      <c r="G2" s="2865"/>
      <c r="H2" s="2865"/>
      <c r="I2" s="2865"/>
      <c r="J2" s="2865"/>
      <c r="K2" s="2865"/>
      <c r="L2" s="2865"/>
      <c r="M2" s="2865"/>
      <c r="N2" s="2865"/>
      <c r="O2" s="2865"/>
      <c r="P2" s="2865"/>
      <c r="Q2" s="2865"/>
      <c r="R2" s="2866"/>
      <c r="S2" s="2863" t="s">
        <v>89</v>
      </c>
      <c r="T2" s="2864"/>
      <c r="U2" s="1527" t="s">
        <v>1371</v>
      </c>
      <c r="W2" s="1529"/>
      <c r="X2" s="1529"/>
      <c r="Y2" s="1529"/>
      <c r="Z2" s="1529"/>
      <c r="AA2" s="1529"/>
      <c r="AB2" s="1596"/>
      <c r="AC2" s="1596"/>
      <c r="AD2" s="1596"/>
      <c r="AE2" s="1596"/>
      <c r="AF2" s="1529"/>
      <c r="AG2" s="1529"/>
      <c r="AH2" s="1529"/>
      <c r="AI2" s="1529"/>
      <c r="AJ2" s="1529"/>
      <c r="AK2" s="1529"/>
      <c r="AL2" s="1529"/>
      <c r="AM2" s="1529"/>
    </row>
    <row r="3" spans="1:39" ht="27" customHeight="1">
      <c r="B3" s="1498" t="s">
        <v>216</v>
      </c>
      <c r="C3" s="1499"/>
      <c r="D3" s="1469"/>
      <c r="E3" s="3141" t="str">
        <f>MENU!$AC$9</f>
        <v>Thứ 3,</v>
      </c>
      <c r="F3" s="3141"/>
      <c r="G3" s="3140" t="str">
        <f>MENU!$AD$9</f>
        <v>2024/01/09</v>
      </c>
      <c r="H3" s="3140"/>
      <c r="I3" s="3132"/>
      <c r="J3" s="3132"/>
      <c r="K3" s="3132"/>
      <c r="L3" s="3132"/>
      <c r="M3" s="1521"/>
      <c r="N3" s="1521"/>
      <c r="O3" s="1521"/>
      <c r="P3" s="1521"/>
      <c r="Q3" s="1521"/>
      <c r="R3" s="1521"/>
      <c r="S3" s="2854" t="str">
        <f>MENU!AE7</f>
        <v>L.Yen</v>
      </c>
      <c r="T3" s="2855"/>
      <c r="U3" s="1512"/>
      <c r="X3" s="1498" t="s">
        <v>216</v>
      </c>
      <c r="Y3" s="1499"/>
      <c r="Z3" s="1469"/>
      <c r="AA3" s="1930" t="str">
        <f>MENU!$AC$9</f>
        <v>Thứ 3,</v>
      </c>
      <c r="AB3" s="3140" t="str">
        <f>MENU!$AD$9</f>
        <v>2024/01/09</v>
      </c>
      <c r="AC3" s="3140"/>
      <c r="AD3" s="1532"/>
      <c r="AE3" s="1532"/>
      <c r="AF3" s="1532"/>
      <c r="AG3" s="1532"/>
      <c r="AH3" s="1532"/>
      <c r="AI3" s="1532"/>
      <c r="AJ3" s="1532"/>
      <c r="AK3" s="1532"/>
      <c r="AL3" s="1532"/>
      <c r="AM3" s="1468"/>
    </row>
    <row r="4" spans="1:39" s="16" customFormat="1" ht="30.75" customHeight="1">
      <c r="A4" s="3118" t="s">
        <v>7</v>
      </c>
      <c r="B4" s="2877" t="s">
        <v>77</v>
      </c>
      <c r="C4" s="2878"/>
      <c r="D4" s="2878"/>
      <c r="E4" s="2879"/>
      <c r="F4" s="3135" t="s">
        <v>125</v>
      </c>
      <c r="G4" s="2922" t="s">
        <v>1325</v>
      </c>
      <c r="H4" s="2920" t="s">
        <v>1317</v>
      </c>
      <c r="I4" s="2937">
        <v>0.80208333333333337</v>
      </c>
      <c r="J4" s="2904"/>
      <c r="K4" s="2904"/>
      <c r="L4" s="2905"/>
      <c r="M4" s="2903">
        <v>0.96875</v>
      </c>
      <c r="N4" s="2904"/>
      <c r="O4" s="2904"/>
      <c r="P4" s="2905"/>
      <c r="Q4" s="2903">
        <v>0.13541666666666666</v>
      </c>
      <c r="R4" s="2904"/>
      <c r="S4" s="2904"/>
      <c r="T4" s="2905"/>
      <c r="U4" s="1515" t="s">
        <v>91</v>
      </c>
      <c r="W4" s="3118" t="s">
        <v>7</v>
      </c>
      <c r="X4" s="2877" t="s">
        <v>77</v>
      </c>
      <c r="Y4" s="2878"/>
      <c r="Z4" s="2878"/>
      <c r="AA4" s="2879"/>
      <c r="AB4" s="2903">
        <v>0.80208333333333337</v>
      </c>
      <c r="AC4" s="2937"/>
      <c r="AD4" s="2937"/>
      <c r="AE4" s="3105"/>
      <c r="AF4" s="2903">
        <v>0.96875</v>
      </c>
      <c r="AG4" s="2937"/>
      <c r="AH4" s="2937"/>
      <c r="AI4" s="3105"/>
      <c r="AJ4" s="2903">
        <v>0.13541666666666666</v>
      </c>
      <c r="AK4" s="2937"/>
      <c r="AL4" s="2937"/>
      <c r="AM4" s="3105"/>
    </row>
    <row r="5" spans="1:39" s="16" customFormat="1" ht="30.75" customHeight="1">
      <c r="A5" s="3119"/>
      <c r="B5" s="2880"/>
      <c r="C5" s="2881"/>
      <c r="D5" s="2881"/>
      <c r="E5" s="2882"/>
      <c r="F5" s="3136"/>
      <c r="G5" s="2923"/>
      <c r="H5" s="2921"/>
      <c r="I5" s="2448" t="s">
        <v>130</v>
      </c>
      <c r="J5" s="2909" t="s">
        <v>1</v>
      </c>
      <c r="K5" s="2910"/>
      <c r="L5" s="2911"/>
      <c r="M5" s="55" t="s">
        <v>130</v>
      </c>
      <c r="N5" s="2909" t="s">
        <v>1</v>
      </c>
      <c r="O5" s="2910"/>
      <c r="P5" s="2911"/>
      <c r="Q5" s="55" t="s">
        <v>130</v>
      </c>
      <c r="R5" s="2909" t="s">
        <v>1</v>
      </c>
      <c r="S5" s="2910"/>
      <c r="T5" s="2911"/>
      <c r="U5" s="4" t="s">
        <v>92</v>
      </c>
      <c r="W5" s="3119"/>
      <c r="X5" s="2880"/>
      <c r="Y5" s="2881"/>
      <c r="Z5" s="2881"/>
      <c r="AA5" s="2882"/>
      <c r="AB5" s="3108" t="s">
        <v>1468</v>
      </c>
      <c r="AC5" s="3109"/>
      <c r="AD5" s="3107" t="s">
        <v>1501</v>
      </c>
      <c r="AE5" s="2905"/>
      <c r="AF5" s="3108" t="s">
        <v>1468</v>
      </c>
      <c r="AG5" s="3109"/>
      <c r="AH5" s="3107" t="s">
        <v>1501</v>
      </c>
      <c r="AI5" s="2905"/>
      <c r="AJ5" s="3108" t="s">
        <v>1468</v>
      </c>
      <c r="AK5" s="3109"/>
      <c r="AL5" s="3107" t="s">
        <v>1501</v>
      </c>
      <c r="AM5" s="2905"/>
    </row>
    <row r="6" spans="1:39" ht="32.25" customHeight="1">
      <c r="A6" s="3118">
        <v>1</v>
      </c>
      <c r="B6" s="2877" t="s">
        <v>132</v>
      </c>
      <c r="C6" s="3121"/>
      <c r="D6" s="3126" t="s">
        <v>101</v>
      </c>
      <c r="E6" s="3127"/>
      <c r="F6" s="1511" t="s">
        <v>4</v>
      </c>
      <c r="G6" s="929" t="str">
        <f>'XM.GUI MAIL'!$E$6</f>
        <v>20~40</v>
      </c>
      <c r="H6" s="2427" t="str">
        <f>'XM.GUI MAIL'!$F$6</f>
        <v>(30±5)</v>
      </c>
      <c r="I6" s="2415">
        <f>'XM.GUI MAIL'!AD6</f>
        <v>0</v>
      </c>
      <c r="J6" s="1480" t="s">
        <v>8</v>
      </c>
      <c r="K6" s="1481">
        <f>'XM.GUI MAIL'!AG6</f>
        <v>0</v>
      </c>
      <c r="L6" s="1482" t="s">
        <v>9</v>
      </c>
      <c r="M6" s="1501">
        <f>'XM.GUI MAIL'!AK6</f>
        <v>0</v>
      </c>
      <c r="N6" s="1480" t="s">
        <v>8</v>
      </c>
      <c r="O6" s="1481">
        <f>'XM.GUI MAIL'!AN6</f>
        <v>0</v>
      </c>
      <c r="P6" s="1482" t="s">
        <v>9</v>
      </c>
      <c r="Q6" s="1501">
        <f>'XM.GUI MAIL'!AR6</f>
        <v>0</v>
      </c>
      <c r="R6" s="1480" t="s">
        <v>8</v>
      </c>
      <c r="S6" s="1481">
        <f>'XM.GUI MAIL'!AU6</f>
        <v>0</v>
      </c>
      <c r="T6" s="1482" t="s">
        <v>9</v>
      </c>
      <c r="U6" s="108" t="s">
        <v>40</v>
      </c>
      <c r="W6" s="3118">
        <v>1</v>
      </c>
      <c r="X6" s="2877" t="s">
        <v>132</v>
      </c>
      <c r="Y6" s="3121"/>
      <c r="Z6" s="3126" t="s">
        <v>101</v>
      </c>
      <c r="AA6" s="3127"/>
      <c r="AB6" s="2171"/>
      <c r="AC6" s="1848" t="s">
        <v>9</v>
      </c>
      <c r="AD6" s="1906"/>
      <c r="AE6" s="1907" t="s">
        <v>4</v>
      </c>
      <c r="AF6" s="2171"/>
      <c r="AG6" s="1848" t="s">
        <v>9</v>
      </c>
      <c r="AH6" s="1906"/>
      <c r="AI6" s="1907" t="s">
        <v>4</v>
      </c>
      <c r="AJ6" s="2171"/>
      <c r="AK6" s="1848" t="s">
        <v>9</v>
      </c>
      <c r="AL6" s="1906"/>
      <c r="AM6" s="1907" t="s">
        <v>4</v>
      </c>
    </row>
    <row r="7" spans="1:39" ht="32.25" customHeight="1">
      <c r="A7" s="3120"/>
      <c r="B7" s="3122"/>
      <c r="C7" s="3123"/>
      <c r="D7" s="3108" t="s">
        <v>102</v>
      </c>
      <c r="E7" s="3111"/>
      <c r="F7" s="1511" t="s">
        <v>56</v>
      </c>
      <c r="G7" s="929" t="s">
        <v>103</v>
      </c>
      <c r="H7" s="2427"/>
      <c r="I7" s="2416"/>
      <c r="J7" s="1099" t="s">
        <v>8</v>
      </c>
      <c r="K7" s="60">
        <f>K6/25*840/1000</f>
        <v>0</v>
      </c>
      <c r="L7" s="59" t="s">
        <v>10</v>
      </c>
      <c r="M7" s="1783"/>
      <c r="N7" s="1099" t="s">
        <v>8</v>
      </c>
      <c r="O7" s="60">
        <f>O6/25*840/1000</f>
        <v>0</v>
      </c>
      <c r="P7" s="59" t="s">
        <v>10</v>
      </c>
      <c r="Q7" s="1783"/>
      <c r="R7" s="1099" t="s">
        <v>8</v>
      </c>
      <c r="S7" s="60">
        <f>S6/25*840/1000</f>
        <v>0</v>
      </c>
      <c r="T7" s="59" t="s">
        <v>10</v>
      </c>
      <c r="U7" s="108"/>
      <c r="W7" s="3120"/>
      <c r="X7" s="3122"/>
      <c r="Y7" s="3123"/>
      <c r="Z7" s="3108" t="s">
        <v>102</v>
      </c>
      <c r="AA7" s="3111"/>
      <c r="AB7" s="2171"/>
      <c r="AC7" s="1848" t="s">
        <v>10</v>
      </c>
      <c r="AD7" s="1906"/>
      <c r="AE7" s="1867"/>
      <c r="AF7" s="2171"/>
      <c r="AG7" s="1848" t="s">
        <v>10</v>
      </c>
      <c r="AH7" s="1906"/>
      <c r="AI7" s="1867"/>
      <c r="AJ7" s="2171"/>
      <c r="AK7" s="1848" t="s">
        <v>10</v>
      </c>
      <c r="AL7" s="1906"/>
      <c r="AM7" s="1867"/>
    </row>
    <row r="8" spans="1:39" ht="32.25" customHeight="1">
      <c r="A8" s="3119"/>
      <c r="B8" s="3124"/>
      <c r="C8" s="3125"/>
      <c r="D8" s="3108" t="s">
        <v>104</v>
      </c>
      <c r="E8" s="3111"/>
      <c r="F8" s="1511" t="s">
        <v>56</v>
      </c>
      <c r="G8" s="929" t="s">
        <v>103</v>
      </c>
      <c r="H8" s="2427"/>
      <c r="I8" s="2416"/>
      <c r="J8" s="1099" t="s">
        <v>8</v>
      </c>
      <c r="K8" s="60">
        <f>K7*10</f>
        <v>0</v>
      </c>
      <c r="L8" s="59" t="s">
        <v>10</v>
      </c>
      <c r="M8" s="1783"/>
      <c r="N8" s="1099" t="s">
        <v>8</v>
      </c>
      <c r="O8" s="60">
        <f>O7*10</f>
        <v>0</v>
      </c>
      <c r="P8" s="59" t="s">
        <v>10</v>
      </c>
      <c r="Q8" s="1783"/>
      <c r="R8" s="1099" t="s">
        <v>8</v>
      </c>
      <c r="S8" s="60">
        <f>S7*10</f>
        <v>0</v>
      </c>
      <c r="T8" s="59" t="s">
        <v>10</v>
      </c>
      <c r="U8" s="108"/>
      <c r="W8" s="3119"/>
      <c r="X8" s="3124"/>
      <c r="Y8" s="3125"/>
      <c r="Z8" s="3108" t="s">
        <v>104</v>
      </c>
      <c r="AA8" s="3111"/>
      <c r="AB8" s="2171"/>
      <c r="AC8" s="1848" t="s">
        <v>10</v>
      </c>
      <c r="AD8" s="1906"/>
      <c r="AE8" s="1867"/>
      <c r="AF8" s="2171"/>
      <c r="AG8" s="1848" t="s">
        <v>10</v>
      </c>
      <c r="AH8" s="1906"/>
      <c r="AI8" s="1867"/>
      <c r="AJ8" s="2171"/>
      <c r="AK8" s="1848" t="s">
        <v>10</v>
      </c>
      <c r="AL8" s="1906"/>
      <c r="AM8" s="1867"/>
    </row>
    <row r="9" spans="1:39" ht="32.25" customHeight="1">
      <c r="A9" s="3118">
        <v>2</v>
      </c>
      <c r="B9" s="2877" t="s">
        <v>133</v>
      </c>
      <c r="C9" s="3121"/>
      <c r="D9" s="3126" t="s">
        <v>101</v>
      </c>
      <c r="E9" s="3127"/>
      <c r="F9" s="1511" t="s">
        <v>4</v>
      </c>
      <c r="G9" s="929" t="str">
        <f>'XM.GUI MAIL'!$E$9</f>
        <v>20~40</v>
      </c>
      <c r="H9" s="2427" t="str">
        <f>'XM.GUI MAIL'!$F$9</f>
        <v>(30±5)</v>
      </c>
      <c r="I9" s="2415">
        <f>'XM.GUI MAIL'!AD9</f>
        <v>0</v>
      </c>
      <c r="J9" s="1480" t="s">
        <v>8</v>
      </c>
      <c r="K9" s="1481">
        <f>'XM.GUI MAIL'!AG9</f>
        <v>0</v>
      </c>
      <c r="L9" s="1482" t="s">
        <v>9</v>
      </c>
      <c r="M9" s="1501">
        <f>'XM.GUI MAIL'!AK9</f>
        <v>0</v>
      </c>
      <c r="N9" s="1480" t="s">
        <v>8</v>
      </c>
      <c r="O9" s="1481">
        <f>'XM.GUI MAIL'!AN9</f>
        <v>0</v>
      </c>
      <c r="P9" s="1482" t="s">
        <v>9</v>
      </c>
      <c r="Q9" s="1501">
        <f>'XM.GUI MAIL'!AR9</f>
        <v>0</v>
      </c>
      <c r="R9" s="1480" t="s">
        <v>8</v>
      </c>
      <c r="S9" s="1481">
        <f>'XM.GUI MAIL'!AU9</f>
        <v>0</v>
      </c>
      <c r="T9" s="1482" t="s">
        <v>9</v>
      </c>
      <c r="U9" s="108" t="s">
        <v>40</v>
      </c>
      <c r="W9" s="3118">
        <v>2</v>
      </c>
      <c r="X9" s="2877" t="s">
        <v>133</v>
      </c>
      <c r="Y9" s="3121"/>
      <c r="Z9" s="3126" t="s">
        <v>101</v>
      </c>
      <c r="AA9" s="3127"/>
      <c r="AB9" s="2171"/>
      <c r="AC9" s="1848" t="s">
        <v>9</v>
      </c>
      <c r="AD9" s="1906"/>
      <c r="AE9" s="1907" t="s">
        <v>4</v>
      </c>
      <c r="AF9" s="2171"/>
      <c r="AG9" s="1848" t="s">
        <v>9</v>
      </c>
      <c r="AH9" s="1906"/>
      <c r="AI9" s="1907" t="s">
        <v>4</v>
      </c>
      <c r="AJ9" s="2171"/>
      <c r="AK9" s="1848" t="s">
        <v>9</v>
      </c>
      <c r="AL9" s="1906"/>
      <c r="AM9" s="1907" t="s">
        <v>4</v>
      </c>
    </row>
    <row r="10" spans="1:39" ht="32.25" customHeight="1">
      <c r="A10" s="3120"/>
      <c r="B10" s="3122"/>
      <c r="C10" s="3123"/>
      <c r="D10" s="3108" t="s">
        <v>102</v>
      </c>
      <c r="E10" s="3111"/>
      <c r="F10" s="1511" t="s">
        <v>56</v>
      </c>
      <c r="G10" s="929" t="s">
        <v>103</v>
      </c>
      <c r="H10" s="2427"/>
      <c r="I10" s="2416"/>
      <c r="J10" s="1099" t="s">
        <v>8</v>
      </c>
      <c r="K10" s="60">
        <f>K9/25*840/1000</f>
        <v>0</v>
      </c>
      <c r="L10" s="59" t="s">
        <v>10</v>
      </c>
      <c r="M10" s="1783"/>
      <c r="N10" s="1099" t="s">
        <v>8</v>
      </c>
      <c r="O10" s="60">
        <f>O9/25*840/1000</f>
        <v>0</v>
      </c>
      <c r="P10" s="59" t="s">
        <v>10</v>
      </c>
      <c r="Q10" s="1783"/>
      <c r="R10" s="1099" t="s">
        <v>8</v>
      </c>
      <c r="S10" s="60">
        <f>S9/25*840/1000</f>
        <v>0</v>
      </c>
      <c r="T10" s="59" t="s">
        <v>10</v>
      </c>
      <c r="U10" s="108"/>
      <c r="W10" s="3120"/>
      <c r="X10" s="3122"/>
      <c r="Y10" s="3123"/>
      <c r="Z10" s="3108" t="s">
        <v>102</v>
      </c>
      <c r="AA10" s="3111"/>
      <c r="AB10" s="2171"/>
      <c r="AC10" s="1848" t="s">
        <v>10</v>
      </c>
      <c r="AD10" s="1906"/>
      <c r="AE10" s="1867"/>
      <c r="AF10" s="2171"/>
      <c r="AG10" s="1848" t="s">
        <v>10</v>
      </c>
      <c r="AH10" s="1906"/>
      <c r="AI10" s="1867"/>
      <c r="AJ10" s="2171"/>
      <c r="AK10" s="1848" t="s">
        <v>10</v>
      </c>
      <c r="AL10" s="1906"/>
      <c r="AM10" s="1867"/>
    </row>
    <row r="11" spans="1:39" ht="32.25" customHeight="1">
      <c r="A11" s="3119"/>
      <c r="B11" s="3124"/>
      <c r="C11" s="3125"/>
      <c r="D11" s="3108" t="s">
        <v>104</v>
      </c>
      <c r="E11" s="3111"/>
      <c r="F11" s="1511" t="s">
        <v>56</v>
      </c>
      <c r="G11" s="929" t="s">
        <v>103</v>
      </c>
      <c r="H11" s="2427"/>
      <c r="I11" s="2416"/>
      <c r="J11" s="1099" t="s">
        <v>8</v>
      </c>
      <c r="K11" s="60">
        <f>K10*10</f>
        <v>0</v>
      </c>
      <c r="L11" s="59" t="s">
        <v>10</v>
      </c>
      <c r="M11" s="1783"/>
      <c r="N11" s="1099" t="s">
        <v>8</v>
      </c>
      <c r="O11" s="60">
        <f>O10*10</f>
        <v>0</v>
      </c>
      <c r="P11" s="59" t="s">
        <v>10</v>
      </c>
      <c r="Q11" s="1783"/>
      <c r="R11" s="1099" t="s">
        <v>8</v>
      </c>
      <c r="S11" s="60">
        <f>S10*10</f>
        <v>0</v>
      </c>
      <c r="T11" s="59" t="s">
        <v>10</v>
      </c>
      <c r="U11" s="108"/>
      <c r="W11" s="3119"/>
      <c r="X11" s="3124"/>
      <c r="Y11" s="3125"/>
      <c r="Z11" s="3108" t="s">
        <v>104</v>
      </c>
      <c r="AA11" s="3111"/>
      <c r="AB11" s="2171"/>
      <c r="AC11" s="1848" t="s">
        <v>10</v>
      </c>
      <c r="AD11" s="1906"/>
      <c r="AE11" s="1867"/>
      <c r="AF11" s="2171"/>
      <c r="AG11" s="1848" t="s">
        <v>10</v>
      </c>
      <c r="AH11" s="1906"/>
      <c r="AI11" s="1867"/>
      <c r="AJ11" s="2171"/>
      <c r="AK11" s="1848" t="s">
        <v>10</v>
      </c>
      <c r="AL11" s="1906"/>
      <c r="AM11" s="1867"/>
    </row>
    <row r="12" spans="1:39" ht="32.25" customHeight="1">
      <c r="A12" s="3118">
        <v>3</v>
      </c>
      <c r="B12" s="3128" t="s">
        <v>134</v>
      </c>
      <c r="C12" s="3129"/>
      <c r="D12" s="3126" t="s">
        <v>101</v>
      </c>
      <c r="E12" s="3127"/>
      <c r="F12" s="1511" t="s">
        <v>4</v>
      </c>
      <c r="G12" s="929" t="str">
        <f>'XM.GUI MAIL'!$E$12</f>
        <v>60~80</v>
      </c>
      <c r="H12" s="2427" t="str">
        <f>'XM.GUI MAIL'!$F$12</f>
        <v>(70±10)</v>
      </c>
      <c r="I12" s="2417">
        <f>'XM.GUI MAIL'!AD12</f>
        <v>0</v>
      </c>
      <c r="J12" s="1480" t="s">
        <v>8</v>
      </c>
      <c r="K12" s="1481">
        <f>'XM.GUI MAIL'!AG12</f>
        <v>0</v>
      </c>
      <c r="L12" s="1482" t="s">
        <v>9</v>
      </c>
      <c r="M12" s="1477">
        <f>'XM.GUI MAIL'!AK12</f>
        <v>0</v>
      </c>
      <c r="N12" s="1480" t="s">
        <v>8</v>
      </c>
      <c r="O12" s="1481">
        <f>'XM.GUI MAIL'!AN12</f>
        <v>0</v>
      </c>
      <c r="P12" s="1482" t="s">
        <v>9</v>
      </c>
      <c r="Q12" s="1477">
        <f>'XM.GUI MAIL'!AR12</f>
        <v>0</v>
      </c>
      <c r="R12" s="1480" t="s">
        <v>8</v>
      </c>
      <c r="S12" s="1481">
        <f>'XM.GUI MAIL'!AU12</f>
        <v>0</v>
      </c>
      <c r="T12" s="1482" t="s">
        <v>9</v>
      </c>
      <c r="U12" s="108" t="s">
        <v>40</v>
      </c>
      <c r="W12" s="3118">
        <v>3</v>
      </c>
      <c r="X12" s="3128" t="s">
        <v>134</v>
      </c>
      <c r="Y12" s="3129"/>
      <c r="Z12" s="3126" t="s">
        <v>101</v>
      </c>
      <c r="AA12" s="3127"/>
      <c r="AB12" s="2171"/>
      <c r="AC12" s="1848" t="s">
        <v>9</v>
      </c>
      <c r="AD12" s="1906"/>
      <c r="AE12" s="1907" t="s">
        <v>4</v>
      </c>
      <c r="AF12" s="2171"/>
      <c r="AG12" s="1848" t="s">
        <v>9</v>
      </c>
      <c r="AH12" s="1906"/>
      <c r="AI12" s="1907" t="s">
        <v>4</v>
      </c>
      <c r="AJ12" s="2171"/>
      <c r="AK12" s="1848" t="s">
        <v>9</v>
      </c>
      <c r="AL12" s="1906"/>
      <c r="AM12" s="1907" t="s">
        <v>4</v>
      </c>
    </row>
    <row r="13" spans="1:39" ht="32.25" customHeight="1">
      <c r="A13" s="3119"/>
      <c r="B13" s="3129"/>
      <c r="C13" s="3129"/>
      <c r="D13" s="3108" t="s">
        <v>105</v>
      </c>
      <c r="E13" s="3111"/>
      <c r="F13" s="1511" t="s">
        <v>56</v>
      </c>
      <c r="G13" s="929" t="s">
        <v>103</v>
      </c>
      <c r="H13" s="2427"/>
      <c r="I13" s="2418"/>
      <c r="J13" s="1099" t="s">
        <v>8</v>
      </c>
      <c r="K13" s="60">
        <f>K12/25*7.5</f>
        <v>0</v>
      </c>
      <c r="L13" s="59" t="s">
        <v>10</v>
      </c>
      <c r="M13" s="1780"/>
      <c r="N13" s="1099" t="s">
        <v>8</v>
      </c>
      <c r="O13" s="60">
        <f>O12/25*7.5</f>
        <v>0</v>
      </c>
      <c r="P13" s="59" t="s">
        <v>10</v>
      </c>
      <c r="Q13" s="1780"/>
      <c r="R13" s="1099" t="s">
        <v>8</v>
      </c>
      <c r="S13" s="60">
        <f>S12/25*7.5</f>
        <v>0</v>
      </c>
      <c r="T13" s="59" t="s">
        <v>10</v>
      </c>
      <c r="U13" s="108"/>
      <c r="W13" s="3119"/>
      <c r="X13" s="3129"/>
      <c r="Y13" s="3129"/>
      <c r="Z13" s="3108" t="s">
        <v>105</v>
      </c>
      <c r="AA13" s="3111"/>
      <c r="AB13" s="2171"/>
      <c r="AC13" s="1848" t="s">
        <v>10</v>
      </c>
      <c r="AD13" s="1906"/>
      <c r="AE13" s="1867"/>
      <c r="AF13" s="2171"/>
      <c r="AG13" s="1848" t="s">
        <v>10</v>
      </c>
      <c r="AH13" s="1906"/>
      <c r="AI13" s="1867"/>
      <c r="AJ13" s="2171"/>
      <c r="AK13" s="1848" t="s">
        <v>10</v>
      </c>
      <c r="AL13" s="1906"/>
      <c r="AM13" s="1867"/>
    </row>
    <row r="14" spans="1:39" ht="32.25" customHeight="1">
      <c r="A14" s="3118">
        <v>4</v>
      </c>
      <c r="B14" s="3128" t="s">
        <v>135</v>
      </c>
      <c r="C14" s="3129"/>
      <c r="D14" s="3126" t="s">
        <v>101</v>
      </c>
      <c r="E14" s="3127"/>
      <c r="F14" s="1511" t="s">
        <v>4</v>
      </c>
      <c r="G14" s="929" t="str">
        <f>'XM.GUI MAIL'!$E$14</f>
        <v>60~80</v>
      </c>
      <c r="H14" s="2427" t="str">
        <f>'XM.GUI MAIL'!$F$14</f>
        <v>(70±10)</v>
      </c>
      <c r="I14" s="2417">
        <f>'XM.GUI MAIL'!AD14</f>
        <v>0</v>
      </c>
      <c r="J14" s="1480" t="s">
        <v>8</v>
      </c>
      <c r="K14" s="1481">
        <f>'XM.GUI MAIL'!AG14</f>
        <v>0</v>
      </c>
      <c r="L14" s="1482" t="s">
        <v>9</v>
      </c>
      <c r="M14" s="1477">
        <f>'XM.GUI MAIL'!AK14</f>
        <v>0</v>
      </c>
      <c r="N14" s="1480" t="s">
        <v>8</v>
      </c>
      <c r="O14" s="1481">
        <f>'XM.GUI MAIL'!AN14</f>
        <v>0</v>
      </c>
      <c r="P14" s="1482" t="s">
        <v>9</v>
      </c>
      <c r="Q14" s="1477">
        <f>'XM.GUI MAIL'!AR14</f>
        <v>0</v>
      </c>
      <c r="R14" s="1480" t="s">
        <v>8</v>
      </c>
      <c r="S14" s="1481">
        <f>'XM.GUI MAIL'!AU14</f>
        <v>0</v>
      </c>
      <c r="T14" s="1482" t="s">
        <v>9</v>
      </c>
      <c r="U14" s="108" t="s">
        <v>40</v>
      </c>
      <c r="W14" s="3118">
        <v>4</v>
      </c>
      <c r="X14" s="3128" t="s">
        <v>135</v>
      </c>
      <c r="Y14" s="3129"/>
      <c r="Z14" s="3126" t="s">
        <v>101</v>
      </c>
      <c r="AA14" s="3127"/>
      <c r="AB14" s="2171"/>
      <c r="AC14" s="1848" t="s">
        <v>9</v>
      </c>
      <c r="AD14" s="1906"/>
      <c r="AE14" s="1907" t="s">
        <v>4</v>
      </c>
      <c r="AF14" s="2171"/>
      <c r="AG14" s="1848" t="s">
        <v>9</v>
      </c>
      <c r="AH14" s="1906"/>
      <c r="AI14" s="1907" t="s">
        <v>4</v>
      </c>
      <c r="AJ14" s="2171"/>
      <c r="AK14" s="1848" t="s">
        <v>9</v>
      </c>
      <c r="AL14" s="1906"/>
      <c r="AM14" s="1907" t="s">
        <v>4</v>
      </c>
    </row>
    <row r="15" spans="1:39" ht="32.25" customHeight="1">
      <c r="A15" s="3119"/>
      <c r="B15" s="3129"/>
      <c r="C15" s="3129"/>
      <c r="D15" s="3108" t="s">
        <v>105</v>
      </c>
      <c r="E15" s="3111"/>
      <c r="F15" s="1511" t="s">
        <v>56</v>
      </c>
      <c r="G15" s="929" t="s">
        <v>103</v>
      </c>
      <c r="H15" s="2427"/>
      <c r="I15" s="2416"/>
      <c r="J15" s="1099" t="s">
        <v>8</v>
      </c>
      <c r="K15" s="60">
        <f>K14/25*7.5</f>
        <v>0</v>
      </c>
      <c r="L15" s="59" t="s">
        <v>10</v>
      </c>
      <c r="M15" s="1783"/>
      <c r="N15" s="1099" t="s">
        <v>8</v>
      </c>
      <c r="O15" s="60">
        <f>O14/25*7.5</f>
        <v>0</v>
      </c>
      <c r="P15" s="59" t="s">
        <v>10</v>
      </c>
      <c r="Q15" s="1783"/>
      <c r="R15" s="1099" t="s">
        <v>8</v>
      </c>
      <c r="S15" s="60">
        <f>S14/25*7.5</f>
        <v>0</v>
      </c>
      <c r="T15" s="59" t="s">
        <v>10</v>
      </c>
      <c r="U15" s="108"/>
      <c r="W15" s="3119"/>
      <c r="X15" s="3129"/>
      <c r="Y15" s="3129"/>
      <c r="Z15" s="3108" t="s">
        <v>105</v>
      </c>
      <c r="AA15" s="3111"/>
      <c r="AB15" s="2171"/>
      <c r="AC15" s="1848" t="s">
        <v>10</v>
      </c>
      <c r="AD15" s="1906"/>
      <c r="AE15" s="1867"/>
      <c r="AF15" s="2171"/>
      <c r="AG15" s="1848" t="s">
        <v>10</v>
      </c>
      <c r="AH15" s="1906"/>
      <c r="AI15" s="1867"/>
      <c r="AJ15" s="2171"/>
      <c r="AK15" s="1848" t="s">
        <v>10</v>
      </c>
      <c r="AL15" s="1906"/>
      <c r="AM15" s="1867"/>
    </row>
    <row r="16" spans="1:39" ht="32.25" customHeight="1">
      <c r="A16" s="3118">
        <v>5</v>
      </c>
      <c r="B16" s="3108" t="s">
        <v>80</v>
      </c>
      <c r="C16" s="3110"/>
      <c r="D16" s="3110"/>
      <c r="E16" s="3111"/>
      <c r="F16" s="1511" t="s">
        <v>4</v>
      </c>
      <c r="G16" s="1042" t="str">
        <f>'XM.GUI MAIL'!$E$16</f>
        <v>130 - 150</v>
      </c>
      <c r="H16" s="2431" t="str">
        <f>'XM.GUI MAIL'!$F$16</f>
        <v>(140±7)</v>
      </c>
      <c r="I16" s="2419">
        <f>'XM.GUI MAIL'!AD16</f>
        <v>0</v>
      </c>
      <c r="J16" s="1480" t="s">
        <v>8</v>
      </c>
      <c r="K16" s="1592">
        <f>'XM.GUI MAIL'!AG16</f>
        <v>0</v>
      </c>
      <c r="L16" s="1101" t="s">
        <v>9</v>
      </c>
      <c r="M16" s="1862">
        <f>'XM.GUI MAIL'!AK16</f>
        <v>0</v>
      </c>
      <c r="N16" s="1480" t="s">
        <v>8</v>
      </c>
      <c r="O16" s="1592">
        <f>'XM.GUI MAIL'!AN16</f>
        <v>0</v>
      </c>
      <c r="P16" s="1101" t="s">
        <v>9</v>
      </c>
      <c r="Q16" s="1862">
        <f>'XM.GUI MAIL'!AR16</f>
        <v>0</v>
      </c>
      <c r="R16" s="1480" t="s">
        <v>8</v>
      </c>
      <c r="S16" s="1481">
        <f>'XM.GUI MAIL'!AU16</f>
        <v>0</v>
      </c>
      <c r="T16" s="1101" t="s">
        <v>9</v>
      </c>
      <c r="U16" s="108" t="s">
        <v>41</v>
      </c>
      <c r="W16" s="3118">
        <v>5</v>
      </c>
      <c r="X16" s="3108" t="s">
        <v>80</v>
      </c>
      <c r="Y16" s="3110"/>
      <c r="Z16" s="3110"/>
      <c r="AA16" s="3111"/>
      <c r="AB16" s="2171"/>
      <c r="AC16" s="1848" t="s">
        <v>9</v>
      </c>
      <c r="AD16" s="1906"/>
      <c r="AE16" s="1908" t="s">
        <v>4</v>
      </c>
      <c r="AF16" s="2171"/>
      <c r="AG16" s="1848" t="s">
        <v>9</v>
      </c>
      <c r="AH16" s="1906"/>
      <c r="AI16" s="1908" t="s">
        <v>4</v>
      </c>
      <c r="AJ16" s="2171"/>
      <c r="AK16" s="1848" t="s">
        <v>9</v>
      </c>
      <c r="AL16" s="1906"/>
      <c r="AM16" s="1908" t="s">
        <v>4</v>
      </c>
    </row>
    <row r="17" spans="1:39" ht="32.25" customHeight="1">
      <c r="A17" s="3119"/>
      <c r="B17" s="3108" t="s">
        <v>58</v>
      </c>
      <c r="C17" s="3110"/>
      <c r="D17" s="3110"/>
      <c r="E17" s="3111"/>
      <c r="F17" s="1511" t="s">
        <v>4</v>
      </c>
      <c r="G17" s="1042" t="str">
        <f>'XM.GUI MAIL'!$E$17</f>
        <v>8~12</v>
      </c>
      <c r="H17" s="2431" t="str">
        <f>'XM.GUI MAIL'!$F$17</f>
        <v>(10±2)</v>
      </c>
      <c r="I17" s="2420">
        <f>'XM.GUI MAIL'!AD17</f>
        <v>0</v>
      </c>
      <c r="J17" s="1480" t="s">
        <v>8</v>
      </c>
      <c r="K17" s="1481">
        <f>'XM.GUI MAIL'!AG17</f>
        <v>0</v>
      </c>
      <c r="L17" s="1101" t="s">
        <v>9</v>
      </c>
      <c r="M17" s="1869">
        <f>'XM.GUI MAIL'!AK17</f>
        <v>0</v>
      </c>
      <c r="N17" s="1480" t="s">
        <v>8</v>
      </c>
      <c r="O17" s="1481">
        <f>'XM.GUI MAIL'!AN17</f>
        <v>0</v>
      </c>
      <c r="P17" s="1101" t="s">
        <v>9</v>
      </c>
      <c r="Q17" s="1869">
        <f>'XM.GUI MAIL'!AR17</f>
        <v>0</v>
      </c>
      <c r="R17" s="1480" t="s">
        <v>8</v>
      </c>
      <c r="S17" s="1481">
        <f>'XM.GUI MAIL'!AU17</f>
        <v>0</v>
      </c>
      <c r="T17" s="1101" t="s">
        <v>9</v>
      </c>
      <c r="U17" s="108" t="s">
        <v>42</v>
      </c>
      <c r="W17" s="3119"/>
      <c r="X17" s="3108" t="s">
        <v>58</v>
      </c>
      <c r="Y17" s="3110"/>
      <c r="Z17" s="3110"/>
      <c r="AA17" s="3111"/>
      <c r="AB17" s="2171"/>
      <c r="AC17" s="1848" t="s">
        <v>9</v>
      </c>
      <c r="AD17" s="1906"/>
      <c r="AE17" s="1908" t="s">
        <v>4</v>
      </c>
      <c r="AF17" s="2171"/>
      <c r="AG17" s="1848" t="s">
        <v>9</v>
      </c>
      <c r="AH17" s="1906"/>
      <c r="AI17" s="1908" t="s">
        <v>4</v>
      </c>
      <c r="AJ17" s="2171"/>
      <c r="AK17" s="1848" t="s">
        <v>9</v>
      </c>
      <c r="AL17" s="1906"/>
      <c r="AM17" s="1908" t="s">
        <v>4</v>
      </c>
    </row>
    <row r="18" spans="1:39" ht="32.25" customHeight="1">
      <c r="A18" s="3118">
        <v>6</v>
      </c>
      <c r="B18" s="2877" t="s">
        <v>986</v>
      </c>
      <c r="C18" s="2878"/>
      <c r="D18" s="2878"/>
      <c r="E18" s="2879"/>
      <c r="F18" s="1511" t="s">
        <v>3</v>
      </c>
      <c r="G18" s="1042" t="str">
        <f>'XM.GUI MAIL'!$E$18</f>
        <v xml:space="preserve">12~18 </v>
      </c>
      <c r="H18" s="2431" t="str">
        <f>'XM.GUI MAIL'!$F$18</f>
        <v>(14±2)</v>
      </c>
      <c r="I18" s="2421">
        <f>'XM.GUI MAIL'!AD18</f>
        <v>0</v>
      </c>
      <c r="J18" s="1099" t="s">
        <v>8</v>
      </c>
      <c r="K18" s="58">
        <f>'XM.GUI MAIL'!AG18</f>
        <v>0</v>
      </c>
      <c r="L18" s="59" t="s">
        <v>10</v>
      </c>
      <c r="M18" s="1838">
        <f>'XM.GUI MAIL'!AK18</f>
        <v>0</v>
      </c>
      <c r="N18" s="1099" t="s">
        <v>8</v>
      </c>
      <c r="O18" s="58">
        <f>'XM.GUI MAIL'!AN18</f>
        <v>0</v>
      </c>
      <c r="P18" s="59" t="s">
        <v>10</v>
      </c>
      <c r="Q18" s="1838">
        <f>'XM.GUI MAIL'!AR18</f>
        <v>0</v>
      </c>
      <c r="R18" s="1099" t="s">
        <v>8</v>
      </c>
      <c r="S18" s="58">
        <f>'XM.GUI MAIL'!AU18</f>
        <v>0</v>
      </c>
      <c r="T18" s="59" t="s">
        <v>10</v>
      </c>
      <c r="U18" s="108" t="s">
        <v>43</v>
      </c>
      <c r="W18" s="3118">
        <v>6</v>
      </c>
      <c r="X18" s="2877" t="s">
        <v>986</v>
      </c>
      <c r="Y18" s="2878"/>
      <c r="Z18" s="2878"/>
      <c r="AA18" s="2879"/>
      <c r="AB18" s="2171"/>
      <c r="AC18" s="1848" t="s">
        <v>10</v>
      </c>
      <c r="AD18" s="1906"/>
      <c r="AE18" s="1867" t="s">
        <v>3</v>
      </c>
      <c r="AF18" s="2171"/>
      <c r="AG18" s="1848" t="s">
        <v>10</v>
      </c>
      <c r="AH18" s="1906"/>
      <c r="AI18" s="1867" t="s">
        <v>3</v>
      </c>
      <c r="AJ18" s="2171"/>
      <c r="AK18" s="1848" t="s">
        <v>10</v>
      </c>
      <c r="AL18" s="1906"/>
      <c r="AM18" s="1867" t="s">
        <v>3</v>
      </c>
    </row>
    <row r="19" spans="1:39" ht="32.25" customHeight="1">
      <c r="A19" s="3119"/>
      <c r="B19" s="2880"/>
      <c r="C19" s="2881"/>
      <c r="D19" s="2881"/>
      <c r="E19" s="2882"/>
      <c r="F19" s="1511" t="s">
        <v>5</v>
      </c>
      <c r="G19" s="1042" t="str">
        <f>'XM.GUI MAIL'!$E$19</f>
        <v>1.6~2.2</v>
      </c>
      <c r="H19" s="2431" t="str">
        <f>'XM.GUI MAIL'!$F$19</f>
        <v>(2±0.2 )</v>
      </c>
      <c r="I19" s="2420">
        <f>'XM.GUI MAIL'!AD19</f>
        <v>0</v>
      </c>
      <c r="J19" s="1483"/>
      <c r="K19" s="1481">
        <f>'XM.GUI MAIL'!AG19</f>
        <v>0</v>
      </c>
      <c r="L19" s="1484"/>
      <c r="M19" s="1869">
        <f>'XM.GUI MAIL'!AK19</f>
        <v>0</v>
      </c>
      <c r="N19" s="1483"/>
      <c r="O19" s="1481">
        <f>'XM.GUI MAIL'!AN19</f>
        <v>0</v>
      </c>
      <c r="P19" s="1484"/>
      <c r="Q19" s="1869">
        <f>'XM.GUI MAIL'!AR19</f>
        <v>0</v>
      </c>
      <c r="R19" s="1483"/>
      <c r="S19" s="1481">
        <f>'XM.GUI MAIL'!AU19</f>
        <v>0</v>
      </c>
      <c r="T19" s="1484"/>
      <c r="U19" s="108"/>
      <c r="W19" s="3119"/>
      <c r="X19" s="2880"/>
      <c r="Y19" s="2881"/>
      <c r="Z19" s="2881"/>
      <c r="AA19" s="2882"/>
      <c r="AB19" s="2171"/>
      <c r="AC19" s="1848"/>
      <c r="AD19" s="1906"/>
      <c r="AE19" s="1909" t="s">
        <v>5</v>
      </c>
      <c r="AF19" s="2171"/>
      <c r="AG19" s="1848"/>
      <c r="AH19" s="1906"/>
      <c r="AI19" s="1909" t="s">
        <v>5</v>
      </c>
      <c r="AJ19" s="2171"/>
      <c r="AK19" s="1848"/>
      <c r="AL19" s="1906"/>
      <c r="AM19" s="1909" t="s">
        <v>5</v>
      </c>
    </row>
    <row r="20" spans="1:39" ht="32.25" customHeight="1">
      <c r="A20" s="108">
        <v>7</v>
      </c>
      <c r="B20" s="3108" t="s">
        <v>59</v>
      </c>
      <c r="C20" s="3110"/>
      <c r="D20" s="3110"/>
      <c r="E20" s="3111"/>
      <c r="F20" s="1520" t="s">
        <v>6</v>
      </c>
      <c r="G20" s="1042" t="str">
        <f>'XM.GUI MAIL'!$E$20</f>
        <v xml:space="preserve">40~50 </v>
      </c>
      <c r="H20" s="2431" t="str">
        <f>'XM.GUI MAIL'!$F$20</f>
        <v>(45±5)</v>
      </c>
      <c r="I20" s="2422">
        <f>'XM.GUI MAIL'!AD20</f>
        <v>0</v>
      </c>
      <c r="J20" s="1480" t="s">
        <v>8</v>
      </c>
      <c r="K20" s="1481">
        <f>'XM.GUI MAIL'!AG20</f>
        <v>0</v>
      </c>
      <c r="L20" s="1482" t="s">
        <v>10</v>
      </c>
      <c r="M20" s="1843">
        <f>'XM.GUI MAIL'!AK20</f>
        <v>0</v>
      </c>
      <c r="N20" s="1480" t="s">
        <v>8</v>
      </c>
      <c r="O20" s="1481">
        <f>'XM.GUI MAIL'!AN20</f>
        <v>0</v>
      </c>
      <c r="P20" s="1482" t="s">
        <v>10</v>
      </c>
      <c r="Q20" s="1843">
        <f>'XM.GUI MAIL'!AR20</f>
        <v>0</v>
      </c>
      <c r="R20" s="1480" t="s">
        <v>8</v>
      </c>
      <c r="S20" s="1481">
        <f>'XM.GUI MAIL'!AU20</f>
        <v>0</v>
      </c>
      <c r="T20" s="1482" t="s">
        <v>10</v>
      </c>
      <c r="U20" s="108" t="s">
        <v>44</v>
      </c>
      <c r="W20" s="108">
        <v>7</v>
      </c>
      <c r="X20" s="3108" t="s">
        <v>59</v>
      </c>
      <c r="Y20" s="3110"/>
      <c r="Z20" s="3110"/>
      <c r="AA20" s="3111"/>
      <c r="AB20" s="2171"/>
      <c r="AC20" s="1911" t="s">
        <v>10</v>
      </c>
      <c r="AD20" s="1906"/>
      <c r="AE20" s="1907" t="s">
        <v>6</v>
      </c>
      <c r="AF20" s="2171"/>
      <c r="AG20" s="1911" t="s">
        <v>10</v>
      </c>
      <c r="AH20" s="1906"/>
      <c r="AI20" s="1907" t="s">
        <v>6</v>
      </c>
      <c r="AJ20" s="2171"/>
      <c r="AK20" s="1911" t="s">
        <v>10</v>
      </c>
      <c r="AL20" s="1906"/>
      <c r="AM20" s="1907" t="s">
        <v>6</v>
      </c>
    </row>
    <row r="21" spans="1:39" ht="32.25" hidden="1" customHeight="1">
      <c r="A21" s="108">
        <v>8</v>
      </c>
      <c r="B21" s="3108" t="s">
        <v>60</v>
      </c>
      <c r="C21" s="3110"/>
      <c r="D21" s="3110"/>
      <c r="E21" s="3111"/>
      <c r="F21" s="1520" t="s">
        <v>6</v>
      </c>
      <c r="G21" s="1042" t="str">
        <f>'XM.GUI MAIL'!$E$21</f>
        <v>(22±5) =17~27</v>
      </c>
      <c r="H21" s="2431" t="str">
        <f>'XM.GUI MAIL'!$F$21</f>
        <v>(22±5)</v>
      </c>
      <c r="I21" s="2423">
        <f>'XM.GUI MAIL'!AD21</f>
        <v>0</v>
      </c>
      <c r="J21" s="1099" t="s">
        <v>8</v>
      </c>
      <c r="K21" s="58">
        <f>'XM.GUI MAIL'!AG21</f>
        <v>0</v>
      </c>
      <c r="L21" s="59" t="s">
        <v>10</v>
      </c>
      <c r="M21" s="1873">
        <f>'XM.GUI MAIL'!AK21</f>
        <v>0</v>
      </c>
      <c r="N21" s="1099" t="s">
        <v>8</v>
      </c>
      <c r="O21" s="58">
        <f>'XM.GUI MAIL'!AN21</f>
        <v>0</v>
      </c>
      <c r="P21" s="59" t="s">
        <v>10</v>
      </c>
      <c r="Q21" s="1873">
        <f>'XM.GUI MAIL'!AR21</f>
        <v>0</v>
      </c>
      <c r="R21" s="1099" t="s">
        <v>8</v>
      </c>
      <c r="S21" s="58">
        <f>'XM.GUI MAIL'!AU21</f>
        <v>0</v>
      </c>
      <c r="T21" s="1482" t="s">
        <v>10</v>
      </c>
      <c r="U21" s="108" t="s">
        <v>44</v>
      </c>
      <c r="W21" s="108">
        <v>8</v>
      </c>
      <c r="X21" s="3108" t="s">
        <v>60</v>
      </c>
      <c r="Y21" s="3110"/>
      <c r="Z21" s="3110"/>
      <c r="AA21" s="3111"/>
      <c r="AB21" s="2171"/>
      <c r="AC21" s="1911" t="s">
        <v>10</v>
      </c>
      <c r="AD21" s="1906"/>
      <c r="AE21" s="1907" t="s">
        <v>6</v>
      </c>
      <c r="AF21" s="2171"/>
      <c r="AG21" s="1911" t="s">
        <v>10</v>
      </c>
      <c r="AH21" s="1906"/>
      <c r="AI21" s="1907" t="s">
        <v>6</v>
      </c>
      <c r="AJ21" s="2171"/>
      <c r="AK21" s="1911" t="s">
        <v>10</v>
      </c>
      <c r="AL21" s="1906"/>
      <c r="AM21" s="1907" t="s">
        <v>6</v>
      </c>
    </row>
    <row r="22" spans="1:39" ht="32.25" hidden="1" customHeight="1">
      <c r="A22" s="108">
        <v>9</v>
      </c>
      <c r="B22" s="3108" t="s">
        <v>109</v>
      </c>
      <c r="C22" s="3110"/>
      <c r="D22" s="3110"/>
      <c r="E22" s="3111"/>
      <c r="F22" s="1520" t="s">
        <v>6</v>
      </c>
      <c r="G22" s="1042" t="str">
        <f>'XM.GUI MAIL'!$E$22</f>
        <v>5~15</v>
      </c>
      <c r="H22" s="2431" t="str">
        <f>'XM.GUI MAIL'!$F$22</f>
        <v>(30±4)</v>
      </c>
      <c r="I22" s="2423">
        <f>'XM.GUI MAIL'!AD22</f>
        <v>0</v>
      </c>
      <c r="J22" s="1480" t="s">
        <v>8</v>
      </c>
      <c r="K22" s="1481">
        <f>'XM.GUI MAIL'!AG22</f>
        <v>0</v>
      </c>
      <c r="L22" s="1482" t="s">
        <v>10</v>
      </c>
      <c r="M22" s="1873">
        <f>'XM.GUI MAIL'!AK22</f>
        <v>0</v>
      </c>
      <c r="N22" s="1480" t="s">
        <v>8</v>
      </c>
      <c r="O22" s="1481">
        <f>'XM.GUI MAIL'!AN22</f>
        <v>0</v>
      </c>
      <c r="P22" s="1482" t="s">
        <v>10</v>
      </c>
      <c r="Q22" s="1873">
        <f>'XM.GUI MAIL'!AR22</f>
        <v>0</v>
      </c>
      <c r="R22" s="1480" t="s">
        <v>8</v>
      </c>
      <c r="S22" s="1481">
        <f>'XM.GUI MAIL'!AU22</f>
        <v>0</v>
      </c>
      <c r="T22" s="1482" t="s">
        <v>10</v>
      </c>
      <c r="U22" s="108" t="s">
        <v>45</v>
      </c>
      <c r="W22" s="108">
        <v>9</v>
      </c>
      <c r="X22" s="3108" t="s">
        <v>109</v>
      </c>
      <c r="Y22" s="3110"/>
      <c r="Z22" s="3110"/>
      <c r="AA22" s="3111"/>
      <c r="AB22" s="2171"/>
      <c r="AC22" s="1911" t="s">
        <v>10</v>
      </c>
      <c r="AD22" s="1906"/>
      <c r="AE22" s="1907" t="s">
        <v>6</v>
      </c>
      <c r="AF22" s="2171"/>
      <c r="AG22" s="1911" t="s">
        <v>10</v>
      </c>
      <c r="AH22" s="1906"/>
      <c r="AI22" s="1907" t="s">
        <v>6</v>
      </c>
      <c r="AJ22" s="2171"/>
      <c r="AK22" s="1911" t="s">
        <v>10</v>
      </c>
      <c r="AL22" s="1906"/>
      <c r="AM22" s="1907" t="s">
        <v>6</v>
      </c>
    </row>
    <row r="23" spans="1:39" ht="32.25" customHeight="1">
      <c r="A23" s="108">
        <v>10</v>
      </c>
      <c r="B23" s="3108" t="s">
        <v>108</v>
      </c>
      <c r="C23" s="3110"/>
      <c r="D23" s="3110"/>
      <c r="E23" s="3111"/>
      <c r="F23" s="1520" t="s">
        <v>3</v>
      </c>
      <c r="G23" s="1042" t="str">
        <f>'XM.GUI MAIL'!$E$23</f>
        <v>0.5~1.5</v>
      </c>
      <c r="H23" s="2431" t="str">
        <f>'XM.GUI MAIL'!$F$23</f>
        <v>(1±0.4)</v>
      </c>
      <c r="I23" s="2424">
        <f>'XM.GUI MAIL'!AD23</f>
        <v>0</v>
      </c>
      <c r="J23" s="1480" t="s">
        <v>8</v>
      </c>
      <c r="K23" s="1485">
        <f>'XM.GUI MAIL'!AG23</f>
        <v>0</v>
      </c>
      <c r="L23" s="1482" t="s">
        <v>10</v>
      </c>
      <c r="M23" s="1876">
        <f>'XM.GUI MAIL'!AK23</f>
        <v>0</v>
      </c>
      <c r="N23" s="1480" t="s">
        <v>8</v>
      </c>
      <c r="O23" s="1485">
        <f>'XM.GUI MAIL'!AN23</f>
        <v>0</v>
      </c>
      <c r="P23" s="1482" t="s">
        <v>10</v>
      </c>
      <c r="Q23" s="1876">
        <f>'XM.GUI MAIL'!AR23</f>
        <v>0</v>
      </c>
      <c r="R23" s="1480" t="s">
        <v>8</v>
      </c>
      <c r="S23" s="1485">
        <f>'XM.GUI MAIL'!AU23</f>
        <v>0</v>
      </c>
      <c r="T23" s="1482" t="s">
        <v>10</v>
      </c>
      <c r="U23" s="108" t="s">
        <v>45</v>
      </c>
      <c r="W23" s="108">
        <v>10</v>
      </c>
      <c r="X23" s="3108" t="s">
        <v>108</v>
      </c>
      <c r="Y23" s="3110"/>
      <c r="Z23" s="3110"/>
      <c r="AA23" s="3111"/>
      <c r="AB23" s="2171"/>
      <c r="AC23" s="1911" t="s">
        <v>10</v>
      </c>
      <c r="AD23" s="1906"/>
      <c r="AE23" s="1907" t="s">
        <v>3</v>
      </c>
      <c r="AF23" s="2171"/>
      <c r="AG23" s="1911" t="s">
        <v>10</v>
      </c>
      <c r="AH23" s="1906"/>
      <c r="AI23" s="1907" t="s">
        <v>3</v>
      </c>
      <c r="AJ23" s="2171"/>
      <c r="AK23" s="1911" t="s">
        <v>10</v>
      </c>
      <c r="AL23" s="1906"/>
      <c r="AM23" s="1907" t="s">
        <v>3</v>
      </c>
    </row>
    <row r="24" spans="1:39" ht="32.25" customHeight="1">
      <c r="A24" s="3116">
        <v>13</v>
      </c>
      <c r="B24" s="2877" t="s">
        <v>75</v>
      </c>
      <c r="C24" s="2878"/>
      <c r="D24" s="2878"/>
      <c r="E24" s="2879"/>
      <c r="F24" s="1511" t="s">
        <v>3</v>
      </c>
      <c r="G24" s="1042" t="str">
        <f>'XM.GUI MAIL'!$E$24</f>
        <v>5~10</v>
      </c>
      <c r="H24" s="2431" t="str">
        <f>'XM.GUI MAIL'!$F$24</f>
        <v>(7.5±1)</v>
      </c>
      <c r="I24" s="2425" t="str">
        <f>'XM.GUI MAIL'!AD24</f>
        <v/>
      </c>
      <c r="J24" s="1099" t="s">
        <v>8</v>
      </c>
      <c r="K24" s="60" t="str">
        <f>'XM.GUI MAIL'!AG24</f>
        <v/>
      </c>
      <c r="L24" s="59" t="s">
        <v>10</v>
      </c>
      <c r="M24" s="1952" t="str">
        <f>'XM.GUI MAIL'!AK24</f>
        <v/>
      </c>
      <c r="N24" s="1099" t="s">
        <v>8</v>
      </c>
      <c r="O24" s="60" t="str">
        <f>'XM.GUI MAIL'!AN24</f>
        <v/>
      </c>
      <c r="P24" s="59" t="s">
        <v>10</v>
      </c>
      <c r="Q24" s="1952" t="str">
        <f>'XM.GUI MAIL'!AR24</f>
        <v/>
      </c>
      <c r="R24" s="1099" t="s">
        <v>8</v>
      </c>
      <c r="S24" s="60" t="str">
        <f>'XM.GUI MAIL'!AU24</f>
        <v/>
      </c>
      <c r="T24" s="59" t="s">
        <v>10</v>
      </c>
      <c r="U24" s="108"/>
      <c r="W24" s="3116">
        <v>13</v>
      </c>
      <c r="X24" s="2877" t="s">
        <v>75</v>
      </c>
      <c r="Y24" s="2878"/>
      <c r="Z24" s="2878"/>
      <c r="AA24" s="2879"/>
      <c r="AB24" s="2171"/>
      <c r="AC24" s="1848" t="s">
        <v>10</v>
      </c>
      <c r="AD24" s="1906"/>
      <c r="AE24" s="1867" t="s">
        <v>3</v>
      </c>
      <c r="AF24" s="2171"/>
      <c r="AG24" s="1848" t="s">
        <v>10</v>
      </c>
      <c r="AH24" s="1906"/>
      <c r="AI24" s="1867" t="s">
        <v>3</v>
      </c>
      <c r="AJ24" s="2171"/>
      <c r="AK24" s="1848" t="s">
        <v>10</v>
      </c>
      <c r="AL24" s="1906"/>
      <c r="AM24" s="1867" t="s">
        <v>3</v>
      </c>
    </row>
    <row r="25" spans="1:39" ht="32.25" customHeight="1">
      <c r="A25" s="3117"/>
      <c r="B25" s="2880"/>
      <c r="C25" s="2881"/>
      <c r="D25" s="2881"/>
      <c r="E25" s="2882"/>
      <c r="F25" s="1511" t="s">
        <v>5</v>
      </c>
      <c r="G25" s="1042" t="str">
        <f>'XM.GUI MAIL'!$E$25</f>
        <v>1.8~2.2</v>
      </c>
      <c r="H25" s="2431" t="str">
        <f>'XM.GUI MAIL'!$F$25</f>
        <v>(2±0.1)</v>
      </c>
      <c r="I25" s="2459">
        <f>'XM.GUI MAIL'!AD25</f>
        <v>0</v>
      </c>
      <c r="J25" s="1099"/>
      <c r="K25" s="58">
        <f>'XM.GUI MAIL'!AG25</f>
        <v>0</v>
      </c>
      <c r="L25" s="2461"/>
      <c r="M25" s="2460">
        <f>'XM.GUI MAIL'!AK25</f>
        <v>0</v>
      </c>
      <c r="N25" s="1099"/>
      <c r="O25" s="58">
        <f>'XM.GUI MAIL'!AN25</f>
        <v>0</v>
      </c>
      <c r="P25" s="59"/>
      <c r="Q25" s="2460">
        <f>'XM.GUI MAIL'!AR25</f>
        <v>0</v>
      </c>
      <c r="R25" s="1099"/>
      <c r="S25" s="58">
        <f>'XM.GUI MAIL'!AU25</f>
        <v>0</v>
      </c>
      <c r="T25" s="59"/>
      <c r="U25" s="108"/>
      <c r="W25" s="3117"/>
      <c r="X25" s="2880"/>
      <c r="Y25" s="2881"/>
      <c r="Z25" s="2881"/>
      <c r="AA25" s="2882"/>
      <c r="AB25" s="2172"/>
      <c r="AC25" s="1848"/>
      <c r="AD25" s="1929"/>
      <c r="AE25" s="1867" t="s">
        <v>5</v>
      </c>
      <c r="AF25" s="2172"/>
      <c r="AG25" s="1848"/>
      <c r="AH25" s="1929"/>
      <c r="AI25" s="1867" t="s">
        <v>5</v>
      </c>
      <c r="AJ25" s="2172"/>
      <c r="AK25" s="1848"/>
      <c r="AL25" s="1929"/>
      <c r="AM25" s="1867" t="s">
        <v>5</v>
      </c>
    </row>
    <row r="26" spans="1:39" ht="34.5" customHeight="1">
      <c r="A26" s="268"/>
      <c r="B26" s="269"/>
      <c r="C26" s="269"/>
      <c r="D26" s="269"/>
      <c r="E26" s="269"/>
      <c r="F26" s="269"/>
      <c r="G26" s="267" t="s">
        <v>110</v>
      </c>
      <c r="H26" s="267"/>
      <c r="I26" s="269"/>
      <c r="J26" s="269"/>
      <c r="K26" s="269"/>
      <c r="L26" s="269"/>
      <c r="M26" s="269"/>
      <c r="N26" s="269"/>
      <c r="O26" s="269"/>
      <c r="P26" s="269"/>
      <c r="Q26" s="1526"/>
      <c r="R26" s="1526"/>
      <c r="S26" s="1526"/>
      <c r="T26" s="1526"/>
      <c r="U26" s="270"/>
      <c r="W26" s="268"/>
      <c r="X26" s="269"/>
      <c r="Y26" s="269"/>
      <c r="Z26" s="269"/>
      <c r="AA26" s="269"/>
      <c r="AB26" s="269"/>
      <c r="AC26" s="269"/>
      <c r="AD26" s="269"/>
      <c r="AE26" s="269"/>
      <c r="AF26" s="269"/>
      <c r="AG26" s="269"/>
      <c r="AH26" s="269"/>
      <c r="AI26" s="269"/>
      <c r="AJ26" s="269"/>
      <c r="AK26" s="269"/>
      <c r="AL26" s="269"/>
      <c r="AM26" s="269"/>
    </row>
    <row r="27" spans="1:39" ht="34.5" customHeight="1">
      <c r="A27" s="108" t="s">
        <v>7</v>
      </c>
      <c r="B27" s="3108" t="s">
        <v>62</v>
      </c>
      <c r="C27" s="3110"/>
      <c r="D27" s="3110"/>
      <c r="E27" s="3111"/>
      <c r="F27" s="1510" t="s">
        <v>64</v>
      </c>
      <c r="G27" s="1010" t="s">
        <v>1325</v>
      </c>
      <c r="H27" s="2429" t="s">
        <v>1317</v>
      </c>
      <c r="I27" s="2932" t="s">
        <v>46</v>
      </c>
      <c r="J27" s="2933"/>
      <c r="K27" s="2931" t="s">
        <v>63</v>
      </c>
      <c r="L27" s="2933"/>
      <c r="M27" s="2931" t="s">
        <v>46</v>
      </c>
      <c r="N27" s="2933"/>
      <c r="O27" s="2931" t="s">
        <v>63</v>
      </c>
      <c r="P27" s="2933"/>
      <c r="Q27" s="2931" t="s">
        <v>46</v>
      </c>
      <c r="R27" s="2933"/>
      <c r="S27" s="2931" t="s">
        <v>63</v>
      </c>
      <c r="T27" s="2933"/>
      <c r="U27" s="1513"/>
      <c r="W27" s="108" t="s">
        <v>7</v>
      </c>
      <c r="X27" s="3108" t="s">
        <v>62</v>
      </c>
      <c r="Y27" s="3110"/>
      <c r="Z27" s="3110"/>
      <c r="AA27" s="3111"/>
      <c r="AB27" s="3106" t="s">
        <v>1375</v>
      </c>
      <c r="AC27" s="2904"/>
      <c r="AD27" s="2904"/>
      <c r="AE27" s="2905"/>
      <c r="AF27" s="3106" t="s">
        <v>1375</v>
      </c>
      <c r="AG27" s="2904"/>
      <c r="AH27" s="2904"/>
      <c r="AI27" s="2905"/>
      <c r="AJ27" s="3106" t="s">
        <v>1375</v>
      </c>
      <c r="AK27" s="2904"/>
      <c r="AL27" s="2904"/>
      <c r="AM27" s="2905"/>
    </row>
    <row r="28" spans="1:39" ht="34.5" customHeight="1">
      <c r="A28" s="108">
        <v>1</v>
      </c>
      <c r="B28" s="3108" t="s">
        <v>66</v>
      </c>
      <c r="C28" s="3110"/>
      <c r="D28" s="3110"/>
      <c r="E28" s="3111"/>
      <c r="F28" s="21" t="s">
        <v>106</v>
      </c>
      <c r="G28" s="1043" t="str">
        <f>'XM.GUI MAIL'!$E$28</f>
        <v>50~70</v>
      </c>
      <c r="H28" s="2450" t="str">
        <f>'XM.GUI MAIL'!$F$28</f>
        <v>(60±5)</v>
      </c>
      <c r="I28" s="2934">
        <f>'XM.FILE GOC'!AD28</f>
        <v>0</v>
      </c>
      <c r="J28" s="2867"/>
      <c r="K28" s="2867">
        <f>'XM.GUI MAIL'!AG28</f>
        <v>0</v>
      </c>
      <c r="L28" s="2867"/>
      <c r="M28" s="2867">
        <f>'XM.FILE GOC'!AK28</f>
        <v>0</v>
      </c>
      <c r="N28" s="2867"/>
      <c r="O28" s="2867">
        <f>'XM.GUI MAIL'!AN28</f>
        <v>0</v>
      </c>
      <c r="P28" s="2867"/>
      <c r="Q28" s="2867">
        <f>'XM.FILE GOC'!AR28</f>
        <v>0</v>
      </c>
      <c r="R28" s="2867"/>
      <c r="S28" s="2867">
        <f>'XM.GUI MAIL'!AU28</f>
        <v>0</v>
      </c>
      <c r="T28" s="2867"/>
      <c r="U28" s="108"/>
      <c r="W28" s="108">
        <v>1</v>
      </c>
      <c r="X28" s="3108" t="s">
        <v>66</v>
      </c>
      <c r="Y28" s="3110"/>
      <c r="Z28" s="3110"/>
      <c r="AA28" s="3111"/>
      <c r="AB28" s="1900"/>
      <c r="AC28" s="1901"/>
      <c r="AD28" s="1901"/>
      <c r="AE28" s="1598"/>
      <c r="AF28" s="1900"/>
      <c r="AG28" s="1901"/>
      <c r="AH28" s="1901"/>
      <c r="AI28" s="1598"/>
      <c r="AJ28" s="1900"/>
      <c r="AK28" s="1901"/>
      <c r="AL28" s="1901"/>
      <c r="AM28" s="1598"/>
    </row>
    <row r="29" spans="1:39" ht="34.5" customHeight="1">
      <c r="A29" s="108">
        <v>2</v>
      </c>
      <c r="B29" s="3108" t="s">
        <v>67</v>
      </c>
      <c r="C29" s="3110" t="s">
        <v>67</v>
      </c>
      <c r="D29" s="3110" t="s">
        <v>67</v>
      </c>
      <c r="E29" s="3111" t="s">
        <v>67</v>
      </c>
      <c r="F29" s="21" t="s">
        <v>106</v>
      </c>
      <c r="G29" s="1043" t="str">
        <f>'XM.GUI MAIL'!$E$29</f>
        <v>50~70</v>
      </c>
      <c r="H29" s="2450" t="str">
        <f>'XM.GUI MAIL'!$F$29</f>
        <v>(60±5)</v>
      </c>
      <c r="I29" s="2934">
        <f>'XM.FILE GOC'!AD29</f>
        <v>0</v>
      </c>
      <c r="J29" s="2867"/>
      <c r="K29" s="2867">
        <f>'XM.GUI MAIL'!AG29</f>
        <v>0</v>
      </c>
      <c r="L29" s="2867"/>
      <c r="M29" s="2867">
        <f>'XM.FILE GOC'!AK29</f>
        <v>0</v>
      </c>
      <c r="N29" s="2867"/>
      <c r="O29" s="2867">
        <f>'XM.GUI MAIL'!AN29</f>
        <v>0</v>
      </c>
      <c r="P29" s="2867"/>
      <c r="Q29" s="2867">
        <f>'XM.FILE GOC'!AR29</f>
        <v>0</v>
      </c>
      <c r="R29" s="2867"/>
      <c r="S29" s="2867">
        <f>'XM.GUI MAIL'!AU29</f>
        <v>0</v>
      </c>
      <c r="T29" s="2867"/>
      <c r="U29" s="108"/>
      <c r="W29" s="108">
        <v>2</v>
      </c>
      <c r="X29" s="3108" t="s">
        <v>67</v>
      </c>
      <c r="Y29" s="3110" t="s">
        <v>67</v>
      </c>
      <c r="Z29" s="3110" t="s">
        <v>67</v>
      </c>
      <c r="AA29" s="3111" t="s">
        <v>67</v>
      </c>
      <c r="AB29" s="1900"/>
      <c r="AC29" s="1901"/>
      <c r="AD29" s="1901"/>
      <c r="AE29" s="1598"/>
      <c r="AF29" s="1900"/>
      <c r="AG29" s="1901"/>
      <c r="AH29" s="1901"/>
      <c r="AI29" s="1598"/>
      <c r="AJ29" s="1900"/>
      <c r="AK29" s="1901"/>
      <c r="AL29" s="1901"/>
      <c r="AM29" s="1598"/>
    </row>
    <row r="30" spans="1:39" ht="34.5" customHeight="1">
      <c r="A30" s="108">
        <v>3</v>
      </c>
      <c r="B30" s="3108" t="s">
        <v>69</v>
      </c>
      <c r="C30" s="3110" t="s">
        <v>69</v>
      </c>
      <c r="D30" s="3110" t="s">
        <v>69</v>
      </c>
      <c r="E30" s="3111" t="s">
        <v>69</v>
      </c>
      <c r="F30" s="21" t="s">
        <v>106</v>
      </c>
      <c r="G30" s="1043" t="str">
        <f>'XM.GUI MAIL'!$E$30</f>
        <v>40~60</v>
      </c>
      <c r="H30" s="2450" t="str">
        <f>'XM.GUI MAIL'!$F$30</f>
        <v>(50±5)</v>
      </c>
      <c r="I30" s="2829">
        <f>'XM.FILE GOC'!AD30</f>
        <v>0</v>
      </c>
      <c r="J30" s="2819"/>
      <c r="K30" s="2828">
        <f>'XM.GUI MAIL'!AG30</f>
        <v>0</v>
      </c>
      <c r="L30" s="2819"/>
      <c r="M30" s="2828">
        <f>'XM.FILE GOC'!AK30</f>
        <v>0</v>
      </c>
      <c r="N30" s="2819"/>
      <c r="O30" s="2828">
        <f>'XM.GUI MAIL'!AN30</f>
        <v>0</v>
      </c>
      <c r="P30" s="2819"/>
      <c r="Q30" s="2828">
        <f>'XM.FILE GOC'!AR30</f>
        <v>0</v>
      </c>
      <c r="R30" s="2819"/>
      <c r="S30" s="2828">
        <f>'XM.GUI MAIL'!AU30</f>
        <v>0</v>
      </c>
      <c r="T30" s="2819"/>
      <c r="U30" s="108"/>
      <c r="W30" s="108">
        <v>3</v>
      </c>
      <c r="X30" s="3108" t="s">
        <v>69</v>
      </c>
      <c r="Y30" s="3110" t="s">
        <v>69</v>
      </c>
      <c r="Z30" s="3110" t="s">
        <v>69</v>
      </c>
      <c r="AA30" s="3111" t="s">
        <v>69</v>
      </c>
      <c r="AB30" s="1900"/>
      <c r="AC30" s="1901"/>
      <c r="AD30" s="1901"/>
      <c r="AE30" s="1598"/>
      <c r="AF30" s="1900"/>
      <c r="AG30" s="1901"/>
      <c r="AH30" s="1901"/>
      <c r="AI30" s="1598"/>
      <c r="AJ30" s="1900"/>
      <c r="AK30" s="1901"/>
      <c r="AL30" s="1901"/>
      <c r="AM30" s="1598"/>
    </row>
    <row r="31" spans="1:39" ht="34.5" customHeight="1">
      <c r="A31" s="108">
        <v>4</v>
      </c>
      <c r="B31" s="3108" t="s">
        <v>68</v>
      </c>
      <c r="C31" s="3110" t="s">
        <v>68</v>
      </c>
      <c r="D31" s="3110" t="s">
        <v>68</v>
      </c>
      <c r="E31" s="3111" t="s">
        <v>68</v>
      </c>
      <c r="F31" s="21" t="s">
        <v>106</v>
      </c>
      <c r="G31" s="1043" t="str">
        <f>'XM.GUI MAIL'!$E$31</f>
        <v>40~60</v>
      </c>
      <c r="H31" s="2450" t="str">
        <f>'XM.GUI MAIL'!$F$31</f>
        <v>(50±5)</v>
      </c>
      <c r="I31" s="2829">
        <f>'XM.FILE GOC'!AD31</f>
        <v>0</v>
      </c>
      <c r="J31" s="2819"/>
      <c r="K31" s="2828">
        <f>'XM.GUI MAIL'!AG31</f>
        <v>0</v>
      </c>
      <c r="L31" s="2819"/>
      <c r="M31" s="2828">
        <f>'XM.FILE GOC'!AK31</f>
        <v>0</v>
      </c>
      <c r="N31" s="2819"/>
      <c r="O31" s="2828">
        <f>'XM.GUI MAIL'!AN31</f>
        <v>0</v>
      </c>
      <c r="P31" s="2819"/>
      <c r="Q31" s="2828">
        <f>'XM.FILE GOC'!AR31</f>
        <v>0</v>
      </c>
      <c r="R31" s="2819"/>
      <c r="S31" s="2828">
        <f>'XM.GUI MAIL'!AU31</f>
        <v>0</v>
      </c>
      <c r="T31" s="2819"/>
      <c r="U31" s="108"/>
      <c r="W31" s="108">
        <v>4</v>
      </c>
      <c r="X31" s="3108" t="s">
        <v>68</v>
      </c>
      <c r="Y31" s="3110" t="s">
        <v>68</v>
      </c>
      <c r="Z31" s="3110" t="s">
        <v>68</v>
      </c>
      <c r="AA31" s="3111" t="s">
        <v>68</v>
      </c>
      <c r="AB31" s="1900"/>
      <c r="AC31" s="1901"/>
      <c r="AD31" s="1901"/>
      <c r="AE31" s="1598"/>
      <c r="AF31" s="1900"/>
      <c r="AG31" s="1901"/>
      <c r="AH31" s="1901"/>
      <c r="AI31" s="1598"/>
      <c r="AJ31" s="1900"/>
      <c r="AK31" s="1901"/>
      <c r="AL31" s="1901"/>
      <c r="AM31" s="1598"/>
    </row>
    <row r="32" spans="1:39" ht="34.5" customHeight="1">
      <c r="A32" s="108">
        <v>5</v>
      </c>
      <c r="B32" s="3108" t="s">
        <v>70</v>
      </c>
      <c r="C32" s="3110" t="s">
        <v>70</v>
      </c>
      <c r="D32" s="3110" t="s">
        <v>70</v>
      </c>
      <c r="E32" s="3111" t="s">
        <v>70</v>
      </c>
      <c r="F32" s="21" t="s">
        <v>106</v>
      </c>
      <c r="G32" s="1043" t="str">
        <f>'XM.GUI MAIL'!$E$32</f>
        <v>20~35</v>
      </c>
      <c r="H32" s="2450" t="str">
        <f>'XM.GUI MAIL'!$F$32</f>
        <v>(30±4)</v>
      </c>
      <c r="I32" s="2934">
        <f>'XM.FILE GOC'!AD32</f>
        <v>0</v>
      </c>
      <c r="J32" s="2867"/>
      <c r="K32" s="2867">
        <f>'XM.GUI MAIL'!AG32</f>
        <v>0</v>
      </c>
      <c r="L32" s="2867"/>
      <c r="M32" s="2867">
        <f>'XM.FILE GOC'!AK32</f>
        <v>0</v>
      </c>
      <c r="N32" s="2867"/>
      <c r="O32" s="2867">
        <f>'XM.GUI MAIL'!AN32</f>
        <v>0</v>
      </c>
      <c r="P32" s="2867"/>
      <c r="Q32" s="2867">
        <f>'XM.FILE GOC'!AR32</f>
        <v>0</v>
      </c>
      <c r="R32" s="2867"/>
      <c r="S32" s="2867">
        <f>'XM.GUI MAIL'!AU32</f>
        <v>0</v>
      </c>
      <c r="T32" s="2867"/>
      <c r="U32" s="108"/>
      <c r="W32" s="108">
        <v>5</v>
      </c>
      <c r="X32" s="3108" t="s">
        <v>70</v>
      </c>
      <c r="Y32" s="3110" t="s">
        <v>70</v>
      </c>
      <c r="Z32" s="3110" t="s">
        <v>70</v>
      </c>
      <c r="AA32" s="3111" t="s">
        <v>70</v>
      </c>
      <c r="AB32" s="1900"/>
      <c r="AC32" s="1901"/>
      <c r="AD32" s="1901"/>
      <c r="AE32" s="1598"/>
      <c r="AF32" s="1900"/>
      <c r="AG32" s="1901"/>
      <c r="AH32" s="1901"/>
      <c r="AI32" s="1598"/>
      <c r="AJ32" s="1900"/>
      <c r="AK32" s="1901"/>
      <c r="AL32" s="1901"/>
      <c r="AM32" s="1598"/>
    </row>
    <row r="33" spans="1:39" ht="34.5" customHeight="1">
      <c r="A33" s="108">
        <v>6</v>
      </c>
      <c r="B33" s="3108" t="s">
        <v>985</v>
      </c>
      <c r="C33" s="3110" t="s">
        <v>985</v>
      </c>
      <c r="D33" s="3110" t="s">
        <v>985</v>
      </c>
      <c r="E33" s="3111" t="s">
        <v>985</v>
      </c>
      <c r="F33" s="21" t="s">
        <v>106</v>
      </c>
      <c r="G33" s="1043" t="str">
        <f>'XM.GUI MAIL'!$E$33</f>
        <v>30~40</v>
      </c>
      <c r="H33" s="2450" t="str">
        <f>'XM.GUI MAIL'!$F$33</f>
        <v>(34±3)</v>
      </c>
      <c r="I33" s="2934">
        <f>'XM.FILE GOC'!AD33</f>
        <v>0</v>
      </c>
      <c r="J33" s="2867"/>
      <c r="K33" s="2867">
        <f>'XM.GUI MAIL'!AG33</f>
        <v>0</v>
      </c>
      <c r="L33" s="2867"/>
      <c r="M33" s="2867">
        <f>'XM.FILE GOC'!AK33</f>
        <v>0</v>
      </c>
      <c r="N33" s="2867"/>
      <c r="O33" s="2867">
        <f>'XM.GUI MAIL'!AN33</f>
        <v>0</v>
      </c>
      <c r="P33" s="2867"/>
      <c r="Q33" s="2867">
        <f>'XM.FILE GOC'!AR33</f>
        <v>0</v>
      </c>
      <c r="R33" s="2867"/>
      <c r="S33" s="2867">
        <f>'XM.GUI MAIL'!AU33</f>
        <v>0</v>
      </c>
      <c r="T33" s="2867"/>
      <c r="U33" s="108"/>
      <c r="W33" s="108">
        <v>6</v>
      </c>
      <c r="X33" s="3108" t="s">
        <v>985</v>
      </c>
      <c r="Y33" s="3110" t="s">
        <v>985</v>
      </c>
      <c r="Z33" s="3110" t="s">
        <v>985</v>
      </c>
      <c r="AA33" s="3111" t="s">
        <v>985</v>
      </c>
      <c r="AB33" s="1900"/>
      <c r="AC33" s="1901"/>
      <c r="AD33" s="1901"/>
      <c r="AE33" s="1598"/>
      <c r="AF33" s="1900"/>
      <c r="AG33" s="1901"/>
      <c r="AH33" s="1901"/>
      <c r="AI33" s="1598"/>
      <c r="AJ33" s="1900"/>
      <c r="AK33" s="1901"/>
      <c r="AL33" s="1901"/>
      <c r="AM33" s="1598"/>
    </row>
    <row r="34" spans="1:39" ht="34.5" customHeight="1">
      <c r="A34" s="108">
        <v>7</v>
      </c>
      <c r="B34" s="3108" t="s">
        <v>71</v>
      </c>
      <c r="C34" s="3110" t="s">
        <v>71</v>
      </c>
      <c r="D34" s="3110" t="s">
        <v>71</v>
      </c>
      <c r="E34" s="3111" t="s">
        <v>71</v>
      </c>
      <c r="F34" s="21" t="s">
        <v>106</v>
      </c>
      <c r="G34" s="1043" t="str">
        <f>'XM.GUI MAIL'!$E$34</f>
        <v>50~70</v>
      </c>
      <c r="H34" s="2450" t="str">
        <f>'XM.GUI MAIL'!$F$34</f>
        <v>(60±10)</v>
      </c>
      <c r="I34" s="2934">
        <f>'XM.FILE GOC'!AD34</f>
        <v>0</v>
      </c>
      <c r="J34" s="2867"/>
      <c r="K34" s="2867">
        <f>'XM.GUI MAIL'!AG34</f>
        <v>0</v>
      </c>
      <c r="L34" s="2867"/>
      <c r="M34" s="2867">
        <f>'XM.FILE GOC'!AK34</f>
        <v>0</v>
      </c>
      <c r="N34" s="2867"/>
      <c r="O34" s="2867">
        <f>'XM.GUI MAIL'!AN34</f>
        <v>0</v>
      </c>
      <c r="P34" s="2867"/>
      <c r="Q34" s="2867">
        <f>'XM.FILE GOC'!AR34</f>
        <v>0</v>
      </c>
      <c r="R34" s="2867"/>
      <c r="S34" s="2867">
        <f>'XM.GUI MAIL'!AU34</f>
        <v>0</v>
      </c>
      <c r="T34" s="2867"/>
      <c r="U34" s="108"/>
      <c r="W34" s="108">
        <v>7</v>
      </c>
      <c r="X34" s="3108" t="s">
        <v>71</v>
      </c>
      <c r="Y34" s="3110" t="s">
        <v>71</v>
      </c>
      <c r="Z34" s="3110" t="s">
        <v>71</v>
      </c>
      <c r="AA34" s="3111" t="s">
        <v>71</v>
      </c>
      <c r="AB34" s="1900"/>
      <c r="AC34" s="1901"/>
      <c r="AD34" s="1901"/>
      <c r="AE34" s="1598"/>
      <c r="AF34" s="1900"/>
      <c r="AG34" s="1901"/>
      <c r="AH34" s="1901"/>
      <c r="AI34" s="1598"/>
      <c r="AJ34" s="1900"/>
      <c r="AK34" s="1901"/>
      <c r="AL34" s="1901"/>
      <c r="AM34" s="1598"/>
    </row>
    <row r="35" spans="1:39" ht="34.5" customHeight="1">
      <c r="A35" s="108">
        <v>8</v>
      </c>
      <c r="B35" s="3112" t="s">
        <v>72</v>
      </c>
      <c r="C35" s="3113" t="s">
        <v>72</v>
      </c>
      <c r="D35" s="3113" t="s">
        <v>72</v>
      </c>
      <c r="E35" s="3114" t="s">
        <v>72</v>
      </c>
      <c r="F35" s="21" t="s">
        <v>106</v>
      </c>
      <c r="G35" s="1043" t="str">
        <f>'XM.GUI MAIL'!$E$35</f>
        <v>80~100</v>
      </c>
      <c r="H35" s="2450" t="str">
        <f>'XM.GUI MAIL'!$F$35</f>
        <v>(90±5)</v>
      </c>
      <c r="I35" s="2933" t="str">
        <f>'XM.FILE GOC'!AD35</f>
        <v>\</v>
      </c>
      <c r="J35" s="2868"/>
      <c r="K35" s="2867">
        <f>'XM.GUI MAIL'!AG35</f>
        <v>0</v>
      </c>
      <c r="L35" s="2867"/>
      <c r="M35" s="2868" t="str">
        <f>'XM.FILE GOC'!AK35</f>
        <v>\</v>
      </c>
      <c r="N35" s="2868"/>
      <c r="O35" s="2867">
        <f>'XM.GUI MAIL'!AN35</f>
        <v>0</v>
      </c>
      <c r="P35" s="2867"/>
      <c r="Q35" s="2868" t="str">
        <f>'XM.FILE GOC'!AR35</f>
        <v>\</v>
      </c>
      <c r="R35" s="2868"/>
      <c r="S35" s="2867">
        <f>'XM.GUI MAIL'!AU35</f>
        <v>0</v>
      </c>
      <c r="T35" s="2867"/>
      <c r="U35" s="108"/>
      <c r="W35" s="108">
        <v>8</v>
      </c>
      <c r="X35" s="3112" t="s">
        <v>72</v>
      </c>
      <c r="Y35" s="3113" t="s">
        <v>72</v>
      </c>
      <c r="Z35" s="3113" t="s">
        <v>72</v>
      </c>
      <c r="AA35" s="3114" t="s">
        <v>72</v>
      </c>
      <c r="AB35" s="1899"/>
      <c r="AC35" s="1898"/>
      <c r="AD35" s="1898"/>
      <c r="AE35" s="1599"/>
      <c r="AF35" s="1899"/>
      <c r="AG35" s="1898"/>
      <c r="AH35" s="1898"/>
      <c r="AI35" s="1599"/>
      <c r="AJ35" s="1899"/>
      <c r="AK35" s="1898"/>
      <c r="AL35" s="1898"/>
      <c r="AM35" s="1599"/>
    </row>
    <row r="36" spans="1:39" ht="34.5" customHeight="1">
      <c r="A36" s="268"/>
      <c r="B36" s="264"/>
      <c r="C36" s="265"/>
      <c r="D36" s="265"/>
      <c r="E36" s="265"/>
      <c r="F36" s="265"/>
      <c r="G36" s="267" t="s">
        <v>111</v>
      </c>
      <c r="H36" s="267"/>
      <c r="I36" s="265"/>
      <c r="J36" s="265"/>
      <c r="K36" s="265"/>
      <c r="L36" s="265"/>
      <c r="M36" s="265"/>
      <c r="N36" s="265"/>
      <c r="O36" s="265"/>
      <c r="P36" s="265"/>
      <c r="Q36" s="265"/>
      <c r="R36" s="265"/>
      <c r="S36" s="265"/>
      <c r="T36" s="265"/>
      <c r="U36" s="266"/>
      <c r="W36" s="268"/>
      <c r="X36" s="1600"/>
      <c r="Y36" s="1600"/>
      <c r="Z36" s="1600"/>
      <c r="AA36" s="1600"/>
      <c r="AB36" s="1600"/>
      <c r="AC36" s="1600"/>
      <c r="AD36" s="1600"/>
      <c r="AE36" s="1600"/>
      <c r="AF36" s="1600"/>
      <c r="AG36" s="1600"/>
      <c r="AH36" s="1600"/>
      <c r="AI36" s="1600"/>
      <c r="AJ36" s="16"/>
      <c r="AK36" s="16"/>
      <c r="AL36" s="16"/>
      <c r="AM36" s="16"/>
    </row>
    <row r="37" spans="1:39" ht="34.5" customHeight="1">
      <c r="A37" s="108" t="s">
        <v>7</v>
      </c>
      <c r="B37" s="3108" t="s">
        <v>93</v>
      </c>
      <c r="C37" s="3110"/>
      <c r="D37" s="3110"/>
      <c r="E37" s="3111"/>
      <c r="F37" s="1519" t="s">
        <v>94</v>
      </c>
      <c r="G37" s="1010" t="s">
        <v>1325</v>
      </c>
      <c r="H37" s="2429" t="s">
        <v>1317</v>
      </c>
      <c r="I37" s="2932" t="s">
        <v>112</v>
      </c>
      <c r="J37" s="2932"/>
      <c r="K37" s="2932"/>
      <c r="L37" s="2933"/>
      <c r="M37" s="2931" t="s">
        <v>112</v>
      </c>
      <c r="N37" s="2932"/>
      <c r="O37" s="2932"/>
      <c r="P37" s="2933"/>
      <c r="Q37" s="2931" t="s">
        <v>112</v>
      </c>
      <c r="R37" s="2932"/>
      <c r="S37" s="2932"/>
      <c r="T37" s="2933"/>
      <c r="U37" s="1513"/>
      <c r="W37" s="108" t="s">
        <v>7</v>
      </c>
      <c r="X37" s="3128" t="s">
        <v>93</v>
      </c>
      <c r="Y37" s="3128"/>
      <c r="Z37" s="3128"/>
      <c r="AA37" s="3128"/>
      <c r="AB37" s="3106" t="s">
        <v>1375</v>
      </c>
      <c r="AC37" s="2904"/>
      <c r="AD37" s="2904"/>
      <c r="AE37" s="2905"/>
      <c r="AF37" s="3106" t="s">
        <v>1375</v>
      </c>
      <c r="AG37" s="2904"/>
      <c r="AH37" s="2904"/>
      <c r="AI37" s="2905"/>
      <c r="AJ37" s="3106" t="s">
        <v>1375</v>
      </c>
      <c r="AK37" s="2904"/>
      <c r="AL37" s="2904"/>
      <c r="AM37" s="2905"/>
    </row>
    <row r="38" spans="1:39" ht="39.75" customHeight="1">
      <c r="A38" s="108">
        <v>1</v>
      </c>
      <c r="B38" s="3108" t="s">
        <v>52</v>
      </c>
      <c r="C38" s="3110"/>
      <c r="D38" s="3110"/>
      <c r="E38" s="3111"/>
      <c r="F38" s="23" t="s">
        <v>49</v>
      </c>
      <c r="G38" s="271" t="str">
        <f>'XM.GUI MAIL'!$E$37</f>
        <v>300-360</v>
      </c>
      <c r="H38" s="2451" t="str">
        <f>'XM.GUI MAIL'!$F$37</f>
        <v>300-360</v>
      </c>
      <c r="I38" s="3088">
        <f>'XM.FILE GOC'!AD37</f>
        <v>0</v>
      </c>
      <c r="J38" s="3088"/>
      <c r="K38" s="3088"/>
      <c r="L38" s="3088"/>
      <c r="M38" s="3016">
        <f>'XM.FILE GOC'!AK37</f>
        <v>0</v>
      </c>
      <c r="N38" s="3088"/>
      <c r="O38" s="3088"/>
      <c r="P38" s="3088"/>
      <c r="Q38" s="3016">
        <f>'XM.FILE GOC'!AR37</f>
        <v>0</v>
      </c>
      <c r="R38" s="3088"/>
      <c r="S38" s="3088"/>
      <c r="T38" s="3088"/>
      <c r="U38" s="108"/>
      <c r="W38" s="108">
        <v>1</v>
      </c>
      <c r="X38" s="3108" t="s">
        <v>52</v>
      </c>
      <c r="Y38" s="3110"/>
      <c r="Z38" s="3110"/>
      <c r="AA38" s="3111"/>
      <c r="AB38" s="1597"/>
      <c r="AC38" s="1901"/>
      <c r="AD38" s="1901"/>
      <c r="AE38" s="1598"/>
      <c r="AF38" s="1700"/>
      <c r="AG38" s="1901"/>
      <c r="AH38" s="1901"/>
      <c r="AI38" s="1598"/>
      <c r="AJ38" s="1597"/>
      <c r="AK38" s="1901"/>
      <c r="AL38" s="1901"/>
      <c r="AM38" s="1598"/>
    </row>
    <row r="39" spans="1:39" ht="39.75" customHeight="1">
      <c r="A39" s="108">
        <v>2</v>
      </c>
      <c r="B39" s="3108" t="s">
        <v>87</v>
      </c>
      <c r="C39" s="3110"/>
      <c r="D39" s="3110"/>
      <c r="E39" s="3111"/>
      <c r="F39" s="23" t="s">
        <v>49</v>
      </c>
      <c r="G39" s="272" t="str">
        <f>'XM.GUI MAIL'!$E$38</f>
        <v>30-50</v>
      </c>
      <c r="H39" s="2452" t="str">
        <f>'XM.GUI MAIL'!$F$38</f>
        <v>30-50</v>
      </c>
      <c r="I39" s="3088">
        <f>'XM.FILE GOC'!AD38</f>
        <v>0</v>
      </c>
      <c r="J39" s="3088"/>
      <c r="K39" s="3088"/>
      <c r="L39" s="3088"/>
      <c r="M39" s="3016">
        <f>'XM.FILE GOC'!AK38</f>
        <v>0</v>
      </c>
      <c r="N39" s="3088"/>
      <c r="O39" s="3088"/>
      <c r="P39" s="3088"/>
      <c r="Q39" s="3016">
        <f>'XM.FILE GOC'!AR38</f>
        <v>0</v>
      </c>
      <c r="R39" s="3088"/>
      <c r="S39" s="3088"/>
      <c r="T39" s="3088"/>
      <c r="U39" s="108"/>
      <c r="W39" s="108">
        <v>2</v>
      </c>
      <c r="X39" s="3108" t="s">
        <v>87</v>
      </c>
      <c r="Y39" s="3110"/>
      <c r="Z39" s="3110"/>
      <c r="AA39" s="3111"/>
      <c r="AB39" s="1593"/>
      <c r="AC39" s="1898"/>
      <c r="AD39" s="1898"/>
      <c r="AE39" s="1599"/>
      <c r="AF39" s="1691"/>
      <c r="AG39" s="1898"/>
      <c r="AH39" s="1898"/>
      <c r="AI39" s="1599"/>
      <c r="AJ39" s="1593"/>
      <c r="AK39" s="1898"/>
      <c r="AL39" s="1898"/>
      <c r="AM39" s="1599"/>
    </row>
  </sheetData>
  <mergeCells count="181">
    <mergeCell ref="AB3:AC3"/>
    <mergeCell ref="E3:F3"/>
    <mergeCell ref="X6:Y8"/>
    <mergeCell ref="Z6:AA6"/>
    <mergeCell ref="Z7:AA7"/>
    <mergeCell ref="Z8:AA8"/>
    <mergeCell ref="AB4:AE4"/>
    <mergeCell ref="X12:Y13"/>
    <mergeCell ref="Z12:AA12"/>
    <mergeCell ref="Z13:AA13"/>
    <mergeCell ref="F4:F5"/>
    <mergeCell ref="G4:G5"/>
    <mergeCell ref="H4:H5"/>
    <mergeCell ref="I4:L4"/>
    <mergeCell ref="M4:P4"/>
    <mergeCell ref="Q4:T4"/>
    <mergeCell ref="W6:W8"/>
    <mergeCell ref="Z14:AA14"/>
    <mergeCell ref="Z15:AA15"/>
    <mergeCell ref="AB5:AC5"/>
    <mergeCell ref="AD5:AE5"/>
    <mergeCell ref="X35:AA35"/>
    <mergeCell ref="X37:AA37"/>
    <mergeCell ref="X33:AA33"/>
    <mergeCell ref="X34:AA34"/>
    <mergeCell ref="X31:AA31"/>
    <mergeCell ref="X32:AA32"/>
    <mergeCell ref="X29:AA29"/>
    <mergeCell ref="X30:AA30"/>
    <mergeCell ref="X28:AA28"/>
    <mergeCell ref="AB37:AE37"/>
    <mergeCell ref="X16:AA16"/>
    <mergeCell ref="X17:AA17"/>
    <mergeCell ref="X9:Y11"/>
    <mergeCell ref="Z9:AA9"/>
    <mergeCell ref="Z10:AA10"/>
    <mergeCell ref="Z11:AA11"/>
    <mergeCell ref="X14:Y15"/>
    <mergeCell ref="W18:W19"/>
    <mergeCell ref="X18:AA19"/>
    <mergeCell ref="X20:AA20"/>
    <mergeCell ref="X21:AA21"/>
    <mergeCell ref="X22:AA22"/>
    <mergeCell ref="X23:AA23"/>
    <mergeCell ref="W24:W25"/>
    <mergeCell ref="X24:AA25"/>
    <mergeCell ref="X27:AA27"/>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G3:H3"/>
    <mergeCell ref="A14:A15"/>
    <mergeCell ref="B14:C15"/>
    <mergeCell ref="D14:E14"/>
    <mergeCell ref="D15:E15"/>
    <mergeCell ref="W9:W11"/>
    <mergeCell ref="W12:W13"/>
    <mergeCell ref="W14:W15"/>
    <mergeCell ref="A16:A17"/>
    <mergeCell ref="B16:E16"/>
    <mergeCell ref="B17:E17"/>
    <mergeCell ref="A9:A11"/>
    <mergeCell ref="B9:C11"/>
    <mergeCell ref="D9:E9"/>
    <mergeCell ref="D10:E10"/>
    <mergeCell ref="D11:E11"/>
    <mergeCell ref="A12:A13"/>
    <mergeCell ref="B12:C13"/>
    <mergeCell ref="D12:E12"/>
    <mergeCell ref="D13:E13"/>
    <mergeCell ref="W16:W17"/>
    <mergeCell ref="A24:A25"/>
    <mergeCell ref="B24:E25"/>
    <mergeCell ref="B27:E27"/>
    <mergeCell ref="I27:J27"/>
    <mergeCell ref="K27:L27"/>
    <mergeCell ref="M27:N27"/>
    <mergeCell ref="A18:A19"/>
    <mergeCell ref="B18:E19"/>
    <mergeCell ref="B20:E20"/>
    <mergeCell ref="B21:E21"/>
    <mergeCell ref="B22:E22"/>
    <mergeCell ref="B23:E23"/>
    <mergeCell ref="O27:P27"/>
    <mergeCell ref="Q27:R27"/>
    <mergeCell ref="S27:T27"/>
    <mergeCell ref="B28:E28"/>
    <mergeCell ref="I28:J28"/>
    <mergeCell ref="K28:L28"/>
    <mergeCell ref="M28:N28"/>
    <mergeCell ref="O28:P28"/>
    <mergeCell ref="Q28:R28"/>
    <mergeCell ref="S28:T28"/>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AJ37:AM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AF37:AI37"/>
    <mergeCell ref="X38:AA38"/>
    <mergeCell ref="X39:AA39"/>
    <mergeCell ref="AF5:AG5"/>
    <mergeCell ref="AH5:AI5"/>
    <mergeCell ref="AJ5:AK5"/>
    <mergeCell ref="AL5:AM5"/>
    <mergeCell ref="AJ4:AM4"/>
    <mergeCell ref="AB27:AE27"/>
    <mergeCell ref="AJ27:AM27"/>
    <mergeCell ref="AF4:AI4"/>
    <mergeCell ref="AF27:AI27"/>
  </mergeCells>
  <conditionalFormatting sqref="I38 M38 Q38">
    <cfRule type="expression" dxfId="2124" priority="1147">
      <formula>I38&lt;300</formula>
    </cfRule>
    <cfRule type="expression" dxfId="2123" priority="1148">
      <formula>I38&gt;360</formula>
    </cfRule>
  </conditionalFormatting>
  <conditionalFormatting sqref="I39 M39 Q39">
    <cfRule type="expression" dxfId="2122" priority="1145">
      <formula>I39&lt;30</formula>
    </cfRule>
    <cfRule type="expression" dxfId="2121" priority="1146">
      <formula>I39&gt;50</formula>
    </cfRule>
  </conditionalFormatting>
  <conditionalFormatting sqref="I16">
    <cfRule type="cellIs" dxfId="2120" priority="333" operator="between">
      <formula>130</formula>
      <formula>132.99</formula>
    </cfRule>
    <cfRule type="cellIs" dxfId="2119" priority="334" operator="between">
      <formula>147.1</formula>
      <formula>150</formula>
    </cfRule>
    <cfRule type="expression" dxfId="2118" priority="335">
      <formula>I16&lt;130</formula>
    </cfRule>
    <cfRule type="expression" dxfId="2117" priority="336">
      <formula>I16&gt;150</formula>
    </cfRule>
  </conditionalFormatting>
  <conditionalFormatting sqref="I17">
    <cfRule type="expression" dxfId="2116" priority="331">
      <formula>I17&lt;8</formula>
    </cfRule>
    <cfRule type="expression" dxfId="2115" priority="332">
      <formula>I17&gt;12</formula>
    </cfRule>
  </conditionalFormatting>
  <conditionalFormatting sqref="I19">
    <cfRule type="cellIs" dxfId="2114" priority="328" operator="between">
      <formula>1.6</formula>
      <formula>1.799</formula>
    </cfRule>
    <cfRule type="expression" dxfId="2113" priority="329">
      <formula>I19&lt;1.6</formula>
    </cfRule>
    <cfRule type="expression" dxfId="2112" priority="330">
      <formula>I19&gt;2.2</formula>
    </cfRule>
  </conditionalFormatting>
  <conditionalFormatting sqref="I21">
    <cfRule type="cellIs" dxfId="2111" priority="324" operator="between">
      <formula>15%</formula>
      <formula>16.99%</formula>
    </cfRule>
    <cfRule type="cellIs" dxfId="2110" priority="325" operator="between">
      <formula>27.01%</formula>
      <formula>30%</formula>
    </cfRule>
    <cfRule type="expression" dxfId="2109" priority="326">
      <formula>I21&lt;15%</formula>
    </cfRule>
    <cfRule type="expression" dxfId="2108" priority="327">
      <formula>I21&gt;30%</formula>
    </cfRule>
  </conditionalFormatting>
  <conditionalFormatting sqref="I22">
    <cfRule type="cellIs" dxfId="2107" priority="320" operator="between">
      <formula>5%</formula>
      <formula>6.99%</formula>
    </cfRule>
    <cfRule type="cellIs" dxfId="2106" priority="321" operator="between">
      <formula>12.99%</formula>
      <formula>15%</formula>
    </cfRule>
    <cfRule type="expression" dxfId="2105" priority="322">
      <formula>I22&lt;5%</formula>
    </cfRule>
    <cfRule type="expression" dxfId="2104" priority="323">
      <formula>I22&gt;15%</formula>
    </cfRule>
  </conditionalFormatting>
  <conditionalFormatting sqref="I6 I9">
    <cfRule type="cellIs" dxfId="2103" priority="316" operator="between">
      <formula>20</formula>
      <formula>24.99</formula>
    </cfRule>
    <cfRule type="cellIs" dxfId="2102" priority="317" operator="between">
      <formula>35.1</formula>
      <formula>40</formula>
    </cfRule>
    <cfRule type="expression" dxfId="2101" priority="318">
      <formula>I6&lt;20</formula>
    </cfRule>
    <cfRule type="expression" dxfId="2100" priority="319">
      <formula>I6&gt;40</formula>
    </cfRule>
  </conditionalFormatting>
  <conditionalFormatting sqref="I12 I14">
    <cfRule type="expression" dxfId="2099" priority="314" stopIfTrue="1">
      <formula>I12&gt;80</formula>
    </cfRule>
    <cfRule type="expression" dxfId="2098" priority="315" stopIfTrue="1">
      <formula>I12&lt;60</formula>
    </cfRule>
  </conditionalFormatting>
  <conditionalFormatting sqref="I20">
    <cfRule type="cellIs" dxfId="2097" priority="310" operator="between">
      <formula>30%</formula>
      <formula>39.99%</formula>
    </cfRule>
    <cfRule type="cellIs" dxfId="2096" priority="311" operator="between">
      <formula>50.01%</formula>
      <formula>60%</formula>
    </cfRule>
    <cfRule type="expression" dxfId="2095" priority="312">
      <formula>I20&lt;30%</formula>
    </cfRule>
    <cfRule type="expression" dxfId="2094" priority="313">
      <formula>I20&gt;60%</formula>
    </cfRule>
  </conditionalFormatting>
  <conditionalFormatting sqref="I18">
    <cfRule type="cellIs" dxfId="2093" priority="307" operator="between">
      <formula>16.1</formula>
      <formula>18</formula>
    </cfRule>
    <cfRule type="expression" dxfId="2092" priority="308">
      <formula>I18&lt;12</formula>
    </cfRule>
    <cfRule type="expression" dxfId="2091" priority="309">
      <formula>I18&gt;18</formula>
    </cfRule>
  </conditionalFormatting>
  <conditionalFormatting sqref="I23">
    <cfRule type="cellIs" dxfId="2090" priority="303" operator="between">
      <formula>0.5%</formula>
      <formula>0.599%</formula>
    </cfRule>
    <cfRule type="cellIs" dxfId="2089" priority="304" operator="between">
      <formula>1.41%</formula>
      <formula>1.5%</formula>
    </cfRule>
    <cfRule type="expression" dxfId="2088" priority="305">
      <formula>I23&lt;0.5%</formula>
    </cfRule>
    <cfRule type="expression" dxfId="2087" priority="306">
      <formula>I23&gt;1.5%</formula>
    </cfRule>
  </conditionalFormatting>
  <conditionalFormatting sqref="M16">
    <cfRule type="cellIs" dxfId="2086" priority="299" operator="between">
      <formula>130</formula>
      <formula>132.99</formula>
    </cfRule>
    <cfRule type="cellIs" dxfId="2085" priority="300" operator="between">
      <formula>147.1</formula>
      <formula>150</formula>
    </cfRule>
    <cfRule type="expression" dxfId="2084" priority="301">
      <formula>M16&lt;130</formula>
    </cfRule>
    <cfRule type="expression" dxfId="2083" priority="302">
      <formula>M16&gt;150</formula>
    </cfRule>
  </conditionalFormatting>
  <conditionalFormatting sqref="M17">
    <cfRule type="expression" dxfId="2082" priority="297">
      <formula>M17&lt;8</formula>
    </cfRule>
    <cfRule type="expression" dxfId="2081" priority="298">
      <formula>M17&gt;12</formula>
    </cfRule>
  </conditionalFormatting>
  <conditionalFormatting sqref="M19">
    <cfRule type="cellIs" dxfId="2080" priority="294" operator="between">
      <formula>1.6</formula>
      <formula>1.799</formula>
    </cfRule>
    <cfRule type="expression" dxfId="2079" priority="295">
      <formula>M19&lt;1.6</formula>
    </cfRule>
    <cfRule type="expression" dxfId="2078" priority="296">
      <formula>M19&gt;2.2</formula>
    </cfRule>
  </conditionalFormatting>
  <conditionalFormatting sqref="M21">
    <cfRule type="cellIs" dxfId="2077" priority="290" operator="between">
      <formula>15%</formula>
      <formula>16.99%</formula>
    </cfRule>
    <cfRule type="cellIs" dxfId="2076" priority="291" operator="between">
      <formula>27.01%</formula>
      <formula>30%</formula>
    </cfRule>
    <cfRule type="expression" dxfId="2075" priority="292">
      <formula>M21&lt;15%</formula>
    </cfRule>
    <cfRule type="expression" dxfId="2074" priority="293">
      <formula>M21&gt;30%</formula>
    </cfRule>
  </conditionalFormatting>
  <conditionalFormatting sqref="M22">
    <cfRule type="cellIs" dxfId="2073" priority="286" operator="between">
      <formula>5%</formula>
      <formula>6.99%</formula>
    </cfRule>
    <cfRule type="cellIs" dxfId="2072" priority="287" operator="between">
      <formula>12.99%</formula>
      <formula>15%</formula>
    </cfRule>
    <cfRule type="expression" dxfId="2071" priority="288">
      <formula>M22&lt;5%</formula>
    </cfRule>
    <cfRule type="expression" dxfId="2070" priority="289">
      <formula>M22&gt;15%</formula>
    </cfRule>
  </conditionalFormatting>
  <conditionalFormatting sqref="M6 M9">
    <cfRule type="cellIs" dxfId="2069" priority="282" operator="between">
      <formula>20</formula>
      <formula>24.99</formula>
    </cfRule>
    <cfRule type="cellIs" dxfId="2068" priority="283" operator="between">
      <formula>35.1</formula>
      <formula>40</formula>
    </cfRule>
    <cfRule type="expression" dxfId="2067" priority="284">
      <formula>M6&lt;20</formula>
    </cfRule>
    <cfRule type="expression" dxfId="2066" priority="285">
      <formula>M6&gt;40</formula>
    </cfRule>
  </conditionalFormatting>
  <conditionalFormatting sqref="M12 M14">
    <cfRule type="expression" dxfId="2065" priority="280" stopIfTrue="1">
      <formula>M12&gt;80</formula>
    </cfRule>
    <cfRule type="expression" dxfId="2064" priority="281" stopIfTrue="1">
      <formula>M12&lt;60</formula>
    </cfRule>
  </conditionalFormatting>
  <conditionalFormatting sqref="M20">
    <cfRule type="cellIs" dxfId="2063" priority="276" operator="between">
      <formula>30%</formula>
      <formula>39.99%</formula>
    </cfRule>
    <cfRule type="cellIs" dxfId="2062" priority="277" operator="between">
      <formula>50.01%</formula>
      <formula>60%</formula>
    </cfRule>
    <cfRule type="expression" dxfId="2061" priority="278">
      <formula>M20&lt;30%</formula>
    </cfRule>
    <cfRule type="expression" dxfId="2060" priority="279">
      <formula>M20&gt;60%</formula>
    </cfRule>
  </conditionalFormatting>
  <conditionalFormatting sqref="M18">
    <cfRule type="cellIs" dxfId="2059" priority="273" operator="between">
      <formula>16.1</formula>
      <formula>18</formula>
    </cfRule>
    <cfRule type="expression" dxfId="2058" priority="274">
      <formula>M18&lt;12</formula>
    </cfRule>
    <cfRule type="expression" dxfId="2057" priority="275">
      <formula>M18&gt;18</formula>
    </cfRule>
  </conditionalFormatting>
  <conditionalFormatting sqref="M23">
    <cfRule type="cellIs" dxfId="2056" priority="269" operator="between">
      <formula>0.5%</formula>
      <formula>0.599%</formula>
    </cfRule>
    <cfRule type="cellIs" dxfId="2055" priority="270" operator="between">
      <formula>1.41%</formula>
      <formula>1.5%</formula>
    </cfRule>
    <cfRule type="expression" dxfId="2054" priority="271">
      <formula>M23&lt;0.5%</formula>
    </cfRule>
    <cfRule type="expression" dxfId="2053" priority="272">
      <formula>M23&gt;1.5%</formula>
    </cfRule>
  </conditionalFormatting>
  <conditionalFormatting sqref="Q16">
    <cfRule type="cellIs" dxfId="2052" priority="265" operator="between">
      <formula>130</formula>
      <formula>132.99</formula>
    </cfRule>
    <cfRule type="cellIs" dxfId="2051" priority="266" operator="between">
      <formula>147.1</formula>
      <formula>150</formula>
    </cfRule>
    <cfRule type="expression" dxfId="2050" priority="267">
      <formula>Q16&lt;130</formula>
    </cfRule>
    <cfRule type="expression" dxfId="2049" priority="268">
      <formula>Q16&gt;150</formula>
    </cfRule>
  </conditionalFormatting>
  <conditionalFormatting sqref="Q17">
    <cfRule type="expression" dxfId="2048" priority="263">
      <formula>Q17&lt;8</formula>
    </cfRule>
    <cfRule type="expression" dxfId="2047" priority="264">
      <formula>Q17&gt;12</formula>
    </cfRule>
  </conditionalFormatting>
  <conditionalFormatting sqref="Q19">
    <cfRule type="cellIs" dxfId="2046" priority="260" operator="between">
      <formula>1.6</formula>
      <formula>1.799</formula>
    </cfRule>
    <cfRule type="expression" dxfId="2045" priority="261">
      <formula>Q19&lt;1.6</formula>
    </cfRule>
    <cfRule type="expression" dxfId="2044" priority="262">
      <formula>Q19&gt;2.2</formula>
    </cfRule>
  </conditionalFormatting>
  <conditionalFormatting sqref="Q21">
    <cfRule type="cellIs" dxfId="2043" priority="256" operator="between">
      <formula>15%</formula>
      <formula>16.99%</formula>
    </cfRule>
    <cfRule type="cellIs" dxfId="2042" priority="257" operator="between">
      <formula>27.01%</formula>
      <formula>30%</formula>
    </cfRule>
    <cfRule type="expression" dxfId="2041" priority="258">
      <formula>Q21&lt;15%</formula>
    </cfRule>
    <cfRule type="expression" dxfId="2040" priority="259">
      <formula>Q21&gt;30%</formula>
    </cfRule>
  </conditionalFormatting>
  <conditionalFormatting sqref="Q22">
    <cfRule type="cellIs" dxfId="2039" priority="252" operator="between">
      <formula>5%</formula>
      <formula>6.99%</formula>
    </cfRule>
    <cfRule type="cellIs" dxfId="2038" priority="253" operator="between">
      <formula>12.99%</formula>
      <formula>15%</formula>
    </cfRule>
    <cfRule type="expression" dxfId="2037" priority="254">
      <formula>Q22&lt;5%</formula>
    </cfRule>
    <cfRule type="expression" dxfId="2036" priority="255">
      <formula>Q22&gt;15%</formula>
    </cfRule>
  </conditionalFormatting>
  <conditionalFormatting sqref="Q6 Q9">
    <cfRule type="cellIs" dxfId="2035" priority="248" operator="between">
      <formula>20</formula>
      <formula>24.99</formula>
    </cfRule>
    <cfRule type="cellIs" dxfId="2034" priority="249" operator="between">
      <formula>35.1</formula>
      <formula>40</formula>
    </cfRule>
    <cfRule type="expression" dxfId="2033" priority="250">
      <formula>Q6&lt;20</formula>
    </cfRule>
    <cfRule type="expression" dxfId="2032" priority="251">
      <formula>Q6&gt;40</formula>
    </cfRule>
  </conditionalFormatting>
  <conditionalFormatting sqref="Q12 Q14">
    <cfRule type="expression" dxfId="2031" priority="246" stopIfTrue="1">
      <formula>Q12&gt;80</formula>
    </cfRule>
    <cfRule type="expression" dxfId="2030" priority="247" stopIfTrue="1">
      <formula>Q12&lt;60</formula>
    </cfRule>
  </conditionalFormatting>
  <conditionalFormatting sqref="Q20">
    <cfRule type="cellIs" dxfId="2029" priority="242" operator="between">
      <formula>30%</formula>
      <formula>39.99%</formula>
    </cfRule>
    <cfRule type="cellIs" dxfId="2028" priority="243" operator="between">
      <formula>50.01%</formula>
      <formula>60%</formula>
    </cfRule>
    <cfRule type="expression" dxfId="2027" priority="244">
      <formula>Q20&lt;30%</formula>
    </cfRule>
    <cfRule type="expression" dxfId="2026" priority="245">
      <formula>Q20&gt;60%</formula>
    </cfRule>
  </conditionalFormatting>
  <conditionalFormatting sqref="Q18">
    <cfRule type="cellIs" dxfId="2025" priority="239" operator="between">
      <formula>16.1</formula>
      <formula>18</formula>
    </cfRule>
    <cfRule type="expression" dxfId="2024" priority="240">
      <formula>Q18&lt;12</formula>
    </cfRule>
    <cfRule type="expression" dxfId="2023" priority="241">
      <formula>Q18&gt;18</formula>
    </cfRule>
  </conditionalFormatting>
  <conditionalFormatting sqref="Q23">
    <cfRule type="cellIs" dxfId="2022" priority="235" operator="between">
      <formula>0.5%</formula>
      <formula>0.599%</formula>
    </cfRule>
    <cfRule type="cellIs" dxfId="2021" priority="236" operator="between">
      <formula>1.41%</formula>
      <formula>1.5%</formula>
    </cfRule>
    <cfRule type="expression" dxfId="2020" priority="237">
      <formula>Q23&lt;0.5%</formula>
    </cfRule>
    <cfRule type="expression" dxfId="2019" priority="238">
      <formula>Q23&gt;1.5%</formula>
    </cfRule>
  </conditionalFormatting>
  <conditionalFormatting sqref="K32:L32">
    <cfRule type="cellIs" dxfId="2018" priority="231" operator="between">
      <formula>20</formula>
      <formula>25.9</formula>
    </cfRule>
    <cfRule type="cellIs" dxfId="2017" priority="232" operator="between">
      <formula>34.1</formula>
      <formula>35</formula>
    </cfRule>
    <cfRule type="expression" dxfId="2016" priority="233">
      <formula>K32&lt;20</formula>
    </cfRule>
    <cfRule type="expression" dxfId="2015" priority="234">
      <formula>K32&gt;35</formula>
    </cfRule>
  </conditionalFormatting>
  <conditionalFormatting sqref="K28:L29">
    <cfRule type="cellIs" dxfId="2014" priority="227" operator="between">
      <formula>50</formula>
      <formula>54.9</formula>
    </cfRule>
    <cfRule type="cellIs" dxfId="2013" priority="228" operator="between">
      <formula>65.1</formula>
      <formula>70</formula>
    </cfRule>
    <cfRule type="expression" dxfId="2012" priority="229">
      <formula>K28&lt;50</formula>
    </cfRule>
    <cfRule type="expression" dxfId="2011" priority="230">
      <formula>K28&gt;70</formula>
    </cfRule>
  </conditionalFormatting>
  <conditionalFormatting sqref="K33">
    <cfRule type="cellIs" dxfId="2010" priority="218" operator="between">
      <formula>30</formula>
      <formula>30.9</formula>
    </cfRule>
    <cfRule type="cellIs" dxfId="2009" priority="219" operator="between">
      <formula>37.1</formula>
      <formula>40</formula>
    </cfRule>
    <cfRule type="expression" dxfId="2008" priority="220">
      <formula>K33&lt;30</formula>
    </cfRule>
    <cfRule type="expression" dxfId="2007" priority="221">
      <formula>K33&gt;40</formula>
    </cfRule>
  </conditionalFormatting>
  <conditionalFormatting sqref="K35">
    <cfRule type="cellIs" dxfId="2006" priority="214" operator="between">
      <formula>80</formula>
      <formula>84.9</formula>
    </cfRule>
    <cfRule type="cellIs" dxfId="2005" priority="215" operator="between">
      <formula>95.1</formula>
      <formula>100</formula>
    </cfRule>
    <cfRule type="expression" dxfId="2004" priority="216">
      <formula>K35&lt;80</formula>
    </cfRule>
    <cfRule type="expression" dxfId="2003" priority="217">
      <formula>K35&gt;100</formula>
    </cfRule>
  </conditionalFormatting>
  <conditionalFormatting sqref="K34">
    <cfRule type="expression" dxfId="2002" priority="212">
      <formula>K34&lt;50</formula>
    </cfRule>
    <cfRule type="expression" dxfId="2001" priority="213">
      <formula>K34&gt;70</formula>
    </cfRule>
  </conditionalFormatting>
  <conditionalFormatting sqref="I32:J32">
    <cfRule type="cellIs" dxfId="2000" priority="208" operator="between">
      <formula>20</formula>
      <formula>25.9</formula>
    </cfRule>
    <cfRule type="cellIs" dxfId="1999" priority="209" operator="between">
      <formula>34.1</formula>
      <formula>35</formula>
    </cfRule>
    <cfRule type="expression" dxfId="1998" priority="210">
      <formula>I32&lt;20</formula>
    </cfRule>
    <cfRule type="expression" dxfId="1997" priority="211">
      <formula>I32&gt;35</formula>
    </cfRule>
  </conditionalFormatting>
  <conditionalFormatting sqref="I28:J29">
    <cfRule type="cellIs" dxfId="1996" priority="204" operator="between">
      <formula>50</formula>
      <formula>54.9</formula>
    </cfRule>
    <cfRule type="cellIs" dxfId="1995" priority="205" operator="between">
      <formula>65.1</formula>
      <formula>70</formula>
    </cfRule>
    <cfRule type="expression" dxfId="1994" priority="206">
      <formula>I28&lt;50</formula>
    </cfRule>
    <cfRule type="expression" dxfId="1993" priority="207">
      <formula>I28&gt;70</formula>
    </cfRule>
  </conditionalFormatting>
  <conditionalFormatting sqref="I33">
    <cfRule type="cellIs" dxfId="1992" priority="195" operator="between">
      <formula>30</formula>
      <formula>30.9</formula>
    </cfRule>
    <cfRule type="cellIs" dxfId="1991" priority="196" operator="between">
      <formula>37.1</formula>
      <formula>40</formula>
    </cfRule>
    <cfRule type="expression" dxfId="1990" priority="197">
      <formula>I33&lt;30</formula>
    </cfRule>
    <cfRule type="expression" dxfId="1989" priority="198">
      <formula>I33&gt;40</formula>
    </cfRule>
  </conditionalFormatting>
  <conditionalFormatting sqref="I34">
    <cfRule type="expression" dxfId="1988" priority="193">
      <formula>I34&lt;50</formula>
    </cfRule>
    <cfRule type="expression" dxfId="1987" priority="194">
      <formula>I34&gt;70</formula>
    </cfRule>
  </conditionalFormatting>
  <conditionalFormatting sqref="O32:P32">
    <cfRule type="cellIs" dxfId="1986" priority="189" operator="between">
      <formula>20</formula>
      <formula>25.9</formula>
    </cfRule>
    <cfRule type="cellIs" dxfId="1985" priority="190" operator="between">
      <formula>34.1</formula>
      <formula>35</formula>
    </cfRule>
    <cfRule type="expression" dxfId="1984" priority="191">
      <formula>O32&lt;20</formula>
    </cfRule>
    <cfRule type="expression" dxfId="1983" priority="192">
      <formula>O32&gt;35</formula>
    </cfRule>
  </conditionalFormatting>
  <conditionalFormatting sqref="O28:P29">
    <cfRule type="cellIs" dxfId="1982" priority="185" operator="between">
      <formula>50</formula>
      <formula>54.9</formula>
    </cfRule>
    <cfRule type="cellIs" dxfId="1981" priority="186" operator="between">
      <formula>65.1</formula>
      <formula>70</formula>
    </cfRule>
    <cfRule type="expression" dxfId="1980" priority="187">
      <formula>O28&lt;50</formula>
    </cfRule>
    <cfRule type="expression" dxfId="1979" priority="188">
      <formula>O28&gt;70</formula>
    </cfRule>
  </conditionalFormatting>
  <conditionalFormatting sqref="O33">
    <cfRule type="cellIs" dxfId="1978" priority="176" operator="between">
      <formula>30</formula>
      <formula>30.9</formula>
    </cfRule>
    <cfRule type="cellIs" dxfId="1977" priority="177" operator="between">
      <formula>37.1</formula>
      <formula>40</formula>
    </cfRule>
    <cfRule type="expression" dxfId="1976" priority="178">
      <formula>O33&lt;30</formula>
    </cfRule>
    <cfRule type="expression" dxfId="1975" priority="179">
      <formula>O33&gt;40</formula>
    </cfRule>
  </conditionalFormatting>
  <conditionalFormatting sqref="O35">
    <cfRule type="cellIs" dxfId="1974" priority="172" operator="between">
      <formula>80</formula>
      <formula>84.9</formula>
    </cfRule>
    <cfRule type="cellIs" dxfId="1973" priority="173" operator="between">
      <formula>95.1</formula>
      <formula>100</formula>
    </cfRule>
    <cfRule type="expression" dxfId="1972" priority="174">
      <formula>O35&lt;80</formula>
    </cfRule>
    <cfRule type="expression" dxfId="1971" priority="175">
      <formula>O35&gt;100</formula>
    </cfRule>
  </conditionalFormatting>
  <conditionalFormatting sqref="O34">
    <cfRule type="expression" dxfId="1970" priority="170">
      <formula>O34&lt;50</formula>
    </cfRule>
    <cfRule type="expression" dxfId="1969" priority="171">
      <formula>O34&gt;70</formula>
    </cfRule>
  </conditionalFormatting>
  <conditionalFormatting sqref="M32:N32">
    <cfRule type="cellIs" dxfId="1968" priority="166" operator="between">
      <formula>20</formula>
      <formula>25.9</formula>
    </cfRule>
    <cfRule type="cellIs" dxfId="1967" priority="167" operator="between">
      <formula>34.1</formula>
      <formula>35</formula>
    </cfRule>
    <cfRule type="expression" dxfId="1966" priority="168">
      <formula>M32&lt;20</formula>
    </cfRule>
    <cfRule type="expression" dxfId="1965" priority="169">
      <formula>M32&gt;35</formula>
    </cfRule>
  </conditionalFormatting>
  <conditionalFormatting sqref="M28:N29">
    <cfRule type="cellIs" dxfId="1964" priority="162" operator="between">
      <formula>50</formula>
      <formula>54.9</formula>
    </cfRule>
    <cfRule type="cellIs" dxfId="1963" priority="163" operator="between">
      <formula>65.1</formula>
      <formula>70</formula>
    </cfRule>
    <cfRule type="expression" dxfId="1962" priority="164">
      <formula>M28&lt;50</formula>
    </cfRule>
    <cfRule type="expression" dxfId="1961" priority="165">
      <formula>M28&gt;70</formula>
    </cfRule>
  </conditionalFormatting>
  <conditionalFormatting sqref="M33">
    <cfRule type="cellIs" dxfId="1960" priority="153" operator="between">
      <formula>30</formula>
      <formula>30.9</formula>
    </cfRule>
    <cfRule type="cellIs" dxfId="1959" priority="154" operator="between">
      <formula>37.1</formula>
      <formula>40</formula>
    </cfRule>
    <cfRule type="expression" dxfId="1958" priority="155">
      <formula>M33&lt;30</formula>
    </cfRule>
    <cfRule type="expression" dxfId="1957" priority="156">
      <formula>M33&gt;40</formula>
    </cfRule>
  </conditionalFormatting>
  <conditionalFormatting sqref="M34">
    <cfRule type="expression" dxfId="1956" priority="151">
      <formula>M34&lt;50</formula>
    </cfRule>
    <cfRule type="expression" dxfId="1955" priority="152">
      <formula>M34&gt;70</formula>
    </cfRule>
  </conditionalFormatting>
  <conditionalFormatting sqref="S32:T32">
    <cfRule type="cellIs" dxfId="1954" priority="147" operator="between">
      <formula>20</formula>
      <formula>25.9</formula>
    </cfRule>
    <cfRule type="cellIs" dxfId="1953" priority="148" operator="between">
      <formula>34.1</formula>
      <formula>35</formula>
    </cfRule>
    <cfRule type="expression" dxfId="1952" priority="149">
      <formula>S32&lt;20</formula>
    </cfRule>
    <cfRule type="expression" dxfId="1951" priority="150">
      <formula>S32&gt;35</formula>
    </cfRule>
  </conditionalFormatting>
  <conditionalFormatting sqref="S28:T29">
    <cfRule type="cellIs" dxfId="1950" priority="143" operator="between">
      <formula>50</formula>
      <formula>54.9</formula>
    </cfRule>
    <cfRule type="cellIs" dxfId="1949" priority="144" operator="between">
      <formula>65.1</formula>
      <formula>70</formula>
    </cfRule>
    <cfRule type="expression" dxfId="1948" priority="145">
      <formula>S28&lt;50</formula>
    </cfRule>
    <cfRule type="expression" dxfId="1947" priority="146">
      <formula>S28&gt;70</formula>
    </cfRule>
  </conditionalFormatting>
  <conditionalFormatting sqref="S33">
    <cfRule type="cellIs" dxfId="1946" priority="134" operator="between">
      <formula>30</formula>
      <formula>30.9</formula>
    </cfRule>
    <cfRule type="cellIs" dxfId="1945" priority="135" operator="between">
      <formula>37.1</formula>
      <formula>40</formula>
    </cfRule>
    <cfRule type="expression" dxfId="1944" priority="136">
      <formula>S33&lt;30</formula>
    </cfRule>
    <cfRule type="expression" dxfId="1943" priority="137">
      <formula>S33&gt;40</formula>
    </cfRule>
  </conditionalFormatting>
  <conditionalFormatting sqref="S35">
    <cfRule type="cellIs" dxfId="1942" priority="130" operator="between">
      <formula>80</formula>
      <formula>84.9</formula>
    </cfRule>
    <cfRule type="cellIs" dxfId="1941" priority="131" operator="between">
      <formula>95.1</formula>
      <formula>100</formula>
    </cfRule>
    <cfRule type="expression" dxfId="1940" priority="132">
      <formula>S35&lt;80</formula>
    </cfRule>
    <cfRule type="expression" dxfId="1939" priority="133">
      <formula>S35&gt;100</formula>
    </cfRule>
  </conditionalFormatting>
  <conditionalFormatting sqref="S34">
    <cfRule type="expression" dxfId="1938" priority="128">
      <formula>S34&lt;50</formula>
    </cfRule>
    <cfRule type="expression" dxfId="1937" priority="129">
      <formula>S34&gt;70</formula>
    </cfRule>
  </conditionalFormatting>
  <conditionalFormatting sqref="Q32:R32">
    <cfRule type="cellIs" dxfId="1936" priority="124" operator="between">
      <formula>20</formula>
      <formula>25.9</formula>
    </cfRule>
    <cfRule type="cellIs" dxfId="1935" priority="125" operator="between">
      <formula>34.1</formula>
      <formula>35</formula>
    </cfRule>
    <cfRule type="expression" dxfId="1934" priority="126">
      <formula>Q32&lt;20</formula>
    </cfRule>
    <cfRule type="expression" dxfId="1933" priority="127">
      <formula>Q32&gt;35</formula>
    </cfRule>
  </conditionalFormatting>
  <conditionalFormatting sqref="Q28:R29">
    <cfRule type="cellIs" dxfId="1932" priority="120" operator="between">
      <formula>50</formula>
      <formula>54.9</formula>
    </cfRule>
    <cfRule type="cellIs" dxfId="1931" priority="121" operator="between">
      <formula>65.1</formula>
      <formula>70</formula>
    </cfRule>
    <cfRule type="expression" dxfId="1930" priority="122">
      <formula>Q28&lt;50</formula>
    </cfRule>
    <cfRule type="expression" dxfId="1929" priority="123">
      <formula>Q28&gt;70</formula>
    </cfRule>
  </conditionalFormatting>
  <conditionalFormatting sqref="Q33">
    <cfRule type="cellIs" dxfId="1928" priority="111" operator="between">
      <formula>30</formula>
      <formula>30.9</formula>
    </cfRule>
    <cfRule type="cellIs" dxfId="1927" priority="112" operator="between">
      <formula>37.1</formula>
      <formula>40</formula>
    </cfRule>
    <cfRule type="expression" dxfId="1926" priority="113">
      <formula>Q33&lt;30</formula>
    </cfRule>
    <cfRule type="expression" dxfId="1925" priority="114">
      <formula>Q33&gt;40</formula>
    </cfRule>
  </conditionalFormatting>
  <conditionalFormatting sqref="Q34">
    <cfRule type="expression" dxfId="1924" priority="109">
      <formula>Q34&lt;50</formula>
    </cfRule>
    <cfRule type="expression" dxfId="1923" priority="110">
      <formula>Q34&gt;70</formula>
    </cfRule>
  </conditionalFormatting>
  <conditionalFormatting sqref="I24">
    <cfRule type="cellIs" dxfId="1922" priority="81" operator="between">
      <formula>5</formula>
      <formula>6.49</formula>
    </cfRule>
    <cfRule type="cellIs" dxfId="1921" priority="82" operator="between">
      <formula>8.51</formula>
      <formula>10</formula>
    </cfRule>
    <cfRule type="expression" dxfId="1920" priority="83">
      <formula>I24&lt;5</formula>
    </cfRule>
    <cfRule type="expression" dxfId="1919" priority="84">
      <formula>I24&gt;10</formula>
    </cfRule>
  </conditionalFormatting>
  <conditionalFormatting sqref="M24">
    <cfRule type="cellIs" dxfId="1918" priority="73" operator="between">
      <formula>5</formula>
      <formula>6.49</formula>
    </cfRule>
    <cfRule type="cellIs" dxfId="1917" priority="74" operator="between">
      <formula>8.51</formula>
      <formula>10</formula>
    </cfRule>
    <cfRule type="expression" dxfId="1916" priority="75">
      <formula>M24&lt;5</formula>
    </cfRule>
    <cfRule type="expression" dxfId="1915" priority="76">
      <formula>M24&gt;10</formula>
    </cfRule>
  </conditionalFormatting>
  <conditionalFormatting sqref="Q24">
    <cfRule type="cellIs" dxfId="1914" priority="65" operator="between">
      <formula>5</formula>
      <formula>6.49</formula>
    </cfRule>
    <cfRule type="cellIs" dxfId="1913" priority="66" operator="between">
      <formula>8.51</formula>
      <formula>10</formula>
    </cfRule>
    <cfRule type="expression" dxfId="1912" priority="67">
      <formula>Q24&lt;5</formula>
    </cfRule>
    <cfRule type="expression" dxfId="1911" priority="68">
      <formula>Q24&gt;10</formula>
    </cfRule>
  </conditionalFormatting>
  <conditionalFormatting sqref="I30">
    <cfRule type="cellIs" dxfId="1910" priority="57" operator="between">
      <formula>40</formula>
      <formula>44.99</formula>
    </cfRule>
    <cfRule type="cellIs" dxfId="1909" priority="58" operator="between">
      <formula>55.1</formula>
      <formula>60</formula>
    </cfRule>
    <cfRule type="expression" dxfId="1908" priority="59">
      <formula>I30&lt;40</formula>
    </cfRule>
    <cfRule type="expression" dxfId="1907" priority="60">
      <formula>I30&gt;60</formula>
    </cfRule>
  </conditionalFormatting>
  <conditionalFormatting sqref="I31">
    <cfRule type="cellIs" dxfId="1906" priority="53" operator="between">
      <formula>40</formula>
      <formula>44.99</formula>
    </cfRule>
    <cfRule type="cellIs" dxfId="1905" priority="54" operator="between">
      <formula>55.1</formula>
      <formula>60</formula>
    </cfRule>
    <cfRule type="expression" dxfId="1904" priority="55">
      <formula>I31&lt;40</formula>
    </cfRule>
    <cfRule type="expression" dxfId="1903" priority="56">
      <formula>I31&gt;60</formula>
    </cfRule>
  </conditionalFormatting>
  <conditionalFormatting sqref="K30">
    <cfRule type="cellIs" dxfId="1902" priority="49" operator="between">
      <formula>40</formula>
      <formula>44.99</formula>
    </cfRule>
    <cfRule type="cellIs" dxfId="1901" priority="50" operator="between">
      <formula>55.1</formula>
      <formula>60</formula>
    </cfRule>
    <cfRule type="expression" dxfId="1900" priority="51">
      <formula>K30&lt;40</formula>
    </cfRule>
    <cfRule type="expression" dxfId="1899" priority="52">
      <formula>K30&gt;60</formula>
    </cfRule>
  </conditionalFormatting>
  <conditionalFormatting sqref="K31">
    <cfRule type="cellIs" dxfId="1898" priority="45" operator="between">
      <formula>40</formula>
      <formula>44.99</formula>
    </cfRule>
    <cfRule type="cellIs" dxfId="1897" priority="46" operator="between">
      <formula>55.1</formula>
      <formula>60</formula>
    </cfRule>
    <cfRule type="expression" dxfId="1896" priority="47">
      <formula>K31&lt;40</formula>
    </cfRule>
    <cfRule type="expression" dxfId="1895" priority="48">
      <formula>K31&gt;60</formula>
    </cfRule>
  </conditionalFormatting>
  <conditionalFormatting sqref="M30">
    <cfRule type="cellIs" dxfId="1894" priority="41" operator="between">
      <formula>40</formula>
      <formula>44.99</formula>
    </cfRule>
    <cfRule type="cellIs" dxfId="1893" priority="42" operator="between">
      <formula>55.1</formula>
      <formula>60</formula>
    </cfRule>
    <cfRule type="expression" dxfId="1892" priority="43">
      <formula>M30&lt;40</formula>
    </cfRule>
    <cfRule type="expression" dxfId="1891" priority="44">
      <formula>M30&gt;60</formula>
    </cfRule>
  </conditionalFormatting>
  <conditionalFormatting sqref="M31">
    <cfRule type="cellIs" dxfId="1890" priority="37" operator="between">
      <formula>40</formula>
      <formula>44.99</formula>
    </cfRule>
    <cfRule type="cellIs" dxfId="1889" priority="38" operator="between">
      <formula>55.1</formula>
      <formula>60</formula>
    </cfRule>
    <cfRule type="expression" dxfId="1888" priority="39">
      <formula>M31&lt;40</formula>
    </cfRule>
    <cfRule type="expression" dxfId="1887" priority="40">
      <formula>M31&gt;60</formula>
    </cfRule>
  </conditionalFormatting>
  <conditionalFormatting sqref="O30">
    <cfRule type="cellIs" dxfId="1886" priority="33" operator="between">
      <formula>40</formula>
      <formula>44.99</formula>
    </cfRule>
    <cfRule type="cellIs" dxfId="1885" priority="34" operator="between">
      <formula>55.1</formula>
      <formula>60</formula>
    </cfRule>
    <cfRule type="expression" dxfId="1884" priority="35">
      <formula>O30&lt;40</formula>
    </cfRule>
    <cfRule type="expression" dxfId="1883" priority="36">
      <formula>O30&gt;60</formula>
    </cfRule>
  </conditionalFormatting>
  <conditionalFormatting sqref="O31">
    <cfRule type="cellIs" dxfId="1882" priority="29" operator="between">
      <formula>40</formula>
      <formula>44.99</formula>
    </cfRule>
    <cfRule type="cellIs" dxfId="1881" priority="30" operator="between">
      <formula>55.1</formula>
      <formula>60</formula>
    </cfRule>
    <cfRule type="expression" dxfId="1880" priority="31">
      <formula>O31&lt;40</formula>
    </cfRule>
    <cfRule type="expression" dxfId="1879" priority="32">
      <formula>O31&gt;60</formula>
    </cfRule>
  </conditionalFormatting>
  <conditionalFormatting sqref="Q30">
    <cfRule type="cellIs" dxfId="1878" priority="25" operator="between">
      <formula>40</formula>
      <formula>44.99</formula>
    </cfRule>
    <cfRule type="cellIs" dxfId="1877" priority="26" operator="between">
      <formula>55.1</formula>
      <formula>60</formula>
    </cfRule>
    <cfRule type="expression" dxfId="1876" priority="27">
      <formula>Q30&lt;40</formula>
    </cfRule>
    <cfRule type="expression" dxfId="1875" priority="28">
      <formula>Q30&gt;60</formula>
    </cfRule>
  </conditionalFormatting>
  <conditionalFormatting sqref="Q31">
    <cfRule type="cellIs" dxfId="1874" priority="21" operator="between">
      <formula>40</formula>
      <formula>44.99</formula>
    </cfRule>
    <cfRule type="cellIs" dxfId="1873" priority="22" operator="between">
      <formula>55.1</formula>
      <formula>60</formula>
    </cfRule>
    <cfRule type="expression" dxfId="1872" priority="23">
      <formula>Q31&lt;40</formula>
    </cfRule>
    <cfRule type="expression" dxfId="1871" priority="24">
      <formula>Q31&gt;60</formula>
    </cfRule>
  </conditionalFormatting>
  <conditionalFormatting sqref="S30">
    <cfRule type="cellIs" dxfId="1870" priority="17" operator="between">
      <formula>40</formula>
      <formula>44.99</formula>
    </cfRule>
    <cfRule type="cellIs" dxfId="1869" priority="18" operator="between">
      <formula>55.1</formula>
      <formula>60</formula>
    </cfRule>
    <cfRule type="expression" dxfId="1868" priority="19">
      <formula>S30&lt;40</formula>
    </cfRule>
    <cfRule type="expression" dxfId="1867" priority="20">
      <formula>S30&gt;60</formula>
    </cfRule>
  </conditionalFormatting>
  <conditionalFormatting sqref="S31">
    <cfRule type="cellIs" dxfId="1866" priority="13" operator="between">
      <formula>40</formula>
      <formula>44.99</formula>
    </cfRule>
    <cfRule type="cellIs" dxfId="1865" priority="14" operator="between">
      <formula>55.1</formula>
      <formula>60</formula>
    </cfRule>
    <cfRule type="expression" dxfId="1864" priority="15">
      <formula>S31&lt;40</formula>
    </cfRule>
    <cfRule type="expression" dxfId="1863" priority="16">
      <formula>S31&gt;60</formula>
    </cfRule>
  </conditionalFormatting>
  <conditionalFormatting sqref="I25">
    <cfRule type="cellIs" dxfId="1862" priority="9" operator="between">
      <formula>1.8</formula>
      <formula>1.899</formula>
    </cfRule>
    <cfRule type="cellIs" dxfId="1861" priority="10" operator="between">
      <formula>2.11</formula>
      <formula>2.2</formula>
    </cfRule>
    <cfRule type="expression" dxfId="1860" priority="11">
      <formula>I25&lt;1.8</formula>
    </cfRule>
    <cfRule type="expression" dxfId="1859" priority="12">
      <formula>I25&gt;2.2</formula>
    </cfRule>
  </conditionalFormatting>
  <conditionalFormatting sqref="M25">
    <cfRule type="cellIs" dxfId="1858" priority="5" operator="between">
      <formula>1.8</formula>
      <formula>1.899</formula>
    </cfRule>
    <cfRule type="cellIs" dxfId="1857" priority="6" operator="between">
      <formula>2.11</formula>
      <formula>2.2</formula>
    </cfRule>
    <cfRule type="expression" dxfId="1856" priority="7">
      <formula>M25&lt;1.8</formula>
    </cfRule>
    <cfRule type="expression" dxfId="1855" priority="8">
      <formula>M25&gt;2.2</formula>
    </cfRule>
  </conditionalFormatting>
  <conditionalFormatting sqref="Q25">
    <cfRule type="cellIs" dxfId="1854" priority="1" operator="between">
      <formula>1.8</formula>
      <formula>1.899</formula>
    </cfRule>
    <cfRule type="cellIs" dxfId="1853" priority="2" operator="between">
      <formula>2.11</formula>
      <formula>2.2</formula>
    </cfRule>
    <cfRule type="expression" dxfId="1852" priority="3">
      <formula>Q25&lt;1.8</formula>
    </cfRule>
    <cfRule type="expression" dxfId="1851" priority="4">
      <formula>Q25&gt;2.2</formula>
    </cfRule>
  </conditionalFormatting>
  <pageMargins left="0.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4.xml><?xml version="1.0" encoding="utf-8"?>
<worksheet xmlns="http://schemas.openxmlformats.org/spreadsheetml/2006/main" xmlns:r="http://schemas.openxmlformats.org/officeDocument/2006/relationships">
  <sheetPr>
    <tabColor theme="5" tint="0.39997558519241921"/>
  </sheetPr>
  <dimension ref="A1:AM37"/>
  <sheetViews>
    <sheetView topLeftCell="D1" zoomScale="55" zoomScaleNormal="55" zoomScaleSheetLayoutView="70" workbookViewId="0">
      <selection activeCell="AL21" sqref="AL21"/>
    </sheetView>
  </sheetViews>
  <sheetFormatPr defaultRowHeight="15"/>
  <cols>
    <col min="1" max="1" width="4.125" style="19" customWidth="1"/>
    <col min="2" max="2" width="7.5" style="32" customWidth="1"/>
    <col min="3" max="3" width="5.625" style="32" customWidth="1"/>
    <col min="4" max="4" width="2.875" style="32" customWidth="1"/>
    <col min="5" max="5" width="9.5" style="32" customWidth="1"/>
    <col min="6" max="6" width="8" style="19" customWidth="1"/>
    <col min="7" max="7" width="15.75" style="33" customWidth="1"/>
    <col min="8" max="8" width="12.25" style="33" customWidth="1"/>
    <col min="9" max="9" width="9.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8.75" style="19" customWidth="1"/>
    <col min="18" max="18" width="3.75" style="19" customWidth="1"/>
    <col min="19" max="19" width="7.75" style="19" customWidth="1"/>
    <col min="20" max="20" width="5" style="19" customWidth="1"/>
    <col min="21" max="21" width="11.625" style="19" customWidth="1"/>
    <col min="22" max="22" width="3.375" style="19" customWidth="1"/>
    <col min="23" max="23" width="6" style="19" customWidth="1"/>
    <col min="24" max="24" width="9" style="19"/>
    <col min="25" max="25" width="8.5" style="19" customWidth="1"/>
    <col min="26" max="26" width="5.75" style="19" customWidth="1"/>
    <col min="27" max="27" width="9" style="19"/>
    <col min="28" max="28" width="12.75" style="19" customWidth="1"/>
    <col min="29" max="29" width="6.25" style="19" customWidth="1"/>
    <col min="30" max="30" width="10.25" style="19" customWidth="1"/>
    <col min="31" max="31" width="6.875" style="19" customWidth="1"/>
    <col min="32" max="32" width="10.25" style="19" customWidth="1"/>
    <col min="33" max="33" width="7.125" style="19" customWidth="1"/>
    <col min="34" max="34" width="10.25" style="19" customWidth="1"/>
    <col min="35" max="35" width="6.625" style="19" customWidth="1"/>
    <col min="36" max="36" width="10.25" style="19" customWidth="1"/>
    <col min="37" max="37" width="6.5" style="19" customWidth="1"/>
    <col min="38" max="38" width="10.25" style="19" customWidth="1"/>
    <col min="39" max="39" width="6.375" style="19" customWidth="1"/>
    <col min="40" max="16384" width="9" style="19"/>
  </cols>
  <sheetData>
    <row r="1" spans="1:39" ht="36" customHeight="1">
      <c r="A1" s="3146" t="s">
        <v>568</v>
      </c>
      <c r="B1" s="3146"/>
      <c r="C1" s="3146"/>
      <c r="D1" s="3146"/>
      <c r="E1" s="3146"/>
      <c r="F1" s="3146"/>
      <c r="G1" s="3146"/>
      <c r="H1" s="3146"/>
      <c r="I1" s="3146"/>
      <c r="J1" s="3146"/>
      <c r="K1" s="3146"/>
      <c r="L1" s="3146"/>
      <c r="M1" s="3146"/>
      <c r="N1" s="3146"/>
      <c r="O1" s="3146"/>
      <c r="P1" s="3146"/>
      <c r="Q1" s="3146"/>
      <c r="R1" s="3146"/>
      <c r="S1" s="1046"/>
      <c r="T1" s="1046"/>
      <c r="U1" s="1534" t="s">
        <v>1376</v>
      </c>
      <c r="W1" s="1537"/>
      <c r="X1" s="1537"/>
      <c r="Y1" s="1537"/>
      <c r="Z1" s="1537"/>
      <c r="AA1" s="1537"/>
      <c r="AB1" s="1537"/>
      <c r="AC1" s="1537"/>
      <c r="AD1" s="1537"/>
      <c r="AE1" s="1538"/>
      <c r="AM1" s="1538" t="s">
        <v>1377</v>
      </c>
    </row>
    <row r="2" spans="1:39" ht="46.5" customHeight="1">
      <c r="A2" s="2865" t="s">
        <v>219</v>
      </c>
      <c r="B2" s="2865"/>
      <c r="C2" s="2865"/>
      <c r="D2" s="2865"/>
      <c r="E2" s="2865"/>
      <c r="F2" s="2865"/>
      <c r="G2" s="2865"/>
      <c r="H2" s="2865"/>
      <c r="I2" s="2865"/>
      <c r="J2" s="2865"/>
      <c r="K2" s="2865"/>
      <c r="L2" s="2865"/>
      <c r="M2" s="2865"/>
      <c r="N2" s="2865"/>
      <c r="O2" s="2865"/>
      <c r="P2" s="2865"/>
      <c r="Q2" s="2865"/>
      <c r="R2" s="2866"/>
      <c r="S2" s="3106" t="s">
        <v>89</v>
      </c>
      <c r="T2" s="2905"/>
      <c r="U2" s="1527" t="s">
        <v>1371</v>
      </c>
      <c r="W2" s="2865"/>
      <c r="X2" s="2865"/>
      <c r="Y2" s="2865"/>
      <c r="Z2" s="2865"/>
      <c r="AA2" s="2865"/>
      <c r="AB2" s="2865"/>
      <c r="AC2" s="2865"/>
      <c r="AD2" s="2865"/>
      <c r="AE2" s="2865"/>
      <c r="AF2" s="1690"/>
      <c r="AG2" s="1897"/>
      <c r="AH2" s="1897"/>
    </row>
    <row r="3" spans="1:39" ht="31.5" customHeight="1">
      <c r="A3" s="53"/>
      <c r="B3" s="3153" t="s">
        <v>215</v>
      </c>
      <c r="C3" s="3153"/>
      <c r="D3" s="3153"/>
      <c r="E3" s="1471"/>
      <c r="F3" s="1471"/>
      <c r="G3" s="1930" t="str">
        <f>MENU!$AC$9</f>
        <v>Thứ 3,</v>
      </c>
      <c r="H3" s="3140" t="str">
        <f>MENU!$AD$9</f>
        <v>2024/01/09</v>
      </c>
      <c r="I3" s="3140"/>
      <c r="J3" s="26"/>
      <c r="K3" s="26"/>
      <c r="L3" s="26"/>
      <c r="M3" s="26"/>
      <c r="N3" s="26"/>
      <c r="O3" s="26"/>
      <c r="P3" s="26"/>
      <c r="Q3" s="26"/>
      <c r="R3" s="51"/>
      <c r="S3" s="3154" t="str">
        <f>MENU!AE7</f>
        <v>L.Yen</v>
      </c>
      <c r="T3" s="3155"/>
      <c r="U3" s="1512"/>
      <c r="W3" s="53"/>
      <c r="X3" s="3153" t="s">
        <v>215</v>
      </c>
      <c r="Y3" s="3153"/>
      <c r="Z3" s="3153"/>
      <c r="AA3" s="1471"/>
      <c r="AB3" s="1930" t="str">
        <f>MENU!$AC$9</f>
        <v>Thứ 3,</v>
      </c>
      <c r="AC3" s="3140" t="str">
        <f>MENU!$AD$9</f>
        <v>2024/01/09</v>
      </c>
      <c r="AD3" s="3140"/>
      <c r="AE3" s="26"/>
      <c r="AF3" s="26"/>
      <c r="AG3" s="473"/>
      <c r="AH3" s="473"/>
    </row>
    <row r="4" spans="1:39" s="54" customFormat="1" ht="35.25" customHeight="1">
      <c r="A4" s="3136" t="s">
        <v>7</v>
      </c>
      <c r="B4" s="2877" t="s">
        <v>77</v>
      </c>
      <c r="C4" s="2878"/>
      <c r="D4" s="2878"/>
      <c r="E4" s="2879"/>
      <c r="F4" s="3135" t="s">
        <v>125</v>
      </c>
      <c r="G4" s="2922" t="s">
        <v>1325</v>
      </c>
      <c r="H4" s="2920" t="s">
        <v>1317</v>
      </c>
      <c r="I4" s="2937">
        <v>0.80208333333333337</v>
      </c>
      <c r="J4" s="2904"/>
      <c r="K4" s="2904"/>
      <c r="L4" s="2905"/>
      <c r="M4" s="2903">
        <v>0.96875</v>
      </c>
      <c r="N4" s="2904"/>
      <c r="O4" s="2904"/>
      <c r="P4" s="2905"/>
      <c r="Q4" s="2903">
        <v>0.13541666666666666</v>
      </c>
      <c r="R4" s="2904"/>
      <c r="S4" s="2904"/>
      <c r="T4" s="2905"/>
      <c r="U4" s="2961" t="s">
        <v>91</v>
      </c>
      <c r="W4" s="3136" t="s">
        <v>7</v>
      </c>
      <c r="X4" s="2877" t="s">
        <v>77</v>
      </c>
      <c r="Y4" s="2878"/>
      <c r="Z4" s="2878"/>
      <c r="AA4" s="2879"/>
      <c r="AB4" s="2903">
        <v>0.80208333333333337</v>
      </c>
      <c r="AC4" s="2937"/>
      <c r="AD4" s="2937"/>
      <c r="AE4" s="3105"/>
      <c r="AF4" s="2903">
        <v>0.96875</v>
      </c>
      <c r="AG4" s="2937"/>
      <c r="AH4" s="2937"/>
      <c r="AI4" s="3105"/>
      <c r="AJ4" s="2903">
        <v>0.13541666666666666</v>
      </c>
      <c r="AK4" s="2937"/>
      <c r="AL4" s="2937"/>
      <c r="AM4" s="3105"/>
    </row>
    <row r="5" spans="1:39" s="54" customFormat="1" ht="30" customHeight="1">
      <c r="A5" s="3136"/>
      <c r="B5" s="2880"/>
      <c r="C5" s="2881"/>
      <c r="D5" s="2881"/>
      <c r="E5" s="2882"/>
      <c r="F5" s="3136"/>
      <c r="G5" s="2923"/>
      <c r="H5" s="2921"/>
      <c r="I5" s="2448" t="s">
        <v>130</v>
      </c>
      <c r="J5" s="2909" t="s">
        <v>1</v>
      </c>
      <c r="K5" s="2910"/>
      <c r="L5" s="2911"/>
      <c r="M5" s="55" t="s">
        <v>130</v>
      </c>
      <c r="N5" s="2909" t="s">
        <v>1</v>
      </c>
      <c r="O5" s="2910"/>
      <c r="P5" s="2911"/>
      <c r="Q5" s="55" t="s">
        <v>130</v>
      </c>
      <c r="R5" s="2909" t="s">
        <v>1</v>
      </c>
      <c r="S5" s="2910"/>
      <c r="T5" s="2911"/>
      <c r="U5" s="2962"/>
      <c r="W5" s="3136"/>
      <c r="X5" s="2880"/>
      <c r="Y5" s="2881"/>
      <c r="Z5" s="2881"/>
      <c r="AA5" s="2882"/>
      <c r="AB5" s="3108" t="s">
        <v>1468</v>
      </c>
      <c r="AC5" s="3109"/>
      <c r="AD5" s="3107" t="s">
        <v>1501</v>
      </c>
      <c r="AE5" s="2905"/>
      <c r="AF5" s="3108" t="s">
        <v>1468</v>
      </c>
      <c r="AG5" s="3109"/>
      <c r="AH5" s="3107" t="s">
        <v>1501</v>
      </c>
      <c r="AI5" s="2905"/>
      <c r="AJ5" s="3108" t="s">
        <v>1468</v>
      </c>
      <c r="AK5" s="3109"/>
      <c r="AL5" s="3107" t="s">
        <v>1501</v>
      </c>
      <c r="AM5" s="2905"/>
    </row>
    <row r="6" spans="1:39" ht="34.5" customHeight="1">
      <c r="A6" s="3116">
        <v>1</v>
      </c>
      <c r="B6" s="2877" t="s">
        <v>132</v>
      </c>
      <c r="C6" s="3121"/>
      <c r="D6" s="3126" t="s">
        <v>231</v>
      </c>
      <c r="E6" s="3127"/>
      <c r="F6" s="1511" t="s">
        <v>4</v>
      </c>
      <c r="G6" s="929" t="str">
        <f>'XM.GUI MAIL'!$E$43</f>
        <v>60~80</v>
      </c>
      <c r="H6" s="2427" t="str">
        <f>'XM.GUI MAIL'!$F$43</f>
        <v>(70±5)</v>
      </c>
      <c r="I6" s="2430">
        <f>'XM.GUI MAIL'!AD43</f>
        <v>74.635000000000005</v>
      </c>
      <c r="J6" s="1478" t="s">
        <v>8</v>
      </c>
      <c r="K6" s="1416">
        <f>'XM.GUI MAIL'!AG43</f>
        <v>0</v>
      </c>
      <c r="L6" s="1478" t="s">
        <v>9</v>
      </c>
      <c r="M6" s="1473"/>
      <c r="N6" s="1478"/>
      <c r="O6" s="1416"/>
      <c r="P6" s="1478"/>
      <c r="Q6" s="1473">
        <f>'XM.GUI MAIL'!AR43</f>
        <v>72.688000000000002</v>
      </c>
      <c r="R6" s="1478" t="s">
        <v>8</v>
      </c>
      <c r="S6" s="1416">
        <f>'XM.GUI MAIL'!AU43</f>
        <v>0</v>
      </c>
      <c r="T6" s="59" t="s">
        <v>9</v>
      </c>
      <c r="U6" s="281" t="s">
        <v>12</v>
      </c>
      <c r="W6" s="3116">
        <v>1</v>
      </c>
      <c r="X6" s="2877" t="s">
        <v>132</v>
      </c>
      <c r="Y6" s="3121"/>
      <c r="Z6" s="3126" t="s">
        <v>231</v>
      </c>
      <c r="AA6" s="3127"/>
      <c r="AB6" s="2171"/>
      <c r="AC6" s="1914" t="s">
        <v>9</v>
      </c>
      <c r="AD6" s="1906"/>
      <c r="AE6" s="1853" t="s">
        <v>4</v>
      </c>
      <c r="AF6" s="2171"/>
      <c r="AG6" s="1914" t="s">
        <v>9</v>
      </c>
      <c r="AH6" s="1906"/>
      <c r="AI6" s="1853" t="s">
        <v>4</v>
      </c>
      <c r="AJ6" s="2171"/>
      <c r="AK6" s="1914" t="s">
        <v>9</v>
      </c>
      <c r="AL6" s="1906"/>
      <c r="AM6" s="1853" t="s">
        <v>4</v>
      </c>
    </row>
    <row r="7" spans="1:39" ht="34.5" customHeight="1">
      <c r="A7" s="3149"/>
      <c r="B7" s="3122"/>
      <c r="C7" s="3123"/>
      <c r="D7" s="3126" t="s">
        <v>232</v>
      </c>
      <c r="E7" s="3127"/>
      <c r="F7" s="1047"/>
      <c r="G7" s="929" t="s">
        <v>1378</v>
      </c>
      <c r="H7" s="2427"/>
      <c r="I7" s="2416"/>
      <c r="J7" s="1478"/>
      <c r="K7" s="82">
        <f>K6/25*7.5</f>
        <v>0</v>
      </c>
      <c r="L7" s="1478" t="s">
        <v>10</v>
      </c>
      <c r="M7" s="1783"/>
      <c r="N7" s="1478"/>
      <c r="O7" s="82"/>
      <c r="P7" s="1478"/>
      <c r="Q7" s="1783"/>
      <c r="R7" s="1478"/>
      <c r="S7" s="82">
        <f>S6/25*7.5</f>
        <v>0</v>
      </c>
      <c r="T7" s="59" t="s">
        <v>10</v>
      </c>
      <c r="U7" s="20"/>
      <c r="W7" s="3149"/>
      <c r="X7" s="3122"/>
      <c r="Y7" s="3123"/>
      <c r="Z7" s="3126" t="s">
        <v>232</v>
      </c>
      <c r="AA7" s="3127"/>
      <c r="AB7" s="2171"/>
      <c r="AC7" s="1914" t="s">
        <v>10</v>
      </c>
      <c r="AD7" s="1906"/>
      <c r="AE7" s="1915"/>
      <c r="AF7" s="2171"/>
      <c r="AG7" s="1914" t="s">
        <v>10</v>
      </c>
      <c r="AH7" s="1906"/>
      <c r="AI7" s="1915"/>
      <c r="AJ7" s="2171"/>
      <c r="AK7" s="1914" t="s">
        <v>10</v>
      </c>
      <c r="AL7" s="1906"/>
      <c r="AM7" s="1915"/>
    </row>
    <row r="8" spans="1:39" ht="34.5" customHeight="1">
      <c r="A8" s="3116">
        <v>2</v>
      </c>
      <c r="B8" s="2877" t="s">
        <v>133</v>
      </c>
      <c r="C8" s="3121"/>
      <c r="D8" s="3126" t="s">
        <v>231</v>
      </c>
      <c r="E8" s="3127"/>
      <c r="F8" s="1511" t="s">
        <v>4</v>
      </c>
      <c r="G8" s="929" t="str">
        <f>'XM.GUI MAIL'!$E$45</f>
        <v>60~80</v>
      </c>
      <c r="H8" s="2427" t="str">
        <f>'XM.GUI MAIL'!$F$45</f>
        <v>(70±5)</v>
      </c>
      <c r="I8" s="2430">
        <f>'XM.GUI MAIL'!AD45</f>
        <v>71.39</v>
      </c>
      <c r="J8" s="1478" t="s">
        <v>8</v>
      </c>
      <c r="K8" s="1416">
        <f>'XM.GUI MAIL'!AG45</f>
        <v>0</v>
      </c>
      <c r="L8" s="1478" t="s">
        <v>9</v>
      </c>
      <c r="M8" s="1473"/>
      <c r="N8" s="1478"/>
      <c r="O8" s="1416"/>
      <c r="P8" s="1478"/>
      <c r="Q8" s="1473">
        <f>'XM.GUI MAIL'!AR45</f>
        <v>71.39</v>
      </c>
      <c r="R8" s="1478" t="s">
        <v>8</v>
      </c>
      <c r="S8" s="1416">
        <f>'XM.GUI MAIL'!AU45</f>
        <v>0</v>
      </c>
      <c r="T8" s="59" t="s">
        <v>9</v>
      </c>
      <c r="U8" s="281" t="s">
        <v>12</v>
      </c>
      <c r="W8" s="3116">
        <v>2</v>
      </c>
      <c r="X8" s="2877" t="s">
        <v>133</v>
      </c>
      <c r="Y8" s="3121"/>
      <c r="Z8" s="3126" t="s">
        <v>231</v>
      </c>
      <c r="AA8" s="3127"/>
      <c r="AB8" s="2171"/>
      <c r="AC8" s="1914" t="s">
        <v>9</v>
      </c>
      <c r="AD8" s="1906"/>
      <c r="AE8" s="1853" t="s">
        <v>4</v>
      </c>
      <c r="AF8" s="2171"/>
      <c r="AG8" s="1914" t="s">
        <v>9</v>
      </c>
      <c r="AH8" s="1906"/>
      <c r="AI8" s="1853" t="s">
        <v>4</v>
      </c>
      <c r="AJ8" s="2171"/>
      <c r="AK8" s="1914" t="s">
        <v>9</v>
      </c>
      <c r="AL8" s="1906"/>
      <c r="AM8" s="1853" t="s">
        <v>4</v>
      </c>
    </row>
    <row r="9" spans="1:39" ht="34.5" customHeight="1">
      <c r="A9" s="3149"/>
      <c r="B9" s="3122"/>
      <c r="C9" s="3123"/>
      <c r="D9" s="3126" t="s">
        <v>232</v>
      </c>
      <c r="E9" s="3127"/>
      <c r="F9" s="1047"/>
      <c r="G9" s="929" t="s">
        <v>950</v>
      </c>
      <c r="H9" s="2427"/>
      <c r="I9" s="2416"/>
      <c r="J9" s="1478"/>
      <c r="K9" s="82">
        <f>K8/25*7.5</f>
        <v>0</v>
      </c>
      <c r="L9" s="1478" t="s">
        <v>10</v>
      </c>
      <c r="M9" s="1783"/>
      <c r="N9" s="1478"/>
      <c r="O9" s="82"/>
      <c r="P9" s="1478"/>
      <c r="Q9" s="1783"/>
      <c r="R9" s="1478"/>
      <c r="S9" s="82">
        <f>S8/25*7.5</f>
        <v>0</v>
      </c>
      <c r="T9" s="59" t="s">
        <v>10</v>
      </c>
      <c r="U9" s="20"/>
      <c r="W9" s="3149"/>
      <c r="X9" s="3122"/>
      <c r="Y9" s="3123"/>
      <c r="Z9" s="3126" t="s">
        <v>232</v>
      </c>
      <c r="AA9" s="3127"/>
      <c r="AB9" s="2171"/>
      <c r="AC9" s="1914" t="s">
        <v>10</v>
      </c>
      <c r="AD9" s="1906"/>
      <c r="AE9" s="1915"/>
      <c r="AF9" s="2171"/>
      <c r="AG9" s="1914" t="s">
        <v>10</v>
      </c>
      <c r="AH9" s="1906"/>
      <c r="AI9" s="1915"/>
      <c r="AJ9" s="2171"/>
      <c r="AK9" s="1914" t="s">
        <v>10</v>
      </c>
      <c r="AL9" s="1906"/>
      <c r="AM9" s="1915"/>
    </row>
    <row r="10" spans="1:39" ht="34.5" customHeight="1">
      <c r="A10" s="3116">
        <v>3</v>
      </c>
      <c r="B10" s="3128" t="s">
        <v>134</v>
      </c>
      <c r="C10" s="3129"/>
      <c r="D10" s="3108" t="s">
        <v>233</v>
      </c>
      <c r="E10" s="3111" t="s">
        <v>233</v>
      </c>
      <c r="F10" s="1511" t="s">
        <v>4</v>
      </c>
      <c r="G10" s="929" t="str">
        <f>'XM.GUI MAIL'!$E$47</f>
        <v>50~70</v>
      </c>
      <c r="H10" s="2427" t="str">
        <f>'XM.GUI MAIL'!$F$47</f>
        <v>(60±10)</v>
      </c>
      <c r="I10" s="2430">
        <f>'XM.GUI MAIL'!AD47</f>
        <v>62.832000000000001</v>
      </c>
      <c r="J10" s="1478" t="s">
        <v>8</v>
      </c>
      <c r="K10" s="1416">
        <f>'XM.GUI MAIL'!AG47</f>
        <v>0</v>
      </c>
      <c r="L10" s="1478" t="s">
        <v>9</v>
      </c>
      <c r="M10" s="1473"/>
      <c r="N10" s="1478"/>
      <c r="O10" s="1416"/>
      <c r="P10" s="1478"/>
      <c r="Q10" s="1473">
        <f>'XM.GUI MAIL'!AR47</f>
        <v>60.521999999999998</v>
      </c>
      <c r="R10" s="1478" t="s">
        <v>8</v>
      </c>
      <c r="S10" s="1416">
        <f>'XM.GUI MAIL'!AU47</f>
        <v>0</v>
      </c>
      <c r="T10" s="59" t="s">
        <v>9</v>
      </c>
      <c r="U10" s="281" t="s">
        <v>12</v>
      </c>
      <c r="W10" s="3116">
        <v>3</v>
      </c>
      <c r="X10" s="3128" t="s">
        <v>134</v>
      </c>
      <c r="Y10" s="3129"/>
      <c r="Z10" s="3108" t="s">
        <v>233</v>
      </c>
      <c r="AA10" s="3111" t="s">
        <v>233</v>
      </c>
      <c r="AB10" s="2171"/>
      <c r="AC10" s="1914" t="s">
        <v>9</v>
      </c>
      <c r="AD10" s="1906"/>
      <c r="AE10" s="1853" t="s">
        <v>4</v>
      </c>
      <c r="AF10" s="2171"/>
      <c r="AG10" s="1914" t="s">
        <v>9</v>
      </c>
      <c r="AH10" s="1906"/>
      <c r="AI10" s="1853" t="s">
        <v>4</v>
      </c>
      <c r="AJ10" s="2171"/>
      <c r="AK10" s="1914" t="s">
        <v>9</v>
      </c>
      <c r="AL10" s="1906"/>
      <c r="AM10" s="1853" t="s">
        <v>4</v>
      </c>
    </row>
    <row r="11" spans="1:39" ht="34.5" customHeight="1">
      <c r="A11" s="3117"/>
      <c r="B11" s="3129"/>
      <c r="C11" s="3129"/>
      <c r="D11" s="3108" t="s">
        <v>234</v>
      </c>
      <c r="E11" s="3111" t="s">
        <v>234</v>
      </c>
      <c r="F11" s="1047"/>
      <c r="G11" s="929" t="s">
        <v>991</v>
      </c>
      <c r="H11" s="2427"/>
      <c r="I11" s="2416"/>
      <c r="J11" s="1478"/>
      <c r="K11" s="82">
        <f>K10/25*7</f>
        <v>0</v>
      </c>
      <c r="L11" s="1478" t="s">
        <v>10</v>
      </c>
      <c r="M11" s="1783"/>
      <c r="N11" s="1478"/>
      <c r="O11" s="82"/>
      <c r="P11" s="1478"/>
      <c r="Q11" s="1783"/>
      <c r="R11" s="1478"/>
      <c r="S11" s="82">
        <f>S10/25*7</f>
        <v>0</v>
      </c>
      <c r="T11" s="59" t="s">
        <v>10</v>
      </c>
      <c r="U11" s="20"/>
      <c r="W11" s="3117"/>
      <c r="X11" s="3129"/>
      <c r="Y11" s="3129"/>
      <c r="Z11" s="3108" t="s">
        <v>234</v>
      </c>
      <c r="AA11" s="3111" t="s">
        <v>234</v>
      </c>
      <c r="AB11" s="2171"/>
      <c r="AC11" s="1914" t="s">
        <v>10</v>
      </c>
      <c r="AD11" s="1906"/>
      <c r="AE11" s="1915"/>
      <c r="AF11" s="2171"/>
      <c r="AG11" s="1914" t="s">
        <v>10</v>
      </c>
      <c r="AH11" s="1906"/>
      <c r="AI11" s="1915"/>
      <c r="AJ11" s="2171"/>
      <c r="AK11" s="1914" t="s">
        <v>10</v>
      </c>
      <c r="AL11" s="1906"/>
      <c r="AM11" s="1915"/>
    </row>
    <row r="12" spans="1:39" ht="34.5" customHeight="1">
      <c r="A12" s="3116">
        <v>4</v>
      </c>
      <c r="B12" s="3128" t="s">
        <v>135</v>
      </c>
      <c r="C12" s="3129"/>
      <c r="D12" s="3108" t="s">
        <v>233</v>
      </c>
      <c r="E12" s="3111" t="s">
        <v>233</v>
      </c>
      <c r="F12" s="1511" t="s">
        <v>4</v>
      </c>
      <c r="G12" s="929" t="str">
        <f>'XM.GUI MAIL'!$E$49</f>
        <v>50~70</v>
      </c>
      <c r="H12" s="2427" t="str">
        <f>'XM.GUI MAIL'!$F$49</f>
        <v>(60±10)</v>
      </c>
      <c r="I12" s="2430">
        <f>'XM.GUI MAIL'!AD49</f>
        <v>61.908000000000001</v>
      </c>
      <c r="J12" s="1478" t="s">
        <v>8</v>
      </c>
      <c r="K12" s="1416">
        <f>'XM.GUI MAIL'!AG49</f>
        <v>0</v>
      </c>
      <c r="L12" s="1478" t="s">
        <v>9</v>
      </c>
      <c r="M12" s="1473"/>
      <c r="N12" s="1478"/>
      <c r="O12" s="1416"/>
      <c r="P12" s="1478"/>
      <c r="Q12" s="1473">
        <f>'XM.GUI MAIL'!AR49</f>
        <v>58.673999999999999</v>
      </c>
      <c r="R12" s="1478" t="s">
        <v>8</v>
      </c>
      <c r="S12" s="1416">
        <f>'XM.GUI MAIL'!AU49</f>
        <v>1.9346340000000006</v>
      </c>
      <c r="T12" s="59" t="s">
        <v>9</v>
      </c>
      <c r="U12" s="281" t="s">
        <v>12</v>
      </c>
      <c r="W12" s="3116">
        <v>4</v>
      </c>
      <c r="X12" s="3128" t="s">
        <v>135</v>
      </c>
      <c r="Y12" s="3129"/>
      <c r="Z12" s="3108" t="s">
        <v>233</v>
      </c>
      <c r="AA12" s="3111" t="s">
        <v>233</v>
      </c>
      <c r="AB12" s="2171"/>
      <c r="AC12" s="1914" t="s">
        <v>9</v>
      </c>
      <c r="AD12" s="1906"/>
      <c r="AE12" s="1853" t="s">
        <v>4</v>
      </c>
      <c r="AF12" s="2171"/>
      <c r="AG12" s="1914" t="s">
        <v>9</v>
      </c>
      <c r="AH12" s="1906"/>
      <c r="AI12" s="1853" t="s">
        <v>4</v>
      </c>
      <c r="AJ12" s="2171"/>
      <c r="AK12" s="1914" t="s">
        <v>9</v>
      </c>
      <c r="AL12" s="1906"/>
      <c r="AM12" s="1853" t="s">
        <v>4</v>
      </c>
    </row>
    <row r="13" spans="1:39" ht="34.5" customHeight="1">
      <c r="A13" s="3117"/>
      <c r="B13" s="3129"/>
      <c r="C13" s="3129"/>
      <c r="D13" s="3108" t="s">
        <v>234</v>
      </c>
      <c r="E13" s="3111" t="s">
        <v>234</v>
      </c>
      <c r="F13" s="1047"/>
      <c r="G13" s="929" t="s">
        <v>991</v>
      </c>
      <c r="H13" s="2427"/>
      <c r="I13" s="2416"/>
      <c r="J13" s="1478"/>
      <c r="K13" s="82">
        <f>K12/25*7</f>
        <v>0</v>
      </c>
      <c r="L13" s="1478" t="s">
        <v>10</v>
      </c>
      <c r="M13" s="1783"/>
      <c r="N13" s="1478"/>
      <c r="O13" s="82"/>
      <c r="P13" s="1478"/>
      <c r="Q13" s="1783"/>
      <c r="R13" s="1478"/>
      <c r="S13" s="82">
        <f>S12/25*7</f>
        <v>0.54169752000000015</v>
      </c>
      <c r="T13" s="59" t="s">
        <v>10</v>
      </c>
      <c r="U13" s="20"/>
      <c r="W13" s="3117"/>
      <c r="X13" s="3129"/>
      <c r="Y13" s="3129"/>
      <c r="Z13" s="3108" t="s">
        <v>234</v>
      </c>
      <c r="AA13" s="3111" t="s">
        <v>234</v>
      </c>
      <c r="AB13" s="2171"/>
      <c r="AC13" s="1914" t="s">
        <v>10</v>
      </c>
      <c r="AD13" s="1906"/>
      <c r="AE13" s="1915"/>
      <c r="AF13" s="2171"/>
      <c r="AG13" s="1914" t="s">
        <v>10</v>
      </c>
      <c r="AH13" s="1906"/>
      <c r="AI13" s="1915"/>
      <c r="AJ13" s="2171"/>
      <c r="AK13" s="1914" t="s">
        <v>10</v>
      </c>
      <c r="AL13" s="1906"/>
      <c r="AM13" s="1915"/>
    </row>
    <row r="14" spans="1:39" ht="34.5" customHeight="1">
      <c r="A14" s="1511">
        <v>5</v>
      </c>
      <c r="B14" s="3108" t="s">
        <v>80</v>
      </c>
      <c r="C14" s="3110"/>
      <c r="D14" s="3110"/>
      <c r="E14" s="3111"/>
      <c r="F14" s="1511" t="s">
        <v>4</v>
      </c>
      <c r="G14" s="1042" t="str">
        <f>'XM.GUI MAIL'!$E$51</f>
        <v>130 - 150</v>
      </c>
      <c r="H14" s="2431" t="str">
        <f>'XM.GUI MAIL'!$F$51</f>
        <v>(140±7)</v>
      </c>
      <c r="I14" s="2419">
        <f>'XM.GUI MAIL'!AD51</f>
        <v>145.6</v>
      </c>
      <c r="J14" s="1478" t="s">
        <v>8</v>
      </c>
      <c r="K14" s="1416">
        <f>'XM.GUI MAIL'!AG51</f>
        <v>0</v>
      </c>
      <c r="L14" s="1478" t="s">
        <v>9</v>
      </c>
      <c r="M14" s="1862"/>
      <c r="N14" s="1478"/>
      <c r="O14" s="1416"/>
      <c r="P14" s="1478"/>
      <c r="Q14" s="1862">
        <f>'XM.GUI MAIL'!AR51</f>
        <v>146.4</v>
      </c>
      <c r="R14" s="1478" t="s">
        <v>8</v>
      </c>
      <c r="S14" s="1416">
        <f>'XM.GUI MAIL'!AU51</f>
        <v>0</v>
      </c>
      <c r="T14" s="59" t="s">
        <v>9</v>
      </c>
      <c r="U14" s="281" t="s">
        <v>13</v>
      </c>
      <c r="W14" s="1523">
        <v>5</v>
      </c>
      <c r="X14" s="3108" t="s">
        <v>80</v>
      </c>
      <c r="Y14" s="3110"/>
      <c r="Z14" s="3110"/>
      <c r="AA14" s="3111"/>
      <c r="AB14" s="2171"/>
      <c r="AC14" s="1914" t="s">
        <v>9</v>
      </c>
      <c r="AD14" s="1906"/>
      <c r="AE14" s="1853" t="s">
        <v>4</v>
      </c>
      <c r="AF14" s="2171"/>
      <c r="AG14" s="1914" t="s">
        <v>9</v>
      </c>
      <c r="AH14" s="1906"/>
      <c r="AI14" s="1853" t="s">
        <v>4</v>
      </c>
      <c r="AJ14" s="2171"/>
      <c r="AK14" s="1914" t="s">
        <v>9</v>
      </c>
      <c r="AL14" s="1906"/>
      <c r="AM14" s="1853" t="s">
        <v>4</v>
      </c>
    </row>
    <row r="15" spans="1:39" ht="34.5" customHeight="1">
      <c r="A15" s="1511">
        <v>6</v>
      </c>
      <c r="B15" s="3108" t="s">
        <v>58</v>
      </c>
      <c r="C15" s="3110"/>
      <c r="D15" s="3110"/>
      <c r="E15" s="3111"/>
      <c r="F15" s="1511" t="s">
        <v>4</v>
      </c>
      <c r="G15" s="1042" t="str">
        <f>'XM.GUI MAIL'!$E$52</f>
        <v>8~12</v>
      </c>
      <c r="H15" s="2431" t="str">
        <f>'XM.GUI MAIL'!$F$52</f>
        <v>(10±2)</v>
      </c>
      <c r="I15" s="2421">
        <f>'XM.GUI MAIL'!AD52</f>
        <v>11.18</v>
      </c>
      <c r="J15" s="1478" t="s">
        <v>8</v>
      </c>
      <c r="K15" s="1416">
        <f>'XM.GUI MAIL'!AG52</f>
        <v>0</v>
      </c>
      <c r="L15" s="1478" t="s">
        <v>9</v>
      </c>
      <c r="M15" s="1838"/>
      <c r="N15" s="1478"/>
      <c r="O15" s="1416"/>
      <c r="P15" s="1478"/>
      <c r="Q15" s="1838">
        <f>'XM.GUI MAIL'!AR52</f>
        <v>10.920000000000002</v>
      </c>
      <c r="R15" s="1478" t="s">
        <v>8</v>
      </c>
      <c r="S15" s="1416">
        <f>'XM.GUI MAIL'!AU52</f>
        <v>0</v>
      </c>
      <c r="T15" s="59" t="s">
        <v>9</v>
      </c>
      <c r="U15" s="281" t="s">
        <v>14</v>
      </c>
      <c r="W15" s="1523">
        <v>6</v>
      </c>
      <c r="X15" s="3108" t="s">
        <v>58</v>
      </c>
      <c r="Y15" s="3110"/>
      <c r="Z15" s="3110"/>
      <c r="AA15" s="3111"/>
      <c r="AB15" s="2171"/>
      <c r="AC15" s="1914" t="s">
        <v>9</v>
      </c>
      <c r="AD15" s="1906"/>
      <c r="AE15" s="1853" t="s">
        <v>4</v>
      </c>
      <c r="AF15" s="2171"/>
      <c r="AG15" s="1914" t="s">
        <v>9</v>
      </c>
      <c r="AH15" s="1906"/>
      <c r="AI15" s="1853" t="s">
        <v>4</v>
      </c>
      <c r="AJ15" s="2171"/>
      <c r="AK15" s="1914" t="s">
        <v>9</v>
      </c>
      <c r="AL15" s="1906"/>
      <c r="AM15" s="1853" t="s">
        <v>4</v>
      </c>
    </row>
    <row r="16" spans="1:39" ht="34.5" customHeight="1">
      <c r="A16" s="3116">
        <v>7</v>
      </c>
      <c r="B16" s="2877" t="s">
        <v>984</v>
      </c>
      <c r="C16" s="2878"/>
      <c r="D16" s="2878"/>
      <c r="E16" s="2879"/>
      <c r="F16" s="1511" t="s">
        <v>3</v>
      </c>
      <c r="G16" s="1042" t="str">
        <f>'XM.GUI MAIL'!$E$53</f>
        <v xml:space="preserve">6~10 </v>
      </c>
      <c r="H16" s="2431" t="str">
        <f>'XM.GUI MAIL'!$F$53</f>
        <v>(7±1)</v>
      </c>
      <c r="I16" s="2421">
        <f>'XM.GUI MAIL'!AD53</f>
        <v>6.9194600000000008</v>
      </c>
      <c r="J16" s="1478" t="s">
        <v>8</v>
      </c>
      <c r="K16" s="1416">
        <f>'XM.GUI MAIL'!AG53</f>
        <v>0.46310499999999521</v>
      </c>
      <c r="L16" s="1478" t="s">
        <v>10</v>
      </c>
      <c r="M16" s="1838"/>
      <c r="N16" s="1478"/>
      <c r="O16" s="1416"/>
      <c r="P16" s="1478"/>
      <c r="Q16" s="1838">
        <f>'XM.GUI MAIL'!AR53</f>
        <v>7.5126400000000002</v>
      </c>
      <c r="R16" s="1478" t="s">
        <v>8</v>
      </c>
      <c r="S16" s="1416">
        <f>'XM.GUI MAIL'!AU53</f>
        <v>0</v>
      </c>
      <c r="T16" s="59" t="s">
        <v>10</v>
      </c>
      <c r="U16" s="281"/>
      <c r="W16" s="3116">
        <v>7</v>
      </c>
      <c r="X16" s="2877" t="s">
        <v>984</v>
      </c>
      <c r="Y16" s="2878"/>
      <c r="Z16" s="2878"/>
      <c r="AA16" s="2879"/>
      <c r="AB16" s="2171"/>
      <c r="AC16" s="1914" t="s">
        <v>10</v>
      </c>
      <c r="AD16" s="1906"/>
      <c r="AE16" s="1853" t="s">
        <v>3</v>
      </c>
      <c r="AF16" s="2171"/>
      <c r="AG16" s="1914" t="s">
        <v>10</v>
      </c>
      <c r="AH16" s="1906"/>
      <c r="AI16" s="1853" t="s">
        <v>3</v>
      </c>
      <c r="AJ16" s="2171"/>
      <c r="AK16" s="1914" t="s">
        <v>10</v>
      </c>
      <c r="AL16" s="1906"/>
      <c r="AM16" s="1853" t="s">
        <v>3</v>
      </c>
    </row>
    <row r="17" spans="1:39" ht="34.5" customHeight="1">
      <c r="A17" s="3117"/>
      <c r="B17" s="2880"/>
      <c r="C17" s="3147"/>
      <c r="D17" s="3147"/>
      <c r="E17" s="3148"/>
      <c r="F17" s="1511" t="s">
        <v>5</v>
      </c>
      <c r="G17" s="1042" t="str">
        <f>'XM.GUI MAIL'!$E$54</f>
        <v>2~2.5</v>
      </c>
      <c r="H17" s="2431" t="str">
        <f>'XM.GUI MAIL'!$F$54</f>
        <v>(2.3±0.1 )</v>
      </c>
      <c r="I17" s="2421">
        <f>'XM.GUI MAIL'!AD54</f>
        <v>2.2000000000000002</v>
      </c>
      <c r="J17" s="1478"/>
      <c r="K17" s="1416">
        <f>'XM.GUI MAIL'!AG54</f>
        <v>0</v>
      </c>
      <c r="L17" s="1478"/>
      <c r="M17" s="1838"/>
      <c r="N17" s="1478"/>
      <c r="O17" s="1416"/>
      <c r="P17" s="1478"/>
      <c r="Q17" s="1838">
        <f>'XM.GUI MAIL'!AR54</f>
        <v>2.2000000000000002</v>
      </c>
      <c r="R17" s="1478"/>
      <c r="S17" s="1416">
        <f>'XM.GUI MAIL'!AU54</f>
        <v>0</v>
      </c>
      <c r="T17" s="59"/>
      <c r="U17" s="20"/>
      <c r="W17" s="3117"/>
      <c r="X17" s="2880"/>
      <c r="Y17" s="3147"/>
      <c r="Z17" s="3147"/>
      <c r="AA17" s="3148"/>
      <c r="AB17" s="2171"/>
      <c r="AC17" s="1914"/>
      <c r="AD17" s="1906"/>
      <c r="AE17" s="1853" t="s">
        <v>5</v>
      </c>
      <c r="AF17" s="2171"/>
      <c r="AG17" s="1914"/>
      <c r="AH17" s="1906"/>
      <c r="AI17" s="1853" t="s">
        <v>5</v>
      </c>
      <c r="AJ17" s="2171"/>
      <c r="AK17" s="1914"/>
      <c r="AL17" s="1906"/>
      <c r="AM17" s="1853" t="s">
        <v>5</v>
      </c>
    </row>
    <row r="18" spans="1:39" ht="34.5" customHeight="1">
      <c r="A18" s="1511">
        <v>8</v>
      </c>
      <c r="B18" s="3108" t="s">
        <v>59</v>
      </c>
      <c r="C18" s="3110"/>
      <c r="D18" s="3110"/>
      <c r="E18" s="3111"/>
      <c r="F18" s="1520" t="s">
        <v>6</v>
      </c>
      <c r="G18" s="1042" t="str">
        <f>'XM.GUI MAIL'!$E$55</f>
        <v xml:space="preserve">40~50 </v>
      </c>
      <c r="H18" s="2431" t="str">
        <f>'XM.GUI MAIL'!$F$55</f>
        <v>(45±5)</v>
      </c>
      <c r="I18" s="2422">
        <f>'XM.GUI MAIL'!AD55</f>
        <v>0.45624999999999999</v>
      </c>
      <c r="J18" s="1480" t="s">
        <v>8</v>
      </c>
      <c r="K18" s="1481">
        <f>'XM.GUI MAIL'!AG55</f>
        <v>0</v>
      </c>
      <c r="L18" s="1482" t="s">
        <v>10</v>
      </c>
      <c r="M18" s="1843"/>
      <c r="N18" s="1480"/>
      <c r="O18" s="1481"/>
      <c r="P18" s="1482"/>
      <c r="Q18" s="1843">
        <f>'XM.GUI MAIL'!AR55</f>
        <v>0.43343749999999998</v>
      </c>
      <c r="R18" s="1478" t="s">
        <v>8</v>
      </c>
      <c r="S18" s="1416">
        <f>'XM.GUI MAIL'!AU55</f>
        <v>35.145625000000074</v>
      </c>
      <c r="T18" s="59" t="s">
        <v>10</v>
      </c>
      <c r="U18" s="281" t="s">
        <v>15</v>
      </c>
      <c r="W18" s="1523">
        <v>8</v>
      </c>
      <c r="X18" s="3108" t="s">
        <v>59</v>
      </c>
      <c r="Y18" s="3110"/>
      <c r="Z18" s="3110"/>
      <c r="AA18" s="3111"/>
      <c r="AB18" s="2171"/>
      <c r="AC18" s="1914" t="s">
        <v>10</v>
      </c>
      <c r="AD18" s="1906"/>
      <c r="AE18" s="1916" t="s">
        <v>6</v>
      </c>
      <c r="AF18" s="2171"/>
      <c r="AG18" s="1914" t="s">
        <v>10</v>
      </c>
      <c r="AH18" s="1906"/>
      <c r="AI18" s="1916" t="s">
        <v>6</v>
      </c>
      <c r="AJ18" s="2171" t="s">
        <v>1625</v>
      </c>
      <c r="AK18" s="1914" t="s">
        <v>10</v>
      </c>
      <c r="AL18" s="1906">
        <v>45.2</v>
      </c>
      <c r="AM18" s="1916" t="s">
        <v>6</v>
      </c>
    </row>
    <row r="19" spans="1:39" ht="34.5" hidden="1" customHeight="1">
      <c r="A19" s="1511">
        <v>9</v>
      </c>
      <c r="B19" s="3108" t="s">
        <v>60</v>
      </c>
      <c r="C19" s="3110"/>
      <c r="D19" s="3110"/>
      <c r="E19" s="3111"/>
      <c r="F19" s="1520" t="s">
        <v>6</v>
      </c>
      <c r="G19" s="1042" t="str">
        <f>'XM.GUI MAIL'!$E$56</f>
        <v>(22±5) =17~27</v>
      </c>
      <c r="H19" s="2431" t="str">
        <f>'XM.GUI MAIL'!$F$56</f>
        <v>(22±5)</v>
      </c>
      <c r="I19" s="2422">
        <f>'XM.GUI MAIL'!AD56</f>
        <v>0</v>
      </c>
      <c r="J19" s="1478" t="s">
        <v>8</v>
      </c>
      <c r="K19" s="1416">
        <f>'XM.GUI MAIL'!AG56</f>
        <v>0</v>
      </c>
      <c r="L19" s="1478" t="s">
        <v>10</v>
      </c>
      <c r="M19" s="1843"/>
      <c r="N19" s="1478"/>
      <c r="O19" s="1416"/>
      <c r="P19" s="1478"/>
      <c r="Q19" s="1843">
        <f>'XM.GUI MAIL'!AR56</f>
        <v>0</v>
      </c>
      <c r="R19" s="1478" t="s">
        <v>8</v>
      </c>
      <c r="S19" s="1416">
        <f>'XM.GUI MAIL'!AU56</f>
        <v>0</v>
      </c>
      <c r="T19" s="59" t="s">
        <v>10</v>
      </c>
      <c r="U19" s="281" t="s">
        <v>15</v>
      </c>
      <c r="W19" s="1523">
        <v>9</v>
      </c>
      <c r="X19" s="3108" t="s">
        <v>60</v>
      </c>
      <c r="Y19" s="3110"/>
      <c r="Z19" s="3110"/>
      <c r="AA19" s="3111"/>
      <c r="AB19" s="2171"/>
      <c r="AC19" s="1914" t="s">
        <v>10</v>
      </c>
      <c r="AD19" s="1906"/>
      <c r="AE19" s="1916" t="s">
        <v>6</v>
      </c>
      <c r="AF19" s="2171"/>
      <c r="AG19" s="1914" t="s">
        <v>10</v>
      </c>
      <c r="AH19" s="1906"/>
      <c r="AI19" s="1916" t="s">
        <v>6</v>
      </c>
      <c r="AJ19" s="2171"/>
      <c r="AK19" s="1914" t="s">
        <v>10</v>
      </c>
      <c r="AL19" s="1906"/>
      <c r="AM19" s="1916" t="s">
        <v>6</v>
      </c>
    </row>
    <row r="20" spans="1:39" ht="34.5" hidden="1" customHeight="1">
      <c r="A20" s="1511">
        <v>11</v>
      </c>
      <c r="B20" s="3108" t="s">
        <v>109</v>
      </c>
      <c r="C20" s="3110"/>
      <c r="D20" s="3110"/>
      <c r="E20" s="3111"/>
      <c r="F20" s="1520" t="s">
        <v>6</v>
      </c>
      <c r="G20" s="1042" t="str">
        <f>'XM.GUI MAIL'!$E$57</f>
        <v>5~15</v>
      </c>
      <c r="H20" s="2431" t="str">
        <f>'XM.GUI MAIL'!$F$57</f>
        <v>(10±3)</v>
      </c>
      <c r="I20" s="2422">
        <f>'XM.GUI MAIL'!AD57</f>
        <v>0</v>
      </c>
      <c r="J20" s="1478" t="s">
        <v>8</v>
      </c>
      <c r="K20" s="1416">
        <f>'XM.GUI MAIL'!AG57</f>
        <v>0</v>
      </c>
      <c r="L20" s="1478" t="s">
        <v>10</v>
      </c>
      <c r="M20" s="1843"/>
      <c r="N20" s="1478"/>
      <c r="O20" s="1416"/>
      <c r="P20" s="1478"/>
      <c r="Q20" s="1843">
        <f>'XM.GUI MAIL'!AR57</f>
        <v>0</v>
      </c>
      <c r="R20" s="1478" t="s">
        <v>8</v>
      </c>
      <c r="S20" s="1416">
        <f>'XM.GUI MAIL'!AU57</f>
        <v>0</v>
      </c>
      <c r="T20" s="59" t="s">
        <v>10</v>
      </c>
      <c r="U20" s="281" t="s">
        <v>16</v>
      </c>
      <c r="W20" s="1523">
        <v>11</v>
      </c>
      <c r="X20" s="3108" t="s">
        <v>109</v>
      </c>
      <c r="Y20" s="3110"/>
      <c r="Z20" s="3110"/>
      <c r="AA20" s="3111"/>
      <c r="AB20" s="2171"/>
      <c r="AC20" s="1914" t="s">
        <v>10</v>
      </c>
      <c r="AD20" s="1906"/>
      <c r="AE20" s="1916" t="s">
        <v>6</v>
      </c>
      <c r="AF20" s="2171"/>
      <c r="AG20" s="1914" t="s">
        <v>10</v>
      </c>
      <c r="AH20" s="1906"/>
      <c r="AI20" s="1916" t="s">
        <v>6</v>
      </c>
      <c r="AJ20" s="2171"/>
      <c r="AK20" s="1914" t="s">
        <v>10</v>
      </c>
      <c r="AL20" s="1906"/>
      <c r="AM20" s="1916" t="s">
        <v>6</v>
      </c>
    </row>
    <row r="21" spans="1:39" ht="34.5" customHeight="1">
      <c r="A21" s="1511">
        <v>12</v>
      </c>
      <c r="B21" s="3108" t="s">
        <v>108</v>
      </c>
      <c r="C21" s="3110"/>
      <c r="D21" s="3110"/>
      <c r="E21" s="3111"/>
      <c r="F21" s="1520" t="s">
        <v>3</v>
      </c>
      <c r="G21" s="1042" t="str">
        <f>'XM.GUI MAIL'!$E$58</f>
        <v>0.5~1.5</v>
      </c>
      <c r="H21" s="2431" t="str">
        <f>'XM.GUI MAIL'!$F$58</f>
        <v>(1±0.4)</v>
      </c>
      <c r="I21" s="2424">
        <f>'XM.GUI MAIL'!AD58</f>
        <v>1.2348000000000001E-2</v>
      </c>
      <c r="J21" s="1480" t="s">
        <v>8</v>
      </c>
      <c r="K21" s="1485">
        <f>'XM.GUI MAIL'!AG58</f>
        <v>0</v>
      </c>
      <c r="L21" s="1482" t="s">
        <v>10</v>
      </c>
      <c r="M21" s="1876"/>
      <c r="N21" s="1480"/>
      <c r="O21" s="1485"/>
      <c r="P21" s="1482"/>
      <c r="Q21" s="1876">
        <f>'XM.GUI MAIL'!AR58</f>
        <v>9.4500000000000001E-3</v>
      </c>
      <c r="R21" s="1478" t="s">
        <v>8</v>
      </c>
      <c r="S21" s="82">
        <f>'XM.GUI MAIL'!AU58</f>
        <v>0.29699439633214475</v>
      </c>
      <c r="T21" s="59" t="s">
        <v>10</v>
      </c>
      <c r="U21" s="281" t="s">
        <v>16</v>
      </c>
      <c r="W21" s="1523">
        <v>12</v>
      </c>
      <c r="X21" s="3108" t="s">
        <v>108</v>
      </c>
      <c r="Y21" s="3110"/>
      <c r="Z21" s="3110"/>
      <c r="AA21" s="3111"/>
      <c r="AB21" s="2171"/>
      <c r="AC21" s="1914" t="s">
        <v>10</v>
      </c>
      <c r="AD21" s="1906"/>
      <c r="AE21" s="1916" t="s">
        <v>3</v>
      </c>
      <c r="AF21" s="2171"/>
      <c r="AG21" s="1914" t="s">
        <v>10</v>
      </c>
      <c r="AH21" s="1906"/>
      <c r="AI21" s="1916" t="s">
        <v>3</v>
      </c>
      <c r="AJ21" s="2171"/>
      <c r="AK21" s="1914" t="s">
        <v>10</v>
      </c>
      <c r="AL21" s="1906"/>
      <c r="AM21" s="1916" t="s">
        <v>3</v>
      </c>
    </row>
    <row r="22" spans="1:39" ht="30.75" customHeight="1">
      <c r="A22" s="3116">
        <v>13</v>
      </c>
      <c r="B22" s="2877" t="s">
        <v>235</v>
      </c>
      <c r="C22" s="2878"/>
      <c r="D22" s="2878"/>
      <c r="E22" s="2879"/>
      <c r="F22" s="1511" t="s">
        <v>3</v>
      </c>
      <c r="G22" s="1042" t="str">
        <f>'XM.GUI MAIL'!$E$59</f>
        <v>5~8</v>
      </c>
      <c r="H22" s="2431" t="str">
        <f>'XM.GUI MAIL'!$F$59</f>
        <v>(6±0.5)</v>
      </c>
      <c r="I22" s="2425" t="str">
        <f>'XM.GUI MAIL'!AD59</f>
        <v>KO SX</v>
      </c>
      <c r="J22" s="1478" t="s">
        <v>8</v>
      </c>
      <c r="K22" s="82">
        <f>'XM.GUI MAIL'!AG59</f>
        <v>0</v>
      </c>
      <c r="L22" s="1479" t="s">
        <v>10</v>
      </c>
      <c r="M22" s="1952"/>
      <c r="N22" s="1478"/>
      <c r="O22" s="82"/>
      <c r="P22" s="1479"/>
      <c r="Q22" s="1952" t="str">
        <f>'XM.GUI MAIL'!AR59</f>
        <v>KO SX</v>
      </c>
      <c r="R22" s="1478" t="s">
        <v>8</v>
      </c>
      <c r="S22" s="82">
        <f>'XM.GUI MAIL'!AU59</f>
        <v>0</v>
      </c>
      <c r="T22" s="59" t="s">
        <v>10</v>
      </c>
      <c r="U22" s="281"/>
      <c r="W22" s="3116">
        <v>13</v>
      </c>
      <c r="X22" s="2877" t="s">
        <v>235</v>
      </c>
      <c r="Y22" s="2878"/>
      <c r="Z22" s="2878"/>
      <c r="AA22" s="2879"/>
      <c r="AB22" s="2171"/>
      <c r="AC22" s="1914" t="s">
        <v>10</v>
      </c>
      <c r="AD22" s="1906"/>
      <c r="AE22" s="1853" t="s">
        <v>3</v>
      </c>
      <c r="AF22" s="2171"/>
      <c r="AG22" s="1914" t="s">
        <v>10</v>
      </c>
      <c r="AH22" s="1906"/>
      <c r="AI22" s="1853" t="s">
        <v>3</v>
      </c>
      <c r="AJ22" s="2171"/>
      <c r="AK22" s="1914" t="s">
        <v>10</v>
      </c>
      <c r="AL22" s="1906"/>
      <c r="AM22" s="1853" t="s">
        <v>3</v>
      </c>
    </row>
    <row r="23" spans="1:39" ht="30.75" customHeight="1">
      <c r="A23" s="3117"/>
      <c r="B23" s="2880"/>
      <c r="C23" s="2881"/>
      <c r="D23" s="2881"/>
      <c r="E23" s="2882"/>
      <c r="F23" s="1511" t="s">
        <v>5</v>
      </c>
      <c r="G23" s="1042" t="str">
        <f>'XM.GUI MAIL'!$E$60</f>
        <v>1.8~2.4</v>
      </c>
      <c r="H23" s="2431" t="str">
        <f>'XM.GUI MAIL'!$F$60</f>
        <v>(2.1±0.1 )</v>
      </c>
      <c r="I23" s="2426" t="str">
        <f>'XM.GUI MAIL'!AD60</f>
        <v>KO SX</v>
      </c>
      <c r="J23" s="1478"/>
      <c r="K23" s="1416">
        <f>'XM.GUI MAIL'!AG60</f>
        <v>0</v>
      </c>
      <c r="L23" s="1479"/>
      <c r="M23" s="2398"/>
      <c r="N23" s="1478"/>
      <c r="O23" s="1416"/>
      <c r="P23" s="1479"/>
      <c r="Q23" s="2398" t="str">
        <f>'XM.GUI MAIL'!AR60</f>
        <v>KO SX</v>
      </c>
      <c r="R23" s="1478"/>
      <c r="S23" s="1416">
        <f>'XM.GUI MAIL'!AU60</f>
        <v>0</v>
      </c>
      <c r="T23" s="59"/>
      <c r="U23" s="281"/>
      <c r="W23" s="3117"/>
      <c r="X23" s="2880"/>
      <c r="Y23" s="2881"/>
      <c r="Z23" s="2881"/>
      <c r="AA23" s="2882"/>
      <c r="AB23" s="2172"/>
      <c r="AC23" s="1914"/>
      <c r="AD23" s="1910"/>
      <c r="AE23" s="1853"/>
      <c r="AF23" s="2172"/>
      <c r="AG23" s="1914"/>
      <c r="AH23" s="1910"/>
      <c r="AI23" s="1853"/>
      <c r="AJ23" s="2172"/>
      <c r="AK23" s="1914"/>
      <c r="AL23" s="1910"/>
      <c r="AM23" s="1853"/>
    </row>
    <row r="24" spans="1:39" ht="33" customHeight="1">
      <c r="A24" s="1511"/>
      <c r="B24" s="264"/>
      <c r="C24" s="265"/>
      <c r="D24" s="265"/>
      <c r="E24" s="265"/>
      <c r="F24" s="265"/>
      <c r="G24" s="267" t="s">
        <v>110</v>
      </c>
      <c r="H24" s="267"/>
      <c r="I24" s="265"/>
      <c r="J24" s="265"/>
      <c r="K24" s="265"/>
      <c r="L24" s="265"/>
      <c r="M24" s="265"/>
      <c r="N24" s="265"/>
      <c r="O24" s="265"/>
      <c r="P24" s="265"/>
      <c r="Q24" s="265"/>
      <c r="R24" s="265"/>
      <c r="S24" s="265"/>
      <c r="T24" s="265"/>
      <c r="U24" s="266"/>
      <c r="W24" s="1523"/>
      <c r="X24" s="264"/>
      <c r="Y24" s="265"/>
      <c r="Z24" s="265"/>
      <c r="AA24" s="265"/>
      <c r="AB24" s="265"/>
      <c r="AC24" s="265"/>
      <c r="AD24" s="265"/>
      <c r="AE24" s="265"/>
      <c r="AF24" s="265"/>
      <c r="AG24" s="1913"/>
      <c r="AH24" s="1913"/>
      <c r="AJ24" s="265"/>
      <c r="AK24" s="265"/>
      <c r="AL24" s="265"/>
      <c r="AM24" s="265"/>
    </row>
    <row r="25" spans="1:39" ht="33" customHeight="1">
      <c r="A25" s="1520" t="s">
        <v>7</v>
      </c>
      <c r="B25" s="3108" t="s">
        <v>62</v>
      </c>
      <c r="C25" s="3110"/>
      <c r="D25" s="3110"/>
      <c r="E25" s="3111"/>
      <c r="F25" s="1510" t="s">
        <v>64</v>
      </c>
      <c r="G25" s="1010" t="s">
        <v>1325</v>
      </c>
      <c r="H25" s="2429" t="s">
        <v>1317</v>
      </c>
      <c r="I25" s="3143" t="s">
        <v>46</v>
      </c>
      <c r="J25" s="3144"/>
      <c r="K25" s="3145" t="s">
        <v>63</v>
      </c>
      <c r="L25" s="3144"/>
      <c r="M25" s="3145" t="s">
        <v>46</v>
      </c>
      <c r="N25" s="3144"/>
      <c r="O25" s="3145" t="s">
        <v>63</v>
      </c>
      <c r="P25" s="3144"/>
      <c r="Q25" s="3145" t="s">
        <v>46</v>
      </c>
      <c r="R25" s="3144"/>
      <c r="S25" s="3145" t="s">
        <v>63</v>
      </c>
      <c r="T25" s="3144"/>
      <c r="U25" s="1517"/>
      <c r="W25" s="1525" t="s">
        <v>7</v>
      </c>
      <c r="X25" s="3108" t="s">
        <v>62</v>
      </c>
      <c r="Y25" s="3110"/>
      <c r="Z25" s="3110"/>
      <c r="AA25" s="3111"/>
      <c r="AB25" s="3106" t="s">
        <v>1375</v>
      </c>
      <c r="AC25" s="2904"/>
      <c r="AD25" s="2904"/>
      <c r="AE25" s="2905"/>
      <c r="AF25" s="3106" t="s">
        <v>1375</v>
      </c>
      <c r="AG25" s="2904"/>
      <c r="AH25" s="2904"/>
      <c r="AI25" s="2905"/>
      <c r="AJ25" s="3106" t="s">
        <v>1375</v>
      </c>
      <c r="AK25" s="2904"/>
      <c r="AL25" s="2904"/>
      <c r="AM25" s="2905"/>
    </row>
    <row r="26" spans="1:39" ht="34.5" customHeight="1">
      <c r="A26" s="1520">
        <v>1</v>
      </c>
      <c r="B26" s="3108" t="s">
        <v>66</v>
      </c>
      <c r="C26" s="3110"/>
      <c r="D26" s="3110"/>
      <c r="E26" s="3111"/>
      <c r="F26" s="21" t="s">
        <v>106</v>
      </c>
      <c r="G26" s="1043" t="str">
        <f>'XM.GUI MAIL'!$E$63</f>
        <v>50~70</v>
      </c>
      <c r="H26" s="2450" t="str">
        <f>'XM.GUI MAIL'!$F$63</f>
        <v>(60±5)</v>
      </c>
      <c r="I26" s="2934">
        <f>'XM.GUI MAIL'!AD63</f>
        <v>54</v>
      </c>
      <c r="J26" s="2867"/>
      <c r="K26" s="2867">
        <f>'XM.GUI MAIL'!AG63</f>
        <v>52</v>
      </c>
      <c r="L26" s="2867"/>
      <c r="M26" s="2867"/>
      <c r="N26" s="2867"/>
      <c r="O26" s="2867"/>
      <c r="P26" s="2867"/>
      <c r="Q26" s="2867">
        <f>'XM.GUI MAIL'!AR63</f>
        <v>54</v>
      </c>
      <c r="R26" s="2867"/>
      <c r="S26" s="2867">
        <f>'XM.GUI MAIL'!AU63</f>
        <v>52</v>
      </c>
      <c r="T26" s="2867"/>
      <c r="U26" s="20"/>
      <c r="W26" s="1525">
        <v>1</v>
      </c>
      <c r="X26" s="3108" t="s">
        <v>66</v>
      </c>
      <c r="Y26" s="3110"/>
      <c r="Z26" s="3110"/>
      <c r="AA26" s="3111"/>
      <c r="AB26" s="1597"/>
      <c r="AC26" s="1901"/>
      <c r="AD26" s="1901"/>
      <c r="AE26" s="1598"/>
      <c r="AF26" s="1700"/>
      <c r="AG26" s="1901"/>
      <c r="AH26" s="1901"/>
      <c r="AI26" s="1598"/>
      <c r="AJ26" s="1597"/>
      <c r="AK26" s="1901"/>
      <c r="AL26" s="1901"/>
      <c r="AM26" s="1598"/>
    </row>
    <row r="27" spans="1:39" ht="34.5" customHeight="1">
      <c r="A27" s="1520">
        <v>2</v>
      </c>
      <c r="B27" s="3108" t="s">
        <v>67</v>
      </c>
      <c r="C27" s="3110" t="s">
        <v>67</v>
      </c>
      <c r="D27" s="3110" t="s">
        <v>67</v>
      </c>
      <c r="E27" s="3111" t="s">
        <v>67</v>
      </c>
      <c r="F27" s="21" t="s">
        <v>106</v>
      </c>
      <c r="G27" s="1043" t="str">
        <f>'XM.GUI MAIL'!$E$64</f>
        <v>50~70</v>
      </c>
      <c r="H27" s="2450" t="str">
        <f>'XM.GUI MAIL'!$F$64</f>
        <v>(60±5)</v>
      </c>
      <c r="I27" s="2934">
        <f>'XM.GUI MAIL'!AD64</f>
        <v>62</v>
      </c>
      <c r="J27" s="2867"/>
      <c r="K27" s="2867">
        <f>'XM.GUI MAIL'!AG64</f>
        <v>61</v>
      </c>
      <c r="L27" s="2867"/>
      <c r="M27" s="2867"/>
      <c r="N27" s="2867"/>
      <c r="O27" s="2867"/>
      <c r="P27" s="2867"/>
      <c r="Q27" s="2867">
        <f>'XM.GUI MAIL'!AR64</f>
        <v>62</v>
      </c>
      <c r="R27" s="2867"/>
      <c r="S27" s="2867">
        <f>'XM.GUI MAIL'!AU64</f>
        <v>61</v>
      </c>
      <c r="T27" s="2867"/>
      <c r="U27" s="20"/>
      <c r="W27" s="1525">
        <v>2</v>
      </c>
      <c r="X27" s="3108" t="s">
        <v>67</v>
      </c>
      <c r="Y27" s="3110" t="s">
        <v>67</v>
      </c>
      <c r="Z27" s="3110" t="s">
        <v>67</v>
      </c>
      <c r="AA27" s="3111" t="s">
        <v>67</v>
      </c>
      <c r="AB27" s="1597"/>
      <c r="AC27" s="1901"/>
      <c r="AD27" s="1901"/>
      <c r="AE27" s="1598"/>
      <c r="AF27" s="1700"/>
      <c r="AG27" s="1901"/>
      <c r="AH27" s="1901"/>
      <c r="AI27" s="1598"/>
      <c r="AJ27" s="1597"/>
      <c r="AK27" s="1901"/>
      <c r="AL27" s="1901"/>
      <c r="AM27" s="1598"/>
    </row>
    <row r="28" spans="1:39" ht="34.5" customHeight="1">
      <c r="A28" s="1520">
        <v>3</v>
      </c>
      <c r="B28" s="3108" t="s">
        <v>69</v>
      </c>
      <c r="C28" s="3110" t="s">
        <v>69</v>
      </c>
      <c r="D28" s="3110" t="s">
        <v>69</v>
      </c>
      <c r="E28" s="3111" t="s">
        <v>69</v>
      </c>
      <c r="F28" s="21" t="s">
        <v>106</v>
      </c>
      <c r="G28" s="1043" t="str">
        <f>'XM.GUI MAIL'!$E$65</f>
        <v>40~60</v>
      </c>
      <c r="H28" s="2450" t="str">
        <f>'XM.GUI MAIL'!$F$65</f>
        <v>(50±5)</v>
      </c>
      <c r="I28" s="2829">
        <f>'XM.GUI MAIL'!AD65</f>
        <v>53</v>
      </c>
      <c r="J28" s="2819"/>
      <c r="K28" s="2828">
        <f>'XM.GUI MAIL'!AG65</f>
        <v>52</v>
      </c>
      <c r="L28" s="2819"/>
      <c r="M28" s="2828"/>
      <c r="N28" s="2819"/>
      <c r="O28" s="2828"/>
      <c r="P28" s="2819"/>
      <c r="Q28" s="2828">
        <f>'XM.GUI MAIL'!AR65</f>
        <v>53</v>
      </c>
      <c r="R28" s="2819"/>
      <c r="S28" s="2828">
        <f>'XM.GUI MAIL'!AU65</f>
        <v>52</v>
      </c>
      <c r="T28" s="2819"/>
      <c r="U28" s="20"/>
      <c r="W28" s="1525">
        <v>3</v>
      </c>
      <c r="X28" s="3108" t="s">
        <v>69</v>
      </c>
      <c r="Y28" s="3110" t="s">
        <v>69</v>
      </c>
      <c r="Z28" s="3110" t="s">
        <v>69</v>
      </c>
      <c r="AA28" s="3111" t="s">
        <v>69</v>
      </c>
      <c r="AB28" s="1597"/>
      <c r="AC28" s="1901"/>
      <c r="AD28" s="1901"/>
      <c r="AE28" s="1598"/>
      <c r="AF28" s="1700"/>
      <c r="AG28" s="1901"/>
      <c r="AH28" s="1901"/>
      <c r="AI28" s="1598"/>
      <c r="AJ28" s="1597"/>
      <c r="AK28" s="1901"/>
      <c r="AL28" s="1901"/>
      <c r="AM28" s="1598"/>
    </row>
    <row r="29" spans="1:39" ht="34.5" customHeight="1">
      <c r="A29" s="1520">
        <v>4</v>
      </c>
      <c r="B29" s="3108" t="s">
        <v>68</v>
      </c>
      <c r="C29" s="3110" t="s">
        <v>68</v>
      </c>
      <c r="D29" s="3110" t="s">
        <v>68</v>
      </c>
      <c r="E29" s="3111" t="s">
        <v>68</v>
      </c>
      <c r="F29" s="21" t="s">
        <v>106</v>
      </c>
      <c r="G29" s="1043" t="str">
        <f>'XM.GUI MAIL'!$E$66</f>
        <v>40~60</v>
      </c>
      <c r="H29" s="2450" t="str">
        <f>'XM.GUI MAIL'!$F$66</f>
        <v>(50±5)</v>
      </c>
      <c r="I29" s="2829">
        <f>'XM.GUI MAIL'!AD66</f>
        <v>51</v>
      </c>
      <c r="J29" s="2819"/>
      <c r="K29" s="2828">
        <f>'XM.GUI MAIL'!AG66</f>
        <v>50</v>
      </c>
      <c r="L29" s="2819"/>
      <c r="M29" s="2828"/>
      <c r="N29" s="2819"/>
      <c r="O29" s="2828"/>
      <c r="P29" s="2819"/>
      <c r="Q29" s="2828">
        <f>'XM.GUI MAIL'!AR66</f>
        <v>49</v>
      </c>
      <c r="R29" s="2819"/>
      <c r="S29" s="2828">
        <f>'XM.GUI MAIL'!AU66</f>
        <v>48</v>
      </c>
      <c r="T29" s="2819"/>
      <c r="U29" s="20"/>
      <c r="W29" s="1525">
        <v>4</v>
      </c>
      <c r="X29" s="3108" t="s">
        <v>68</v>
      </c>
      <c r="Y29" s="3110" t="s">
        <v>68</v>
      </c>
      <c r="Z29" s="3110" t="s">
        <v>68</v>
      </c>
      <c r="AA29" s="3111" t="s">
        <v>68</v>
      </c>
      <c r="AB29" s="1597"/>
      <c r="AC29" s="1901"/>
      <c r="AD29" s="1901"/>
      <c r="AE29" s="1598"/>
      <c r="AF29" s="1700"/>
      <c r="AG29" s="1901"/>
      <c r="AH29" s="1901"/>
      <c r="AI29" s="1598"/>
      <c r="AJ29" s="1597"/>
      <c r="AK29" s="1901"/>
      <c r="AL29" s="1901"/>
      <c r="AM29" s="1598"/>
    </row>
    <row r="30" spans="1:39" ht="34.5" customHeight="1">
      <c r="A30" s="1520">
        <v>5</v>
      </c>
      <c r="B30" s="3108" t="s">
        <v>70</v>
      </c>
      <c r="C30" s="3110" t="s">
        <v>70</v>
      </c>
      <c r="D30" s="3110" t="s">
        <v>70</v>
      </c>
      <c r="E30" s="3111" t="s">
        <v>70</v>
      </c>
      <c r="F30" s="21" t="s">
        <v>106</v>
      </c>
      <c r="G30" s="1043" t="str">
        <f>'XM.GUI MAIL'!$E$67</f>
        <v>22~35</v>
      </c>
      <c r="H30" s="2450" t="str">
        <f>'XM.GUI MAIL'!$F$67</f>
        <v>(30±4)</v>
      </c>
      <c r="I30" s="2934">
        <f>'XM.GUI MAIL'!AD67</f>
        <v>32</v>
      </c>
      <c r="J30" s="2867"/>
      <c r="K30" s="2867">
        <f>'XM.GUI MAIL'!AG67</f>
        <v>31</v>
      </c>
      <c r="L30" s="2867"/>
      <c r="M30" s="2867"/>
      <c r="N30" s="2867"/>
      <c r="O30" s="2867"/>
      <c r="P30" s="2867"/>
      <c r="Q30" s="2867">
        <f>'XM.GUI MAIL'!AR67</f>
        <v>31</v>
      </c>
      <c r="R30" s="2867"/>
      <c r="S30" s="2867">
        <f>'XM.GUI MAIL'!AU67</f>
        <v>30</v>
      </c>
      <c r="T30" s="2867"/>
      <c r="U30" s="20"/>
      <c r="W30" s="1525">
        <v>5</v>
      </c>
      <c r="X30" s="3108" t="s">
        <v>70</v>
      </c>
      <c r="Y30" s="3110" t="s">
        <v>70</v>
      </c>
      <c r="Z30" s="3110" t="s">
        <v>70</v>
      </c>
      <c r="AA30" s="3111" t="s">
        <v>70</v>
      </c>
      <c r="AB30" s="1597"/>
      <c r="AC30" s="1901"/>
      <c r="AD30" s="1901"/>
      <c r="AE30" s="1598"/>
      <c r="AF30" s="1700"/>
      <c r="AG30" s="1901"/>
      <c r="AH30" s="1901"/>
      <c r="AI30" s="1598"/>
      <c r="AJ30" s="1597"/>
      <c r="AK30" s="1901"/>
      <c r="AL30" s="1901"/>
      <c r="AM30" s="1598"/>
    </row>
    <row r="31" spans="1:39" ht="34.5" customHeight="1">
      <c r="A31" s="1520">
        <v>6</v>
      </c>
      <c r="B31" s="3108" t="s">
        <v>985</v>
      </c>
      <c r="C31" s="3110" t="s">
        <v>985</v>
      </c>
      <c r="D31" s="3110" t="s">
        <v>985</v>
      </c>
      <c r="E31" s="3111" t="s">
        <v>985</v>
      </c>
      <c r="F31" s="21" t="s">
        <v>106</v>
      </c>
      <c r="G31" s="1043" t="str">
        <f>'XM.GUI MAIL'!$E$68</f>
        <v>30-38</v>
      </c>
      <c r="H31" s="2450" t="str">
        <f>'XM.GUI MAIL'!$F$68</f>
        <v>(34±2)</v>
      </c>
      <c r="I31" s="2934">
        <f>'XM.GUI MAIL'!AD68</f>
        <v>34</v>
      </c>
      <c r="J31" s="2867"/>
      <c r="K31" s="2867">
        <f>'XM.GUI MAIL'!AG68</f>
        <v>33</v>
      </c>
      <c r="L31" s="2867"/>
      <c r="M31" s="2867"/>
      <c r="N31" s="2867"/>
      <c r="O31" s="2867"/>
      <c r="P31" s="2867"/>
      <c r="Q31" s="2867">
        <f>'XM.GUI MAIL'!AR68</f>
        <v>34</v>
      </c>
      <c r="R31" s="2867"/>
      <c r="S31" s="2867">
        <f>'XM.GUI MAIL'!AU68</f>
        <v>33</v>
      </c>
      <c r="T31" s="2867"/>
      <c r="U31" s="22"/>
      <c r="W31" s="1525">
        <v>6</v>
      </c>
      <c r="X31" s="3108" t="s">
        <v>985</v>
      </c>
      <c r="Y31" s="3110" t="s">
        <v>985</v>
      </c>
      <c r="Z31" s="3110" t="s">
        <v>985</v>
      </c>
      <c r="AA31" s="3111" t="s">
        <v>985</v>
      </c>
      <c r="AB31" s="1597"/>
      <c r="AC31" s="1901"/>
      <c r="AD31" s="1901"/>
      <c r="AE31" s="1598"/>
      <c r="AF31" s="1700"/>
      <c r="AG31" s="1901"/>
      <c r="AH31" s="1901"/>
      <c r="AI31" s="1598"/>
      <c r="AJ31" s="1597"/>
      <c r="AK31" s="1901"/>
      <c r="AL31" s="1901"/>
      <c r="AM31" s="1598"/>
    </row>
    <row r="32" spans="1:39" ht="34.5" customHeight="1">
      <c r="A32" s="1520">
        <v>7</v>
      </c>
      <c r="B32" s="3108" t="s">
        <v>71</v>
      </c>
      <c r="C32" s="3110" t="s">
        <v>71</v>
      </c>
      <c r="D32" s="3110" t="s">
        <v>71</v>
      </c>
      <c r="E32" s="3111" t="s">
        <v>71</v>
      </c>
      <c r="F32" s="21" t="s">
        <v>106</v>
      </c>
      <c r="G32" s="1043" t="str">
        <f>'XM.GUI MAIL'!$E$69</f>
        <v>50~70</v>
      </c>
      <c r="H32" s="2450" t="str">
        <f>'XM.GUI MAIL'!$F$69</f>
        <v>(60±10)</v>
      </c>
      <c r="I32" s="2934">
        <f>'XM.GUI MAIL'!AD69</f>
        <v>55</v>
      </c>
      <c r="J32" s="2867"/>
      <c r="K32" s="2867">
        <f>'XM.GUI MAIL'!AG69</f>
        <v>54</v>
      </c>
      <c r="L32" s="2867"/>
      <c r="M32" s="2867"/>
      <c r="N32" s="2867"/>
      <c r="O32" s="2867"/>
      <c r="P32" s="2867"/>
      <c r="Q32" s="2867">
        <f>'XM.GUI MAIL'!AR69</f>
        <v>52</v>
      </c>
      <c r="R32" s="2867"/>
      <c r="S32" s="2867">
        <f>'XM.GUI MAIL'!AU69</f>
        <v>51</v>
      </c>
      <c r="T32" s="2867"/>
      <c r="U32" s="20"/>
      <c r="W32" s="1525">
        <v>7</v>
      </c>
      <c r="X32" s="3108" t="s">
        <v>71</v>
      </c>
      <c r="Y32" s="3110" t="s">
        <v>71</v>
      </c>
      <c r="Z32" s="3110" t="s">
        <v>71</v>
      </c>
      <c r="AA32" s="3111" t="s">
        <v>71</v>
      </c>
      <c r="AB32" s="1597"/>
      <c r="AC32" s="1901"/>
      <c r="AD32" s="1901"/>
      <c r="AE32" s="1598"/>
      <c r="AF32" s="1700"/>
      <c r="AG32" s="1901"/>
      <c r="AH32" s="1901"/>
      <c r="AI32" s="1598"/>
      <c r="AJ32" s="1597"/>
      <c r="AK32" s="1901"/>
      <c r="AL32" s="1901"/>
      <c r="AM32" s="1598"/>
    </row>
    <row r="33" spans="1:39" ht="34.5" customHeight="1">
      <c r="A33" s="1520">
        <v>8</v>
      </c>
      <c r="B33" s="3112" t="s">
        <v>72</v>
      </c>
      <c r="C33" s="3113" t="s">
        <v>72</v>
      </c>
      <c r="D33" s="3113" t="s">
        <v>72</v>
      </c>
      <c r="E33" s="3114" t="s">
        <v>72</v>
      </c>
      <c r="F33" s="21" t="s">
        <v>106</v>
      </c>
      <c r="G33" s="1043" t="str">
        <f>'XM.GUI MAIL'!$E$70</f>
        <v>80~100</v>
      </c>
      <c r="H33" s="2455" t="str">
        <f>'XM.GUI MAIL'!$F$70</f>
        <v>(90±5)</v>
      </c>
      <c r="I33" s="2942" t="s">
        <v>48</v>
      </c>
      <c r="J33" s="2943"/>
      <c r="K33" s="2819">
        <f>'XM.GUI MAIL'!AG70</f>
        <v>90</v>
      </c>
      <c r="L33" s="2819"/>
      <c r="M33" s="2944"/>
      <c r="N33" s="2943"/>
      <c r="O33" s="2819"/>
      <c r="P33" s="2819"/>
      <c r="Q33" s="2944" t="s">
        <v>48</v>
      </c>
      <c r="R33" s="2943"/>
      <c r="S33" s="2819">
        <f>'XM.GUI MAIL'!AU70</f>
        <v>90</v>
      </c>
      <c r="T33" s="2819"/>
      <c r="U33" s="20"/>
      <c r="W33" s="1525">
        <v>8</v>
      </c>
      <c r="X33" s="3112" t="s">
        <v>72</v>
      </c>
      <c r="Y33" s="3113" t="s">
        <v>72</v>
      </c>
      <c r="Z33" s="3113" t="s">
        <v>72</v>
      </c>
      <c r="AA33" s="3114" t="s">
        <v>72</v>
      </c>
      <c r="AB33" s="1597"/>
      <c r="AC33" s="1901"/>
      <c r="AD33" s="1901"/>
      <c r="AE33" s="1598"/>
      <c r="AF33" s="1899"/>
      <c r="AG33" s="1898"/>
      <c r="AH33" s="1898"/>
      <c r="AI33" s="1599"/>
      <c r="AJ33" s="1899"/>
      <c r="AK33" s="1898"/>
      <c r="AL33" s="1898"/>
      <c r="AM33" s="1599"/>
    </row>
    <row r="34" spans="1:39" ht="36.75" customHeight="1">
      <c r="A34" s="1511"/>
      <c r="B34" s="264"/>
      <c r="C34" s="265"/>
      <c r="D34" s="265"/>
      <c r="E34" s="265"/>
      <c r="F34" s="265"/>
      <c r="G34" s="267" t="s">
        <v>111</v>
      </c>
      <c r="H34" s="2454"/>
      <c r="I34" s="265"/>
      <c r="J34" s="265"/>
      <c r="K34" s="265"/>
      <c r="L34" s="265"/>
      <c r="M34" s="265"/>
      <c r="N34" s="265"/>
      <c r="O34" s="265"/>
      <c r="P34" s="265"/>
      <c r="Q34" s="265"/>
      <c r="R34" s="265"/>
      <c r="S34" s="265"/>
      <c r="T34" s="265"/>
      <c r="U34" s="266"/>
      <c r="W34" s="1523"/>
      <c r="X34" s="264"/>
      <c r="Y34" s="265"/>
      <c r="Z34" s="265"/>
      <c r="AA34" s="265"/>
      <c r="AB34" s="265"/>
      <c r="AC34" s="265"/>
      <c r="AD34" s="265"/>
      <c r="AE34" s="265"/>
      <c r="AF34" s="1917"/>
      <c r="AG34" s="1913"/>
      <c r="AH34" s="1913"/>
      <c r="AJ34" s="1917"/>
      <c r="AK34" s="1917"/>
      <c r="AL34" s="1917"/>
      <c r="AM34" s="1917"/>
    </row>
    <row r="35" spans="1:39" ht="35.25" customHeight="1">
      <c r="A35" s="1520" t="s">
        <v>7</v>
      </c>
      <c r="B35" s="3108" t="s">
        <v>93</v>
      </c>
      <c r="C35" s="3110"/>
      <c r="D35" s="3110"/>
      <c r="E35" s="3111"/>
      <c r="F35" s="1519" t="s">
        <v>94</v>
      </c>
      <c r="G35" s="1010" t="s">
        <v>1325</v>
      </c>
      <c r="H35" s="2429" t="s">
        <v>1317</v>
      </c>
      <c r="I35" s="3113" t="s">
        <v>112</v>
      </c>
      <c r="J35" s="3113"/>
      <c r="K35" s="3113"/>
      <c r="L35" s="3114"/>
      <c r="M35" s="3112" t="s">
        <v>112</v>
      </c>
      <c r="N35" s="3113"/>
      <c r="O35" s="3113"/>
      <c r="P35" s="3114"/>
      <c r="Q35" s="3112" t="s">
        <v>112</v>
      </c>
      <c r="R35" s="3113"/>
      <c r="S35" s="3113"/>
      <c r="T35" s="3114"/>
      <c r="U35" s="1517"/>
      <c r="W35" s="1525" t="s">
        <v>7</v>
      </c>
      <c r="X35" s="3108" t="s">
        <v>93</v>
      </c>
      <c r="Y35" s="3110"/>
      <c r="Z35" s="3110"/>
      <c r="AA35" s="3111"/>
      <c r="AB35" s="3106" t="s">
        <v>1375</v>
      </c>
      <c r="AC35" s="2904"/>
      <c r="AD35" s="2904"/>
      <c r="AE35" s="2905"/>
      <c r="AF35" s="3106" t="s">
        <v>1375</v>
      </c>
      <c r="AG35" s="2904"/>
      <c r="AH35" s="2904"/>
      <c r="AI35" s="2905"/>
      <c r="AJ35" s="3106" t="s">
        <v>1375</v>
      </c>
      <c r="AK35" s="2904"/>
      <c r="AL35" s="2904"/>
      <c r="AM35" s="2905"/>
    </row>
    <row r="36" spans="1:39" ht="42.75" customHeight="1">
      <c r="A36" s="1511">
        <v>1</v>
      </c>
      <c r="B36" s="3150" t="s">
        <v>227</v>
      </c>
      <c r="C36" s="3151"/>
      <c r="D36" s="3151"/>
      <c r="E36" s="3152"/>
      <c r="F36" s="23" t="s">
        <v>49</v>
      </c>
      <c r="G36" s="277" t="str">
        <f>'XM.GUI MAIL'!$E$72</f>
        <v>100-200</v>
      </c>
      <c r="H36" s="2023" t="str">
        <f>'XM.GUI MAIL'!$F$72</f>
        <v>100-200</v>
      </c>
      <c r="I36" s="3088">
        <f>'XM.GUI MAIL'!AD72</f>
        <v>115</v>
      </c>
      <c r="J36" s="3088"/>
      <c r="K36" s="3088"/>
      <c r="L36" s="3088"/>
      <c r="M36" s="3016">
        <f>'XM.GUI MAIL'!AK72</f>
        <v>0</v>
      </c>
      <c r="N36" s="3088"/>
      <c r="O36" s="3088"/>
      <c r="P36" s="3088"/>
      <c r="Q36" s="3016">
        <f>'XM.GUI MAIL'!AR72</f>
        <v>115</v>
      </c>
      <c r="R36" s="3088"/>
      <c r="S36" s="3088"/>
      <c r="T36" s="3088"/>
      <c r="U36" s="22"/>
      <c r="W36" s="1523">
        <v>1</v>
      </c>
      <c r="X36" s="3150" t="s">
        <v>227</v>
      </c>
      <c r="Y36" s="3151"/>
      <c r="Z36" s="3151"/>
      <c r="AA36" s="3152"/>
      <c r="AB36" s="1597"/>
      <c r="AC36" s="1901"/>
      <c r="AD36" s="1901"/>
      <c r="AE36" s="1598"/>
      <c r="AF36" s="1700"/>
      <c r="AG36" s="1901"/>
      <c r="AH36" s="1901"/>
      <c r="AI36" s="1598"/>
      <c r="AJ36" s="1597"/>
      <c r="AK36" s="1901"/>
      <c r="AL36" s="1901"/>
      <c r="AM36" s="1598"/>
    </row>
    <row r="37" spans="1:39" ht="42.75" customHeight="1">
      <c r="A37" s="1511">
        <v>2</v>
      </c>
      <c r="B37" s="3150" t="s">
        <v>228</v>
      </c>
      <c r="C37" s="3151"/>
      <c r="D37" s="3151"/>
      <c r="E37" s="3152"/>
      <c r="F37" s="23" t="s">
        <v>49</v>
      </c>
      <c r="G37" s="277" t="str">
        <f>'XM.GUI MAIL'!$E$73</f>
        <v>20-50</v>
      </c>
      <c r="H37" s="2023" t="str">
        <f>'XM.GUI MAIL'!$F$73</f>
        <v>20-50</v>
      </c>
      <c r="I37" s="3088">
        <f>'XM.GUI MAIL'!AD73</f>
        <v>42</v>
      </c>
      <c r="J37" s="3088"/>
      <c r="K37" s="3088"/>
      <c r="L37" s="3088"/>
      <c r="M37" s="3016">
        <f>'XM.GUI MAIL'!AK73</f>
        <v>0</v>
      </c>
      <c r="N37" s="3088"/>
      <c r="O37" s="3088"/>
      <c r="P37" s="3088"/>
      <c r="Q37" s="3016">
        <f>'XM.GUI MAIL'!AR73</f>
        <v>40</v>
      </c>
      <c r="R37" s="3088"/>
      <c r="S37" s="3088"/>
      <c r="T37" s="3088"/>
      <c r="U37" s="22"/>
      <c r="W37" s="1523">
        <v>2</v>
      </c>
      <c r="X37" s="3150" t="s">
        <v>228</v>
      </c>
      <c r="Y37" s="3151"/>
      <c r="Z37" s="3151"/>
      <c r="AA37" s="3152"/>
      <c r="AB37" s="1593"/>
      <c r="AC37" s="1898"/>
      <c r="AD37" s="1898"/>
      <c r="AE37" s="1599"/>
      <c r="AF37" s="1899"/>
      <c r="AG37" s="1898"/>
      <c r="AH37" s="1898"/>
      <c r="AI37" s="1599"/>
      <c r="AJ37" s="1593"/>
      <c r="AK37" s="1898"/>
      <c r="AL37" s="1898"/>
      <c r="AM37" s="1599"/>
    </row>
  </sheetData>
  <sheetProtection formatCells="0" formatColumns="0" formatRows="0" insertColumns="0" insertRows="0" insertHyperlinks="0" deleteColumns="0" deleteRows="0" selectLockedCells="1" sort="0" autoFilter="0" pivotTables="0"/>
  <mergeCells count="177">
    <mergeCell ref="AC3:AD3"/>
    <mergeCell ref="AF4:AI4"/>
    <mergeCell ref="AF25:AI25"/>
    <mergeCell ref="AF35:AI35"/>
    <mergeCell ref="X36:AA36"/>
    <mergeCell ref="X37:AA37"/>
    <mergeCell ref="X33:AA33"/>
    <mergeCell ref="X35:AA35"/>
    <mergeCell ref="X31:AA31"/>
    <mergeCell ref="X32:AA32"/>
    <mergeCell ref="X29:AA29"/>
    <mergeCell ref="X30:AA30"/>
    <mergeCell ref="X27:AA27"/>
    <mergeCell ref="X28:AA28"/>
    <mergeCell ref="X25:AA25"/>
    <mergeCell ref="X26:AA26"/>
    <mergeCell ref="X15:AA15"/>
    <mergeCell ref="AB25:AE25"/>
    <mergeCell ref="AB5:AC5"/>
    <mergeCell ref="AD5:AE5"/>
    <mergeCell ref="AF5:AG5"/>
    <mergeCell ref="AH5:AI5"/>
    <mergeCell ref="W16:W17"/>
    <mergeCell ref="X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X14:AA14"/>
    <mergeCell ref="W6:W7"/>
    <mergeCell ref="X6:Y7"/>
    <mergeCell ref="Z6:AA6"/>
    <mergeCell ref="Z7:AA7"/>
    <mergeCell ref="W8:W9"/>
    <mergeCell ref="X8:Y9"/>
    <mergeCell ref="Z8:AA8"/>
    <mergeCell ref="Z9:AA9"/>
    <mergeCell ref="A1:R1"/>
    <mergeCell ref="A2:R2"/>
    <mergeCell ref="S2:T2"/>
    <mergeCell ref="W2:AE2"/>
    <mergeCell ref="X3:Z3"/>
    <mergeCell ref="W4:W5"/>
    <mergeCell ref="X4:AA5"/>
    <mergeCell ref="U4:U5"/>
    <mergeCell ref="J5:L5"/>
    <mergeCell ref="N5:P5"/>
    <mergeCell ref="R5:T5"/>
    <mergeCell ref="A6:A7"/>
    <mergeCell ref="B6:C7"/>
    <mergeCell ref="D6:E6"/>
    <mergeCell ref="D7:E7"/>
    <mergeCell ref="B3:D3"/>
    <mergeCell ref="S3:T3"/>
    <mergeCell ref="A4:A5"/>
    <mergeCell ref="B4:E5"/>
    <mergeCell ref="F4:F5"/>
    <mergeCell ref="G4:G5"/>
    <mergeCell ref="H4:H5"/>
    <mergeCell ref="I4:L4"/>
    <mergeCell ref="M4:P4"/>
    <mergeCell ref="Q4:T4"/>
    <mergeCell ref="H3:I3"/>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A22:A23"/>
    <mergeCell ref="B22:E23"/>
    <mergeCell ref="B25:E25"/>
    <mergeCell ref="I25:J25"/>
    <mergeCell ref="K25:L25"/>
    <mergeCell ref="M25:N25"/>
    <mergeCell ref="A16:A17"/>
    <mergeCell ref="B16:E17"/>
    <mergeCell ref="B18:E18"/>
    <mergeCell ref="B19:E19"/>
    <mergeCell ref="B20:E20"/>
    <mergeCell ref="B21:E21"/>
    <mergeCell ref="O25:P25"/>
    <mergeCell ref="Q25:R25"/>
    <mergeCell ref="S25:T25"/>
    <mergeCell ref="B26:E26"/>
    <mergeCell ref="I26:J26"/>
    <mergeCell ref="K26:L26"/>
    <mergeCell ref="M26:N26"/>
    <mergeCell ref="O26:P26"/>
    <mergeCell ref="Q26:R26"/>
    <mergeCell ref="S26:T26"/>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AJ5:AK5"/>
    <mergeCell ref="AL5:AM5"/>
    <mergeCell ref="AJ25:AM25"/>
    <mergeCell ref="AB35:AE35"/>
    <mergeCell ref="AJ35:AM35"/>
    <mergeCell ref="AB4:AE4"/>
    <mergeCell ref="AJ4:AM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s>
  <conditionalFormatting sqref="I36 M36 Q36">
    <cfRule type="expression" dxfId="1850" priority="1095">
      <formula>I36&lt;100</formula>
    </cfRule>
    <cfRule type="expression" dxfId="1849" priority="1096">
      <formula>I36&gt;200</formula>
    </cfRule>
  </conditionalFormatting>
  <conditionalFormatting sqref="I37 M37 Q37">
    <cfRule type="expression" dxfId="1848" priority="1093">
      <formula>I37&lt;20</formula>
    </cfRule>
    <cfRule type="expression" dxfId="1847" priority="1094">
      <formula>I37&gt;50</formula>
    </cfRule>
  </conditionalFormatting>
  <conditionalFormatting sqref="K30:L30">
    <cfRule type="cellIs" dxfId="1846" priority="333" operator="between">
      <formula>22</formula>
      <formula>25.99</formula>
    </cfRule>
    <cfRule type="cellIs" dxfId="1845" priority="334" operator="between">
      <formula>34.1</formula>
      <formula>35</formula>
    </cfRule>
    <cfRule type="expression" dxfId="1844" priority="335">
      <formula>K30&lt;22</formula>
    </cfRule>
    <cfRule type="expression" dxfId="1843" priority="336">
      <formula>K30&gt;35</formula>
    </cfRule>
  </conditionalFormatting>
  <conditionalFormatting sqref="K31:L31">
    <cfRule type="cellIs" dxfId="1842" priority="329" operator="between">
      <formula>30</formula>
      <formula>31.99</formula>
    </cfRule>
    <cfRule type="cellIs" dxfId="1841" priority="330" operator="between">
      <formula>36.1</formula>
      <formula>38</formula>
    </cfRule>
    <cfRule type="expression" dxfId="1840" priority="331">
      <formula>K31&lt;30</formula>
    </cfRule>
    <cfRule type="expression" dxfId="1839" priority="332">
      <formula>K31&gt;38</formula>
    </cfRule>
  </conditionalFormatting>
  <conditionalFormatting sqref="K33">
    <cfRule type="cellIs" dxfId="1838" priority="325" operator="between">
      <formula>80</formula>
      <formula>84.9</formula>
    </cfRule>
    <cfRule type="cellIs" dxfId="1837" priority="326" operator="between">
      <formula>95.1</formula>
      <formula>100</formula>
    </cfRule>
    <cfRule type="expression" dxfId="1836" priority="327">
      <formula>K33&lt;80</formula>
    </cfRule>
    <cfRule type="expression" dxfId="1835" priority="328">
      <formula>K33&gt;100</formula>
    </cfRule>
  </conditionalFormatting>
  <conditionalFormatting sqref="K26:L27">
    <cfRule type="cellIs" dxfId="1834" priority="321" operator="between">
      <formula>50</formula>
      <formula>54.9</formula>
    </cfRule>
    <cfRule type="cellIs" dxfId="1833" priority="322" operator="between">
      <formula>65.1</formula>
      <formula>70</formula>
    </cfRule>
    <cfRule type="expression" dxfId="1832" priority="323">
      <formula>K26&lt;50</formula>
    </cfRule>
    <cfRule type="expression" dxfId="1831" priority="324">
      <formula>K26&gt;70</formula>
    </cfRule>
  </conditionalFormatting>
  <conditionalFormatting sqref="K32">
    <cfRule type="expression" dxfId="1830" priority="316">
      <formula>K32&lt;50</formula>
    </cfRule>
    <cfRule type="expression" dxfId="1829" priority="317">
      <formula>K32&gt;70</formula>
    </cfRule>
  </conditionalFormatting>
  <conditionalFormatting sqref="I30:J30">
    <cfRule type="cellIs" dxfId="1828" priority="309" operator="between">
      <formula>22</formula>
      <formula>25.99</formula>
    </cfRule>
    <cfRule type="cellIs" dxfId="1827" priority="310" operator="between">
      <formula>34.1</formula>
      <formula>35</formula>
    </cfRule>
    <cfRule type="expression" dxfId="1826" priority="311">
      <formula>I30&lt;22</formula>
    </cfRule>
    <cfRule type="expression" dxfId="1825" priority="312">
      <formula>I30&gt;35</formula>
    </cfRule>
  </conditionalFormatting>
  <conditionalFormatting sqref="I31:J31">
    <cfRule type="cellIs" dxfId="1824" priority="305" operator="between">
      <formula>30</formula>
      <formula>31.99</formula>
    </cfRule>
    <cfRule type="cellIs" dxfId="1823" priority="306" operator="between">
      <formula>36.1</formula>
      <formula>38</formula>
    </cfRule>
    <cfRule type="expression" dxfId="1822" priority="307">
      <formula>I31&lt;30</formula>
    </cfRule>
    <cfRule type="expression" dxfId="1821" priority="308">
      <formula>I31&gt;38</formula>
    </cfRule>
  </conditionalFormatting>
  <conditionalFormatting sqref="I26:J27">
    <cfRule type="cellIs" dxfId="1820" priority="301" operator="between">
      <formula>50</formula>
      <formula>54.9</formula>
    </cfRule>
    <cfRule type="cellIs" dxfId="1819" priority="302" operator="between">
      <formula>65.1</formula>
      <formula>70</formula>
    </cfRule>
    <cfRule type="expression" dxfId="1818" priority="303">
      <formula>I26&lt;50</formula>
    </cfRule>
    <cfRule type="expression" dxfId="1817" priority="304">
      <formula>I26&gt;70</formula>
    </cfRule>
  </conditionalFormatting>
  <conditionalFormatting sqref="I32">
    <cfRule type="expression" dxfId="1816" priority="296">
      <formula>I32&lt;50</formula>
    </cfRule>
    <cfRule type="expression" dxfId="1815" priority="297">
      <formula>I32&gt;70</formula>
    </cfRule>
  </conditionalFormatting>
  <conditionalFormatting sqref="O30:P30">
    <cfRule type="cellIs" dxfId="1814" priority="289" operator="between">
      <formula>22</formula>
      <formula>25.99</formula>
    </cfRule>
    <cfRule type="cellIs" dxfId="1813" priority="290" operator="between">
      <formula>34.1</formula>
      <formula>35</formula>
    </cfRule>
    <cfRule type="expression" dxfId="1812" priority="291">
      <formula>O30&lt;22</formula>
    </cfRule>
    <cfRule type="expression" dxfId="1811" priority="292">
      <formula>O30&gt;35</formula>
    </cfRule>
  </conditionalFormatting>
  <conditionalFormatting sqref="O31:P31">
    <cfRule type="cellIs" dxfId="1810" priority="285" operator="between">
      <formula>30</formula>
      <formula>31.99</formula>
    </cfRule>
    <cfRule type="cellIs" dxfId="1809" priority="286" operator="between">
      <formula>36.1</formula>
      <formula>38</formula>
    </cfRule>
    <cfRule type="expression" dxfId="1808" priority="287">
      <formula>O31&lt;30</formula>
    </cfRule>
    <cfRule type="expression" dxfId="1807" priority="288">
      <formula>O31&gt;38</formula>
    </cfRule>
  </conditionalFormatting>
  <conditionalFormatting sqref="O33">
    <cfRule type="cellIs" dxfId="1806" priority="281" operator="between">
      <formula>80</formula>
      <formula>84.9</formula>
    </cfRule>
    <cfRule type="cellIs" dxfId="1805" priority="282" operator="between">
      <formula>95.1</formula>
      <formula>100</formula>
    </cfRule>
    <cfRule type="expression" dxfId="1804" priority="283">
      <formula>O33&lt;80</formula>
    </cfRule>
    <cfRule type="expression" dxfId="1803" priority="284">
      <formula>O33&gt;100</formula>
    </cfRule>
  </conditionalFormatting>
  <conditionalFormatting sqref="O26:P27">
    <cfRule type="cellIs" dxfId="1802" priority="277" operator="between">
      <formula>50</formula>
      <formula>54.9</formula>
    </cfRule>
    <cfRule type="cellIs" dxfId="1801" priority="278" operator="between">
      <formula>65.1</formula>
      <formula>70</formula>
    </cfRule>
    <cfRule type="expression" dxfId="1800" priority="279">
      <formula>O26&lt;50</formula>
    </cfRule>
    <cfRule type="expression" dxfId="1799" priority="280">
      <formula>O26&gt;70</formula>
    </cfRule>
  </conditionalFormatting>
  <conditionalFormatting sqref="O32">
    <cfRule type="expression" dxfId="1798" priority="272">
      <formula>O32&lt;50</formula>
    </cfRule>
    <cfRule type="expression" dxfId="1797" priority="273">
      <formula>O32&gt;70</formula>
    </cfRule>
  </conditionalFormatting>
  <conditionalFormatting sqref="M30:N30">
    <cfRule type="cellIs" dxfId="1796" priority="265" operator="between">
      <formula>22</formula>
      <formula>25.99</formula>
    </cfRule>
    <cfRule type="cellIs" dxfId="1795" priority="266" operator="between">
      <formula>34.1</formula>
      <formula>35</formula>
    </cfRule>
    <cfRule type="expression" dxfId="1794" priority="267">
      <formula>M30&lt;22</formula>
    </cfRule>
    <cfRule type="expression" dxfId="1793" priority="268">
      <formula>M30&gt;35</formula>
    </cfRule>
  </conditionalFormatting>
  <conditionalFormatting sqref="M31:N31">
    <cfRule type="cellIs" dxfId="1792" priority="261" operator="between">
      <formula>30</formula>
      <formula>31.99</formula>
    </cfRule>
    <cfRule type="cellIs" dxfId="1791" priority="262" operator="between">
      <formula>36.1</formula>
      <formula>38</formula>
    </cfRule>
    <cfRule type="expression" dxfId="1790" priority="263">
      <formula>M31&lt;30</formula>
    </cfRule>
    <cfRule type="expression" dxfId="1789" priority="264">
      <formula>M31&gt;38</formula>
    </cfRule>
  </conditionalFormatting>
  <conditionalFormatting sqref="M26:N27">
    <cfRule type="cellIs" dxfId="1788" priority="257" operator="between">
      <formula>50</formula>
      <formula>54.9</formula>
    </cfRule>
    <cfRule type="cellIs" dxfId="1787" priority="258" operator="between">
      <formula>65.1</formula>
      <formula>70</formula>
    </cfRule>
    <cfRule type="expression" dxfId="1786" priority="259">
      <formula>M26&lt;50</formula>
    </cfRule>
    <cfRule type="expression" dxfId="1785" priority="260">
      <formula>M26&gt;70</formula>
    </cfRule>
  </conditionalFormatting>
  <conditionalFormatting sqref="M32">
    <cfRule type="expression" dxfId="1784" priority="252">
      <formula>M32&lt;50</formula>
    </cfRule>
    <cfRule type="expression" dxfId="1783" priority="253">
      <formula>M32&gt;70</formula>
    </cfRule>
  </conditionalFormatting>
  <conditionalFormatting sqref="S30:T30">
    <cfRule type="cellIs" dxfId="1782" priority="245" operator="between">
      <formula>22</formula>
      <formula>25.99</formula>
    </cfRule>
    <cfRule type="cellIs" dxfId="1781" priority="246" operator="between">
      <formula>34.1</formula>
      <formula>35</formula>
    </cfRule>
    <cfRule type="expression" dxfId="1780" priority="247">
      <formula>S30&lt;22</formula>
    </cfRule>
    <cfRule type="expression" dxfId="1779" priority="248">
      <formula>S30&gt;35</formula>
    </cfRule>
  </conditionalFormatting>
  <conditionalFormatting sqref="S31:T31">
    <cfRule type="cellIs" dxfId="1778" priority="241" operator="between">
      <formula>30</formula>
      <formula>31.99</formula>
    </cfRule>
    <cfRule type="cellIs" dxfId="1777" priority="242" operator="between">
      <formula>36.1</formula>
      <formula>38</formula>
    </cfRule>
    <cfRule type="expression" dxfId="1776" priority="243">
      <formula>S31&lt;30</formula>
    </cfRule>
    <cfRule type="expression" dxfId="1775" priority="244">
      <formula>S31&gt;38</formula>
    </cfRule>
  </conditionalFormatting>
  <conditionalFormatting sqref="S33">
    <cfRule type="cellIs" dxfId="1774" priority="237" operator="between">
      <formula>80</formula>
      <formula>84.9</formula>
    </cfRule>
    <cfRule type="cellIs" dxfId="1773" priority="238" operator="between">
      <formula>95.1</formula>
      <formula>100</formula>
    </cfRule>
    <cfRule type="expression" dxfId="1772" priority="239">
      <formula>S33&lt;80</formula>
    </cfRule>
    <cfRule type="expression" dxfId="1771" priority="240">
      <formula>S33&gt;100</formula>
    </cfRule>
  </conditionalFormatting>
  <conditionalFormatting sqref="S26:T27">
    <cfRule type="cellIs" dxfId="1770" priority="233" operator="between">
      <formula>50</formula>
      <formula>54.9</formula>
    </cfRule>
    <cfRule type="cellIs" dxfId="1769" priority="234" operator="between">
      <formula>65.1</formula>
      <formula>70</formula>
    </cfRule>
    <cfRule type="expression" dxfId="1768" priority="235">
      <formula>S26&lt;50</formula>
    </cfRule>
    <cfRule type="expression" dxfId="1767" priority="236">
      <formula>S26&gt;70</formula>
    </cfRule>
  </conditionalFormatting>
  <conditionalFormatting sqref="S32">
    <cfRule type="expression" dxfId="1766" priority="228">
      <formula>S32&lt;50</formula>
    </cfRule>
    <cfRule type="expression" dxfId="1765" priority="229">
      <formula>S32&gt;70</formula>
    </cfRule>
  </conditionalFormatting>
  <conditionalFormatting sqref="Q30:R30">
    <cfRule type="cellIs" dxfId="1764" priority="221" operator="between">
      <formula>22</formula>
      <formula>25.99</formula>
    </cfRule>
    <cfRule type="cellIs" dxfId="1763" priority="222" operator="between">
      <formula>34.1</formula>
      <formula>35</formula>
    </cfRule>
    <cfRule type="expression" dxfId="1762" priority="223">
      <formula>Q30&lt;22</formula>
    </cfRule>
    <cfRule type="expression" dxfId="1761" priority="224">
      <formula>Q30&gt;35</formula>
    </cfRule>
  </conditionalFormatting>
  <conditionalFormatting sqref="Q31:R31">
    <cfRule type="cellIs" dxfId="1760" priority="217" operator="between">
      <formula>30</formula>
      <formula>31.99</formula>
    </cfRule>
    <cfRule type="cellIs" dxfId="1759" priority="218" operator="between">
      <formula>36.1</formula>
      <formula>38</formula>
    </cfRule>
    <cfRule type="expression" dxfId="1758" priority="219">
      <formula>Q31&lt;30</formula>
    </cfRule>
    <cfRule type="expression" dxfId="1757" priority="220">
      <formula>Q31&gt;38</formula>
    </cfRule>
  </conditionalFormatting>
  <conditionalFormatting sqref="Q26:R27">
    <cfRule type="cellIs" dxfId="1756" priority="213" operator="between">
      <formula>50</formula>
      <formula>54.9</formula>
    </cfRule>
    <cfRule type="cellIs" dxfId="1755" priority="214" operator="between">
      <formula>65.1</formula>
      <formula>70</formula>
    </cfRule>
    <cfRule type="expression" dxfId="1754" priority="215">
      <formula>Q26&lt;50</formula>
    </cfRule>
    <cfRule type="expression" dxfId="1753" priority="216">
      <formula>Q26&gt;70</formula>
    </cfRule>
  </conditionalFormatting>
  <conditionalFormatting sqref="Q32">
    <cfRule type="expression" dxfId="1752" priority="208">
      <formula>Q32&lt;50</formula>
    </cfRule>
    <cfRule type="expression" dxfId="1751" priority="209">
      <formula>Q32&gt;70</formula>
    </cfRule>
  </conditionalFormatting>
  <conditionalFormatting sqref="I19">
    <cfRule type="cellIs" dxfId="1750" priority="204" operator="between">
      <formula>15%</formula>
      <formula>16.99%</formula>
    </cfRule>
    <cfRule type="cellIs" dxfId="1749" priority="205" operator="between">
      <formula>27.01%</formula>
      <formula>30%</formula>
    </cfRule>
    <cfRule type="expression" dxfId="1748" priority="206">
      <formula>I19&lt;15%</formula>
    </cfRule>
    <cfRule type="expression" dxfId="1747" priority="207">
      <formula>I19&gt;30%</formula>
    </cfRule>
  </conditionalFormatting>
  <conditionalFormatting sqref="I15">
    <cfRule type="expression" dxfId="1746" priority="202">
      <formula>I15&lt;8</formula>
    </cfRule>
    <cfRule type="expression" dxfId="1745" priority="203">
      <formula>I15&gt;12</formula>
    </cfRule>
  </conditionalFormatting>
  <conditionalFormatting sqref="I17">
    <cfRule type="cellIs" dxfId="1744" priority="198" operator="between">
      <formula>2</formula>
      <formula>2.199</formula>
    </cfRule>
    <cfRule type="cellIs" dxfId="1743" priority="199" operator="between">
      <formula>2.41</formula>
      <formula>2.5</formula>
    </cfRule>
    <cfRule type="expression" dxfId="1742" priority="200">
      <formula>I17&lt;2</formula>
    </cfRule>
    <cfRule type="expression" dxfId="1741" priority="201">
      <formula>I17&gt;2.5</formula>
    </cfRule>
  </conditionalFormatting>
  <conditionalFormatting sqref="I20">
    <cfRule type="expression" dxfId="1740" priority="196">
      <formula>I20&lt;5%</formula>
    </cfRule>
    <cfRule type="expression" dxfId="1739" priority="197">
      <formula>I20&gt;15%</formula>
    </cfRule>
  </conditionalFormatting>
  <conditionalFormatting sqref="I20">
    <cfRule type="cellIs" dxfId="1738" priority="194" operator="between">
      <formula>5%</formula>
      <formula>6.99%</formula>
    </cfRule>
    <cfRule type="cellIs" dxfId="1737" priority="195" operator="between">
      <formula>13.1%</formula>
      <formula>15%</formula>
    </cfRule>
  </conditionalFormatting>
  <conditionalFormatting sqref="I6 I8">
    <cfRule type="cellIs" dxfId="1736" priority="190" operator="between">
      <formula>60</formula>
      <formula>64.99</formula>
    </cfRule>
    <cfRule type="cellIs" dxfId="1735" priority="191" operator="between">
      <formula>75.1</formula>
      <formula>80</formula>
    </cfRule>
    <cfRule type="expression" dxfId="1734" priority="192">
      <formula>I6&lt;60</formula>
    </cfRule>
    <cfRule type="expression" dxfId="1733" priority="193">
      <formula>I6&gt;80</formula>
    </cfRule>
  </conditionalFormatting>
  <conditionalFormatting sqref="I16">
    <cfRule type="cellIs" dxfId="1732" priority="187" operator="between">
      <formula>8.01</formula>
      <formula>10</formula>
    </cfRule>
    <cfRule type="expression" dxfId="1731" priority="188">
      <formula>I16&lt;6</formula>
    </cfRule>
    <cfRule type="expression" dxfId="1730" priority="189">
      <formula>I16&gt;10</formula>
    </cfRule>
  </conditionalFormatting>
  <conditionalFormatting sqref="I18">
    <cfRule type="cellIs" dxfId="1729" priority="183" operator="between">
      <formula>30%</formula>
      <formula>39.99%</formula>
    </cfRule>
    <cfRule type="cellIs" dxfId="1728" priority="184" operator="between">
      <formula>50.01%</formula>
      <formula>60%</formula>
    </cfRule>
    <cfRule type="expression" dxfId="1727" priority="185">
      <formula>I18&lt;30%</formula>
    </cfRule>
    <cfRule type="expression" dxfId="1726" priority="186">
      <formula>I18&gt;60%</formula>
    </cfRule>
  </conditionalFormatting>
  <conditionalFormatting sqref="I10">
    <cfRule type="expression" dxfId="1725" priority="181">
      <formula>I10&lt;50</formula>
    </cfRule>
    <cfRule type="expression" dxfId="1724" priority="182">
      <formula>I10&gt;70</formula>
    </cfRule>
  </conditionalFormatting>
  <conditionalFormatting sqref="I12">
    <cfRule type="expression" dxfId="1723" priority="179">
      <formula>I12&lt;50</formula>
    </cfRule>
    <cfRule type="expression" dxfId="1722" priority="180">
      <formula>I12&gt;70</formula>
    </cfRule>
  </conditionalFormatting>
  <conditionalFormatting sqref="I14">
    <cfRule type="cellIs" dxfId="1721" priority="175" operator="between">
      <formula>130</formula>
      <formula>132.99</formula>
    </cfRule>
    <cfRule type="cellIs" dxfId="1720" priority="176" operator="between">
      <formula>147.1</formula>
      <formula>150</formula>
    </cfRule>
    <cfRule type="expression" dxfId="1719" priority="177">
      <formula>I14&lt;130</formula>
    </cfRule>
    <cfRule type="expression" dxfId="1718" priority="178">
      <formula>I14&gt;150</formula>
    </cfRule>
  </conditionalFormatting>
  <conditionalFormatting sqref="I21">
    <cfRule type="cellIs" dxfId="1717" priority="171" operator="between">
      <formula>0.5%</formula>
      <formula>0.599%</formula>
    </cfRule>
    <cfRule type="cellIs" dxfId="1716" priority="172" operator="between">
      <formula>1.41%</formula>
      <formula>1.5%</formula>
    </cfRule>
    <cfRule type="expression" dxfId="1715" priority="173">
      <formula>I21&lt;0.5%</formula>
    </cfRule>
    <cfRule type="expression" dxfId="1714" priority="174">
      <formula>I21&gt;1.5%</formula>
    </cfRule>
  </conditionalFormatting>
  <conditionalFormatting sqref="M19">
    <cfRule type="cellIs" dxfId="1713" priority="167" operator="between">
      <formula>15%</formula>
      <formula>16.99%</formula>
    </cfRule>
    <cfRule type="cellIs" dxfId="1712" priority="168" operator="between">
      <formula>27.01%</formula>
      <formula>30%</formula>
    </cfRule>
    <cfRule type="expression" dxfId="1711" priority="169">
      <formula>M19&lt;15%</formula>
    </cfRule>
    <cfRule type="expression" dxfId="1710" priority="170">
      <formula>M19&gt;30%</formula>
    </cfRule>
  </conditionalFormatting>
  <conditionalFormatting sqref="M15">
    <cfRule type="expression" dxfId="1709" priority="165">
      <formula>M15&lt;8</formula>
    </cfRule>
    <cfRule type="expression" dxfId="1708" priority="166">
      <formula>M15&gt;12</formula>
    </cfRule>
  </conditionalFormatting>
  <conditionalFormatting sqref="M17">
    <cfRule type="cellIs" dxfId="1707" priority="161" operator="between">
      <formula>2</formula>
      <formula>2.199</formula>
    </cfRule>
    <cfRule type="cellIs" dxfId="1706" priority="162" operator="between">
      <formula>2.41</formula>
      <formula>2.5</formula>
    </cfRule>
    <cfRule type="expression" dxfId="1705" priority="163">
      <formula>M17&lt;2</formula>
    </cfRule>
    <cfRule type="expression" dxfId="1704" priority="164">
      <formula>M17&gt;2.5</formula>
    </cfRule>
  </conditionalFormatting>
  <conditionalFormatting sqref="M20">
    <cfRule type="expression" dxfId="1703" priority="159">
      <formula>M20&lt;5%</formula>
    </cfRule>
    <cfRule type="expression" dxfId="1702" priority="160">
      <formula>M20&gt;15%</formula>
    </cfRule>
  </conditionalFormatting>
  <conditionalFormatting sqref="M20">
    <cfRule type="cellIs" dxfId="1701" priority="157" operator="between">
      <formula>5%</formula>
      <formula>6.99%</formula>
    </cfRule>
    <cfRule type="cellIs" dxfId="1700" priority="158" operator="between">
      <formula>13.1%</formula>
      <formula>15%</formula>
    </cfRule>
  </conditionalFormatting>
  <conditionalFormatting sqref="M6 M8">
    <cfRule type="cellIs" dxfId="1699" priority="153" operator="between">
      <formula>60</formula>
      <formula>64.99</formula>
    </cfRule>
    <cfRule type="cellIs" dxfId="1698" priority="154" operator="between">
      <formula>75.1</formula>
      <formula>80</formula>
    </cfRule>
    <cfRule type="expression" dxfId="1697" priority="155">
      <formula>M6&lt;60</formula>
    </cfRule>
    <cfRule type="expression" dxfId="1696" priority="156">
      <formula>M6&gt;80</formula>
    </cfRule>
  </conditionalFormatting>
  <conditionalFormatting sqref="M16">
    <cfRule type="cellIs" dxfId="1695" priority="150" operator="between">
      <formula>8.01</formula>
      <formula>10</formula>
    </cfRule>
    <cfRule type="expression" dxfId="1694" priority="151">
      <formula>M16&lt;6</formula>
    </cfRule>
    <cfRule type="expression" dxfId="1693" priority="152">
      <formula>M16&gt;10</formula>
    </cfRule>
  </conditionalFormatting>
  <conditionalFormatting sqref="M18">
    <cfRule type="cellIs" dxfId="1692" priority="146" operator="between">
      <formula>30%</formula>
      <formula>39.99%</formula>
    </cfRule>
    <cfRule type="cellIs" dxfId="1691" priority="147" operator="between">
      <formula>50.01%</formula>
      <formula>60%</formula>
    </cfRule>
    <cfRule type="expression" dxfId="1690" priority="148">
      <formula>M18&lt;30%</formula>
    </cfRule>
    <cfRule type="expression" dxfId="1689" priority="149">
      <formula>M18&gt;60%</formula>
    </cfRule>
  </conditionalFormatting>
  <conditionalFormatting sqref="M10">
    <cfRule type="expression" dxfId="1688" priority="144">
      <formula>M10&lt;50</formula>
    </cfRule>
    <cfRule type="expression" dxfId="1687" priority="145">
      <formula>M10&gt;70</formula>
    </cfRule>
  </conditionalFormatting>
  <conditionalFormatting sqref="M12">
    <cfRule type="expression" dxfId="1686" priority="142">
      <formula>M12&lt;50</formula>
    </cfRule>
    <cfRule type="expression" dxfId="1685" priority="143">
      <formula>M12&gt;70</formula>
    </cfRule>
  </conditionalFormatting>
  <conditionalFormatting sqref="M14">
    <cfRule type="cellIs" dxfId="1684" priority="138" operator="between">
      <formula>130</formula>
      <formula>132.99</formula>
    </cfRule>
    <cfRule type="cellIs" dxfId="1683" priority="139" operator="between">
      <formula>147.1</formula>
      <formula>150</formula>
    </cfRule>
    <cfRule type="expression" dxfId="1682" priority="140">
      <formula>M14&lt;130</formula>
    </cfRule>
    <cfRule type="expression" dxfId="1681" priority="141">
      <formula>M14&gt;150</formula>
    </cfRule>
  </conditionalFormatting>
  <conditionalFormatting sqref="M21">
    <cfRule type="cellIs" dxfId="1680" priority="134" operator="between">
      <formula>0.5%</formula>
      <formula>0.599%</formula>
    </cfRule>
    <cfRule type="cellIs" dxfId="1679" priority="135" operator="between">
      <formula>1.41%</formula>
      <formula>1.5%</formula>
    </cfRule>
    <cfRule type="expression" dxfId="1678" priority="136">
      <formula>M21&lt;0.5%</formula>
    </cfRule>
    <cfRule type="expression" dxfId="1677" priority="137">
      <formula>M21&gt;1.5%</formula>
    </cfRule>
  </conditionalFormatting>
  <conditionalFormatting sqref="Q19">
    <cfRule type="cellIs" dxfId="1676" priority="130" operator="between">
      <formula>15%</formula>
      <formula>16.99%</formula>
    </cfRule>
    <cfRule type="cellIs" dxfId="1675" priority="131" operator="between">
      <formula>27.01%</formula>
      <formula>30%</formula>
    </cfRule>
    <cfRule type="expression" dxfId="1674" priority="132">
      <formula>Q19&lt;15%</formula>
    </cfRule>
    <cfRule type="expression" dxfId="1673" priority="133">
      <formula>Q19&gt;30%</formula>
    </cfRule>
  </conditionalFormatting>
  <conditionalFormatting sqref="Q15">
    <cfRule type="expression" dxfId="1672" priority="128">
      <formula>Q15&lt;8</formula>
    </cfRule>
    <cfRule type="expression" dxfId="1671" priority="129">
      <formula>Q15&gt;12</formula>
    </cfRule>
  </conditionalFormatting>
  <conditionalFormatting sqref="Q17">
    <cfRule type="cellIs" dxfId="1670" priority="124" operator="between">
      <formula>2</formula>
      <formula>2.199</formula>
    </cfRule>
    <cfRule type="cellIs" dxfId="1669" priority="125" operator="between">
      <formula>2.41</formula>
      <formula>2.5</formula>
    </cfRule>
    <cfRule type="expression" dxfId="1668" priority="126">
      <formula>Q17&lt;2</formula>
    </cfRule>
    <cfRule type="expression" dxfId="1667" priority="127">
      <formula>Q17&gt;2.5</formula>
    </cfRule>
  </conditionalFormatting>
  <conditionalFormatting sqref="Q20">
    <cfRule type="expression" dxfId="1666" priority="122">
      <formula>Q20&lt;5%</formula>
    </cfRule>
    <cfRule type="expression" dxfId="1665" priority="123">
      <formula>Q20&gt;15%</formula>
    </cfRule>
  </conditionalFormatting>
  <conditionalFormatting sqref="Q20">
    <cfRule type="cellIs" dxfId="1664" priority="120" operator="between">
      <formula>5%</formula>
      <formula>6.99%</formula>
    </cfRule>
    <cfRule type="cellIs" dxfId="1663" priority="121" operator="between">
      <formula>13.1%</formula>
      <formula>15%</formula>
    </cfRule>
  </conditionalFormatting>
  <conditionalFormatting sqref="Q6 Q8">
    <cfRule type="cellIs" dxfId="1662" priority="116" operator="between">
      <formula>60</formula>
      <formula>64.99</formula>
    </cfRule>
    <cfRule type="cellIs" dxfId="1661" priority="117" operator="between">
      <formula>75.1</formula>
      <formula>80</formula>
    </cfRule>
    <cfRule type="expression" dxfId="1660" priority="118">
      <formula>Q6&lt;60</formula>
    </cfRule>
    <cfRule type="expression" dxfId="1659" priority="119">
      <formula>Q6&gt;80</formula>
    </cfRule>
  </conditionalFormatting>
  <conditionalFormatting sqref="Q16">
    <cfRule type="cellIs" dxfId="1658" priority="113" operator="between">
      <formula>8.01</formula>
      <formula>10</formula>
    </cfRule>
    <cfRule type="expression" dxfId="1657" priority="114">
      <formula>Q16&lt;6</formula>
    </cfRule>
    <cfRule type="expression" dxfId="1656" priority="115">
      <formula>Q16&gt;10</formula>
    </cfRule>
  </conditionalFormatting>
  <conditionalFormatting sqref="Q18">
    <cfRule type="cellIs" dxfId="1655" priority="109" operator="between">
      <formula>30%</formula>
      <formula>39.99%</formula>
    </cfRule>
    <cfRule type="cellIs" dxfId="1654" priority="110" operator="between">
      <formula>50.01%</formula>
      <formula>60%</formula>
    </cfRule>
    <cfRule type="expression" dxfId="1653" priority="111">
      <formula>Q18&lt;30%</formula>
    </cfRule>
    <cfRule type="expression" dxfId="1652" priority="112">
      <formula>Q18&gt;60%</formula>
    </cfRule>
  </conditionalFormatting>
  <conditionalFormatting sqref="Q10">
    <cfRule type="expression" dxfId="1651" priority="107">
      <formula>Q10&lt;50</formula>
    </cfRule>
    <cfRule type="expression" dxfId="1650" priority="108">
      <formula>Q10&gt;70</formula>
    </cfRule>
  </conditionalFormatting>
  <conditionalFormatting sqref="Q12">
    <cfRule type="expression" dxfId="1649" priority="105">
      <formula>Q12&lt;50</formula>
    </cfRule>
    <cfRule type="expression" dxfId="1648" priority="106">
      <formula>Q12&gt;70</formula>
    </cfRule>
  </conditionalFormatting>
  <conditionalFormatting sqref="Q14">
    <cfRule type="cellIs" dxfId="1647" priority="101" operator="between">
      <formula>130</formula>
      <formula>132.99</formula>
    </cfRule>
    <cfRule type="cellIs" dxfId="1646" priority="102" operator="between">
      <formula>147.1</formula>
      <formula>150</formula>
    </cfRule>
    <cfRule type="expression" dxfId="1645" priority="103">
      <formula>Q14&lt;130</formula>
    </cfRule>
    <cfRule type="expression" dxfId="1644" priority="104">
      <formula>Q14&gt;150</formula>
    </cfRule>
  </conditionalFormatting>
  <conditionalFormatting sqref="Q21">
    <cfRule type="cellIs" dxfId="1643" priority="97" operator="between">
      <formula>0.5%</formula>
      <formula>0.599%</formula>
    </cfRule>
    <cfRule type="cellIs" dxfId="1642" priority="98" operator="between">
      <formula>1.41%</formula>
      <formula>1.5%</formula>
    </cfRule>
    <cfRule type="expression" dxfId="1641" priority="99">
      <formula>Q21&lt;0.5%</formula>
    </cfRule>
    <cfRule type="expression" dxfId="1640" priority="100">
      <formula>Q21&gt;1.5%</formula>
    </cfRule>
  </conditionalFormatting>
  <conditionalFormatting sqref="I23">
    <cfRule type="cellIs" dxfId="1639" priority="69" operator="between">
      <formula>1.8</formula>
      <formula>1.999</formula>
    </cfRule>
    <cfRule type="cellIs" dxfId="1638" priority="70" operator="between">
      <formula>2.21</formula>
      <formula>2.4</formula>
    </cfRule>
    <cfRule type="expression" dxfId="1637" priority="71">
      <formula>I23&lt;1.8</formula>
    </cfRule>
    <cfRule type="expression" dxfId="1636" priority="72">
      <formula>I23&gt;2.4</formula>
    </cfRule>
  </conditionalFormatting>
  <conditionalFormatting sqref="I22">
    <cfRule type="cellIs" dxfId="1635" priority="65" operator="between">
      <formula>5</formula>
      <formula>5.499</formula>
    </cfRule>
    <cfRule type="cellIs" dxfId="1634" priority="66" operator="between">
      <formula>6.51</formula>
      <formula>8</formula>
    </cfRule>
    <cfRule type="expression" dxfId="1633" priority="67">
      <formula>I22&lt;5</formula>
    </cfRule>
    <cfRule type="expression" dxfId="1632" priority="68">
      <formula>I22&gt;8</formula>
    </cfRule>
  </conditionalFormatting>
  <conditionalFormatting sqref="M23">
    <cfRule type="cellIs" dxfId="1631" priority="61" operator="between">
      <formula>1.8</formula>
      <formula>1.999</formula>
    </cfRule>
    <cfRule type="cellIs" dxfId="1630" priority="62" operator="between">
      <formula>2.21</formula>
      <formula>2.4</formula>
    </cfRule>
    <cfRule type="expression" dxfId="1629" priority="63">
      <formula>M23&lt;1.8</formula>
    </cfRule>
    <cfRule type="expression" dxfId="1628" priority="64">
      <formula>M23&gt;2.4</formula>
    </cfRule>
  </conditionalFormatting>
  <conditionalFormatting sqref="M22">
    <cfRule type="cellIs" dxfId="1627" priority="57" operator="between">
      <formula>5</formula>
      <formula>5.499</formula>
    </cfRule>
    <cfRule type="cellIs" dxfId="1626" priority="58" operator="between">
      <formula>6.51</formula>
      <formula>8</formula>
    </cfRule>
    <cfRule type="expression" dxfId="1625" priority="59">
      <formula>M22&lt;5</formula>
    </cfRule>
    <cfRule type="expression" dxfId="1624" priority="60">
      <formula>M22&gt;8</formula>
    </cfRule>
  </conditionalFormatting>
  <conditionalFormatting sqref="Q23">
    <cfRule type="cellIs" dxfId="1623" priority="53" operator="between">
      <formula>1.8</formula>
      <formula>1.999</formula>
    </cfRule>
    <cfRule type="cellIs" dxfId="1622" priority="54" operator="between">
      <formula>2.21</formula>
      <formula>2.4</formula>
    </cfRule>
    <cfRule type="expression" dxfId="1621" priority="55">
      <formula>Q23&lt;1.8</formula>
    </cfRule>
    <cfRule type="expression" dxfId="1620" priority="56">
      <formula>Q23&gt;2.4</formula>
    </cfRule>
  </conditionalFormatting>
  <conditionalFormatting sqref="Q22">
    <cfRule type="cellIs" dxfId="1619" priority="49" operator="between">
      <formula>5</formula>
      <formula>5.499</formula>
    </cfRule>
    <cfRule type="cellIs" dxfId="1618" priority="50" operator="between">
      <formula>6.51</formula>
      <formula>8</formula>
    </cfRule>
    <cfRule type="expression" dxfId="1617" priority="51">
      <formula>Q22&lt;5</formula>
    </cfRule>
    <cfRule type="expression" dxfId="1616" priority="52">
      <formula>Q22&gt;8</formula>
    </cfRule>
  </conditionalFormatting>
  <conditionalFormatting sqref="I28">
    <cfRule type="cellIs" dxfId="1615" priority="45" operator="between">
      <formula>40</formula>
      <formula>44.99</formula>
    </cfRule>
    <cfRule type="cellIs" dxfId="1614" priority="46" operator="between">
      <formula>55.1</formula>
      <formula>60</formula>
    </cfRule>
    <cfRule type="expression" dxfId="1613" priority="47">
      <formula>I28&lt;40</formula>
    </cfRule>
    <cfRule type="expression" dxfId="1612" priority="48">
      <formula>I28&gt;60</formula>
    </cfRule>
  </conditionalFormatting>
  <conditionalFormatting sqref="I29">
    <cfRule type="cellIs" dxfId="1611" priority="41" operator="between">
      <formula>40</formula>
      <formula>44.99</formula>
    </cfRule>
    <cfRule type="cellIs" dxfId="1610" priority="42" operator="between">
      <formula>55.1</formula>
      <formula>60</formula>
    </cfRule>
    <cfRule type="expression" dxfId="1609" priority="43">
      <formula>I29&lt;40</formula>
    </cfRule>
    <cfRule type="expression" dxfId="1608" priority="44">
      <formula>I29&gt;60</formula>
    </cfRule>
  </conditionalFormatting>
  <conditionalFormatting sqref="K28">
    <cfRule type="cellIs" dxfId="1607" priority="37" operator="between">
      <formula>40</formula>
      <formula>44.99</formula>
    </cfRule>
    <cfRule type="cellIs" dxfId="1606" priority="38" operator="between">
      <formula>55.1</formula>
      <formula>60</formula>
    </cfRule>
    <cfRule type="expression" dxfId="1605" priority="39">
      <formula>K28&lt;40</formula>
    </cfRule>
    <cfRule type="expression" dxfId="1604" priority="40">
      <formula>K28&gt;60</formula>
    </cfRule>
  </conditionalFormatting>
  <conditionalFormatting sqref="K29">
    <cfRule type="cellIs" dxfId="1603" priority="33" operator="between">
      <formula>40</formula>
      <formula>44.99</formula>
    </cfRule>
    <cfRule type="cellIs" dxfId="1602" priority="34" operator="between">
      <formula>55.1</formula>
      <formula>60</formula>
    </cfRule>
    <cfRule type="expression" dxfId="1601" priority="35">
      <formula>K29&lt;40</formula>
    </cfRule>
    <cfRule type="expression" dxfId="1600" priority="36">
      <formula>K29&gt;60</formula>
    </cfRule>
  </conditionalFormatting>
  <conditionalFormatting sqref="M28">
    <cfRule type="cellIs" dxfId="1599" priority="29" operator="between">
      <formula>40</formula>
      <formula>44.99</formula>
    </cfRule>
    <cfRule type="cellIs" dxfId="1598" priority="30" operator="between">
      <formula>55.1</formula>
      <formula>60</formula>
    </cfRule>
    <cfRule type="expression" dxfId="1597" priority="31">
      <formula>M28&lt;40</formula>
    </cfRule>
    <cfRule type="expression" dxfId="1596" priority="32">
      <formula>M28&gt;60</formula>
    </cfRule>
  </conditionalFormatting>
  <conditionalFormatting sqref="M29">
    <cfRule type="cellIs" dxfId="1595" priority="25" operator="between">
      <formula>40</formula>
      <formula>44.99</formula>
    </cfRule>
    <cfRule type="cellIs" dxfId="1594" priority="26" operator="between">
      <formula>55.1</formula>
      <formula>60</formula>
    </cfRule>
    <cfRule type="expression" dxfId="1593" priority="27">
      <formula>M29&lt;40</formula>
    </cfRule>
    <cfRule type="expression" dxfId="1592" priority="28">
      <formula>M29&gt;60</formula>
    </cfRule>
  </conditionalFormatting>
  <conditionalFormatting sqref="O28">
    <cfRule type="cellIs" dxfId="1591" priority="21" operator="between">
      <formula>40</formula>
      <formula>44.99</formula>
    </cfRule>
    <cfRule type="cellIs" dxfId="1590" priority="22" operator="between">
      <formula>55.1</formula>
      <formula>60</formula>
    </cfRule>
    <cfRule type="expression" dxfId="1589" priority="23">
      <formula>O28&lt;40</formula>
    </cfRule>
    <cfRule type="expression" dxfId="1588" priority="24">
      <formula>O28&gt;60</formula>
    </cfRule>
  </conditionalFormatting>
  <conditionalFormatting sqref="O29">
    <cfRule type="cellIs" dxfId="1587" priority="17" operator="between">
      <formula>40</formula>
      <formula>44.99</formula>
    </cfRule>
    <cfRule type="cellIs" dxfId="1586" priority="18" operator="between">
      <formula>55.1</formula>
      <formula>60</formula>
    </cfRule>
    <cfRule type="expression" dxfId="1585" priority="19">
      <formula>O29&lt;40</formula>
    </cfRule>
    <cfRule type="expression" dxfId="1584" priority="20">
      <formula>O29&gt;60</formula>
    </cfRule>
  </conditionalFormatting>
  <conditionalFormatting sqref="Q28">
    <cfRule type="cellIs" dxfId="1583" priority="13" operator="between">
      <formula>40</formula>
      <formula>44.99</formula>
    </cfRule>
    <cfRule type="cellIs" dxfId="1582" priority="14" operator="between">
      <formula>55.1</formula>
      <formula>60</formula>
    </cfRule>
    <cfRule type="expression" dxfId="1581" priority="15">
      <formula>Q28&lt;40</formula>
    </cfRule>
    <cfRule type="expression" dxfId="1580" priority="16">
      <formula>Q28&gt;60</formula>
    </cfRule>
  </conditionalFormatting>
  <conditionalFormatting sqref="Q29">
    <cfRule type="cellIs" dxfId="1579" priority="9" operator="between">
      <formula>40</formula>
      <formula>44.99</formula>
    </cfRule>
    <cfRule type="cellIs" dxfId="1578" priority="10" operator="between">
      <formula>55.1</formula>
      <formula>60</formula>
    </cfRule>
    <cfRule type="expression" dxfId="1577" priority="11">
      <formula>Q29&lt;40</formula>
    </cfRule>
    <cfRule type="expression" dxfId="1576" priority="12">
      <formula>Q29&gt;60</formula>
    </cfRule>
  </conditionalFormatting>
  <conditionalFormatting sqref="S28">
    <cfRule type="cellIs" dxfId="1575" priority="5" operator="between">
      <formula>40</formula>
      <formula>44.99</formula>
    </cfRule>
    <cfRule type="cellIs" dxfId="1574" priority="6" operator="between">
      <formula>55.1</formula>
      <formula>60</formula>
    </cfRule>
    <cfRule type="expression" dxfId="1573" priority="7">
      <formula>S28&lt;40</formula>
    </cfRule>
    <cfRule type="expression" dxfId="1572" priority="8">
      <formula>S28&gt;60</formula>
    </cfRule>
  </conditionalFormatting>
  <conditionalFormatting sqref="S29">
    <cfRule type="cellIs" dxfId="1571" priority="1" operator="between">
      <formula>40</formula>
      <formula>44.99</formula>
    </cfRule>
    <cfRule type="cellIs" dxfId="1570" priority="2" operator="between">
      <formula>55.1</formula>
      <formula>60</formula>
    </cfRule>
    <cfRule type="expression" dxfId="1569" priority="3">
      <formula>S29&lt;40</formula>
    </cfRule>
    <cfRule type="expression" dxfId="1568" priority="4">
      <formula>S29&gt;60</formula>
    </cfRule>
  </conditionalFormatting>
  <pageMargins left="0.32"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tabColor theme="5" tint="0.39997558519241921"/>
  </sheetPr>
  <dimension ref="A1:AM46"/>
  <sheetViews>
    <sheetView zoomScale="55" zoomScaleNormal="55" workbookViewId="0">
      <selection activeCell="M29" sqref="M29:P38"/>
    </sheetView>
  </sheetViews>
  <sheetFormatPr defaultRowHeight="16.5"/>
  <cols>
    <col min="1" max="1" width="5" style="8" customWidth="1"/>
    <col min="2" max="2" width="8.125" style="31" customWidth="1"/>
    <col min="3" max="3" width="7" style="31" customWidth="1"/>
    <col min="4" max="4" width="10.125" style="31" customWidth="1"/>
    <col min="5" max="5" width="3.25" style="31" customWidth="1"/>
    <col min="6" max="6" width="7.375" style="7" customWidth="1"/>
    <col min="7" max="7" width="14.375" style="7" customWidth="1"/>
    <col min="8" max="8" width="11" style="7" customWidth="1"/>
    <col min="9" max="9" width="10.5" style="7" customWidth="1"/>
    <col min="10" max="10" width="3.125" style="7" customWidth="1"/>
    <col min="11" max="11" width="9.375" style="7" customWidth="1"/>
    <col min="12" max="12" width="4" style="7" customWidth="1"/>
    <col min="13" max="13" width="8" style="7" customWidth="1"/>
    <col min="14" max="14" width="2.875" style="7" customWidth="1"/>
    <col min="15" max="15" width="7.5" style="7" customWidth="1"/>
    <col min="16" max="16" width="4.875" style="7" customWidth="1"/>
    <col min="17" max="17" width="10.625" style="7" customWidth="1"/>
    <col min="18" max="18" width="4.25" style="7" customWidth="1"/>
    <col min="19" max="19" width="8.375" style="7" customWidth="1"/>
    <col min="20" max="20" width="5.75" style="7" customWidth="1"/>
    <col min="21" max="21" width="12.875" style="8" customWidth="1"/>
    <col min="22" max="22" width="3.75" style="8" customWidth="1"/>
    <col min="23" max="23" width="5.625" style="8" customWidth="1"/>
    <col min="24" max="24" width="13.5" style="31" customWidth="1"/>
    <col min="25" max="25" width="7.5" style="31" customWidth="1"/>
    <col min="26" max="26" width="10.75" style="31" customWidth="1"/>
    <col min="27" max="27" width="3.875" style="31" customWidth="1"/>
    <col min="28" max="28" width="13.125" style="8" customWidth="1"/>
    <col min="29" max="29" width="6.375" style="8" customWidth="1"/>
    <col min="30" max="30" width="11.375" style="8" customWidth="1"/>
    <col min="31" max="31" width="6.375" style="8" customWidth="1"/>
    <col min="32" max="32" width="11.25" style="8" customWidth="1"/>
    <col min="33" max="33" width="6.875" style="8" customWidth="1"/>
    <col min="34" max="34" width="11.375" style="8" customWidth="1"/>
    <col min="35" max="35" width="6.625" style="8" customWidth="1"/>
    <col min="36" max="36" width="11.875" style="8" customWidth="1"/>
    <col min="37" max="37" width="6.875" style="8" customWidth="1"/>
    <col min="38" max="38" width="11.375" style="8" customWidth="1"/>
    <col min="39" max="39" width="6.625" style="8" customWidth="1"/>
    <col min="40" max="16384" width="9" style="8"/>
  </cols>
  <sheetData>
    <row r="1" spans="1:39" ht="28.5" customHeight="1">
      <c r="A1" s="2970" t="s">
        <v>136</v>
      </c>
      <c r="B1" s="2970"/>
      <c r="C1" s="2970"/>
      <c r="D1" s="2970"/>
      <c r="E1" s="2970"/>
      <c r="F1" s="2970"/>
      <c r="G1" s="2970"/>
      <c r="H1" s="2970"/>
      <c r="I1" s="2970"/>
      <c r="J1" s="2970"/>
      <c r="K1" s="2970"/>
      <c r="L1" s="2970"/>
      <c r="M1" s="2970"/>
      <c r="N1" s="2970"/>
      <c r="O1" s="2970"/>
      <c r="P1" s="2970"/>
      <c r="Q1" s="2970"/>
      <c r="R1" s="2970"/>
      <c r="S1" s="1516"/>
      <c r="T1" s="1516"/>
      <c r="U1" s="1534" t="s">
        <v>1376</v>
      </c>
      <c r="W1" s="2970"/>
      <c r="X1" s="2970"/>
      <c r="Y1" s="2970"/>
      <c r="Z1" s="2970"/>
      <c r="AA1" s="2970"/>
      <c r="AM1" s="1535" t="s">
        <v>1377</v>
      </c>
    </row>
    <row r="2" spans="1:39" ht="46.5" customHeight="1">
      <c r="A2" s="2971" t="s">
        <v>137</v>
      </c>
      <c r="B2" s="2971"/>
      <c r="C2" s="2971"/>
      <c r="D2" s="2971"/>
      <c r="E2" s="2971"/>
      <c r="F2" s="2971"/>
      <c r="G2" s="2971"/>
      <c r="H2" s="2971"/>
      <c r="I2" s="2971"/>
      <c r="J2" s="2971"/>
      <c r="K2" s="2971"/>
      <c r="L2" s="2971"/>
      <c r="M2" s="2971"/>
      <c r="N2" s="2971"/>
      <c r="O2" s="2971"/>
      <c r="P2" s="2971"/>
      <c r="Q2" s="2971"/>
      <c r="R2" s="3188"/>
      <c r="S2" s="3106" t="s">
        <v>89</v>
      </c>
      <c r="T2" s="2905"/>
      <c r="U2" s="1527" t="s">
        <v>1371</v>
      </c>
      <c r="W2" s="2971"/>
      <c r="X2" s="2971"/>
      <c r="Y2" s="2971"/>
      <c r="Z2" s="2971"/>
      <c r="AA2" s="2971"/>
      <c r="AI2" s="1040"/>
    </row>
    <row r="3" spans="1:39" ht="32.25" customHeight="1">
      <c r="A3" s="9"/>
      <c r="B3" s="1496" t="s">
        <v>128</v>
      </c>
      <c r="C3" s="1497"/>
      <c r="D3" s="1464"/>
      <c r="E3" s="1465"/>
      <c r="F3" s="1463"/>
      <c r="G3" s="1930" t="str">
        <f>MENU!$AC$9</f>
        <v>Thứ 3,</v>
      </c>
      <c r="H3" s="3140" t="str">
        <f>MENU!$AD$9</f>
        <v>2024/01/09</v>
      </c>
      <c r="I3" s="3140"/>
      <c r="J3" s="28"/>
      <c r="K3" s="28"/>
      <c r="L3" s="29"/>
      <c r="M3" s="29"/>
      <c r="N3" s="29"/>
      <c r="O3" s="29"/>
      <c r="P3" s="29"/>
      <c r="Q3" s="29"/>
      <c r="R3" s="29"/>
      <c r="S3" s="3154" t="str">
        <f>MENU!AE7</f>
        <v>L.Yen</v>
      </c>
      <c r="T3" s="3155"/>
      <c r="U3" s="1512"/>
      <c r="W3" s="9"/>
      <c r="X3" s="1496" t="s">
        <v>128</v>
      </c>
      <c r="Y3" s="1497"/>
      <c r="Z3" s="1464"/>
      <c r="AA3" s="1465"/>
      <c r="AB3" s="1930" t="str">
        <f>MENU!$AC$9</f>
        <v>Thứ 3,</v>
      </c>
      <c r="AC3" s="3140" t="str">
        <f>MENU!$AD$9</f>
        <v>2024/01/09</v>
      </c>
      <c r="AD3" s="3140"/>
      <c r="AE3" s="26"/>
      <c r="AF3" s="26"/>
      <c r="AG3" s="473"/>
      <c r="AH3" s="473"/>
    </row>
    <row r="4" spans="1:39" s="65" customFormat="1" ht="32.25" customHeight="1">
      <c r="A4" s="3170" t="s">
        <v>7</v>
      </c>
      <c r="B4" s="2877" t="s">
        <v>77</v>
      </c>
      <c r="C4" s="2878"/>
      <c r="D4" s="2878"/>
      <c r="E4" s="2879"/>
      <c r="F4" s="3135" t="s">
        <v>125</v>
      </c>
      <c r="G4" s="2922" t="s">
        <v>1325</v>
      </c>
      <c r="H4" s="2920" t="s">
        <v>1317</v>
      </c>
      <c r="I4" s="2937">
        <v>0.80208333333333337</v>
      </c>
      <c r="J4" s="2904"/>
      <c r="K4" s="2904"/>
      <c r="L4" s="2905"/>
      <c r="M4" s="2903">
        <v>0.96875</v>
      </c>
      <c r="N4" s="2904"/>
      <c r="O4" s="2904"/>
      <c r="P4" s="2905"/>
      <c r="Q4" s="2903">
        <v>0.13541666666666666</v>
      </c>
      <c r="R4" s="2904"/>
      <c r="S4" s="2904"/>
      <c r="T4" s="2905"/>
      <c r="U4" s="2961" t="s">
        <v>39</v>
      </c>
      <c r="W4" s="3170" t="s">
        <v>7</v>
      </c>
      <c r="X4" s="2877" t="s">
        <v>77</v>
      </c>
      <c r="Y4" s="2878"/>
      <c r="Z4" s="2878"/>
      <c r="AA4" s="2879"/>
      <c r="AB4" s="2903">
        <v>0.80208333333333337</v>
      </c>
      <c r="AC4" s="2937"/>
      <c r="AD4" s="2937"/>
      <c r="AE4" s="3105"/>
      <c r="AF4" s="2903">
        <v>0.96875</v>
      </c>
      <c r="AG4" s="2937"/>
      <c r="AH4" s="2937"/>
      <c r="AI4" s="3105"/>
      <c r="AJ4" s="2903">
        <v>0.13541666666666666</v>
      </c>
      <c r="AK4" s="2937"/>
      <c r="AL4" s="2937"/>
      <c r="AM4" s="3105"/>
    </row>
    <row r="5" spans="1:39" s="65" customFormat="1" ht="36" customHeight="1">
      <c r="A5" s="3170"/>
      <c r="B5" s="2880"/>
      <c r="C5" s="2881"/>
      <c r="D5" s="2881"/>
      <c r="E5" s="2882"/>
      <c r="F5" s="3136"/>
      <c r="G5" s="2923"/>
      <c r="H5" s="2921"/>
      <c r="I5" s="2448" t="s">
        <v>130</v>
      </c>
      <c r="J5" s="2909" t="s">
        <v>1</v>
      </c>
      <c r="K5" s="2910"/>
      <c r="L5" s="2911"/>
      <c r="M5" s="55" t="s">
        <v>130</v>
      </c>
      <c r="N5" s="2909" t="s">
        <v>1</v>
      </c>
      <c r="O5" s="2910"/>
      <c r="P5" s="2911"/>
      <c r="Q5" s="55" t="s">
        <v>130</v>
      </c>
      <c r="R5" s="2909" t="s">
        <v>1</v>
      </c>
      <c r="S5" s="2910"/>
      <c r="T5" s="2911"/>
      <c r="U5" s="2962"/>
      <c r="W5" s="3170"/>
      <c r="X5" s="2880"/>
      <c r="Y5" s="2881"/>
      <c r="Z5" s="2881"/>
      <c r="AA5" s="2882"/>
      <c r="AB5" s="3108" t="s">
        <v>1468</v>
      </c>
      <c r="AC5" s="3109"/>
      <c r="AD5" s="3107" t="s">
        <v>1501</v>
      </c>
      <c r="AE5" s="2905"/>
      <c r="AF5" s="3108" t="s">
        <v>1468</v>
      </c>
      <c r="AG5" s="3109"/>
      <c r="AH5" s="3107" t="s">
        <v>1501</v>
      </c>
      <c r="AI5" s="2905"/>
      <c r="AJ5" s="3108" t="s">
        <v>1468</v>
      </c>
      <c r="AK5" s="3109"/>
      <c r="AL5" s="3107" t="s">
        <v>1501</v>
      </c>
      <c r="AM5" s="2905"/>
    </row>
    <row r="6" spans="1:39" ht="36" customHeight="1">
      <c r="A6" s="3166">
        <v>1</v>
      </c>
      <c r="B6" s="3190" t="s">
        <v>139</v>
      </c>
      <c r="C6" s="3191"/>
      <c r="D6" s="3126" t="s">
        <v>231</v>
      </c>
      <c r="E6" s="3127"/>
      <c r="F6" s="1511" t="s">
        <v>4</v>
      </c>
      <c r="G6" s="929" t="str">
        <f>'XM.GUI MAIL'!$E$78</f>
        <v>40~60</v>
      </c>
      <c r="H6" s="2427" t="str">
        <f>'XM.GUI MAIL'!$F$78</f>
        <v>(50±5)</v>
      </c>
      <c r="I6" s="2430">
        <f>'XM.GUI MAIL'!AD78</f>
        <v>51.92</v>
      </c>
      <c r="J6" s="57" t="s">
        <v>8</v>
      </c>
      <c r="K6" s="58">
        <f>'XM.GUI MAIL'!AG78</f>
        <v>0</v>
      </c>
      <c r="L6" s="59" t="s">
        <v>9</v>
      </c>
      <c r="M6" s="1473"/>
      <c r="N6" s="57"/>
      <c r="O6" s="58"/>
      <c r="P6" s="59"/>
      <c r="Q6" s="1473">
        <f>'XM.GUI MAIL'!AR78</f>
        <v>51.92</v>
      </c>
      <c r="R6" s="66" t="s">
        <v>8</v>
      </c>
      <c r="S6" s="67">
        <f>'XM.GUI MAIL'!AU78</f>
        <v>0</v>
      </c>
      <c r="T6" s="30" t="s">
        <v>9</v>
      </c>
      <c r="U6" s="1514" t="s">
        <v>40</v>
      </c>
      <c r="W6" s="3166">
        <v>1</v>
      </c>
      <c r="X6" s="3190" t="s">
        <v>139</v>
      </c>
      <c r="Y6" s="3191"/>
      <c r="Z6" s="3126" t="s">
        <v>231</v>
      </c>
      <c r="AA6" s="3127"/>
      <c r="AB6" s="2171"/>
      <c r="AC6" s="1919" t="s">
        <v>9</v>
      </c>
      <c r="AD6" s="1906"/>
      <c r="AE6" s="1853" t="s">
        <v>4</v>
      </c>
      <c r="AF6" s="2171"/>
      <c r="AG6" s="1919" t="s">
        <v>9</v>
      </c>
      <c r="AH6" s="1906"/>
      <c r="AI6" s="1853" t="s">
        <v>4</v>
      </c>
      <c r="AJ6" s="2171"/>
      <c r="AK6" s="1919" t="s">
        <v>9</v>
      </c>
      <c r="AL6" s="1906"/>
      <c r="AM6" s="1853" t="s">
        <v>4</v>
      </c>
    </row>
    <row r="7" spans="1:39" ht="33" customHeight="1">
      <c r="A7" s="3189"/>
      <c r="B7" s="3192"/>
      <c r="C7" s="3193"/>
      <c r="D7" s="3126" t="s">
        <v>232</v>
      </c>
      <c r="E7" s="3127"/>
      <c r="F7" s="1041"/>
      <c r="G7" s="929" t="s">
        <v>1286</v>
      </c>
      <c r="H7" s="2427"/>
      <c r="I7" s="2416"/>
      <c r="J7" s="57"/>
      <c r="K7" s="60">
        <f>K6/25*8.5</f>
        <v>0</v>
      </c>
      <c r="L7" s="59" t="s">
        <v>10</v>
      </c>
      <c r="M7" s="1783"/>
      <c r="N7" s="57"/>
      <c r="O7" s="60"/>
      <c r="P7" s="59"/>
      <c r="Q7" s="1783"/>
      <c r="R7" s="57"/>
      <c r="S7" s="60">
        <f>S6/25*8.5</f>
        <v>0</v>
      </c>
      <c r="T7" s="59" t="s">
        <v>10</v>
      </c>
      <c r="U7" s="1514"/>
      <c r="W7" s="3189"/>
      <c r="X7" s="3192"/>
      <c r="Y7" s="3193"/>
      <c r="Z7" s="3126" t="s">
        <v>232</v>
      </c>
      <c r="AA7" s="3127"/>
      <c r="AB7" s="2171"/>
      <c r="AC7" s="1919" t="s">
        <v>10</v>
      </c>
      <c r="AD7" s="1906"/>
      <c r="AE7" s="1920"/>
      <c r="AF7" s="2171"/>
      <c r="AG7" s="1919" t="s">
        <v>10</v>
      </c>
      <c r="AH7" s="1906"/>
      <c r="AI7" s="1920"/>
      <c r="AJ7" s="2171"/>
      <c r="AK7" s="1919" t="s">
        <v>10</v>
      </c>
      <c r="AL7" s="1906"/>
      <c r="AM7" s="1920"/>
    </row>
    <row r="8" spans="1:39" ht="36" customHeight="1">
      <c r="A8" s="3166">
        <v>2</v>
      </c>
      <c r="B8" s="3190" t="s">
        <v>140</v>
      </c>
      <c r="C8" s="3191"/>
      <c r="D8" s="3126" t="s">
        <v>231</v>
      </c>
      <c r="E8" s="3127"/>
      <c r="F8" s="1511" t="s">
        <v>4</v>
      </c>
      <c r="G8" s="929" t="str">
        <f>'XM.GUI MAIL'!$E$80</f>
        <v>40~60</v>
      </c>
      <c r="H8" s="2427" t="str">
        <f>'XM.GUI MAIL'!$F$80</f>
        <v>(50±5)</v>
      </c>
      <c r="I8" s="2430">
        <f>'XM.GUI MAIL'!AD80</f>
        <v>50.622</v>
      </c>
      <c r="J8" s="57" t="s">
        <v>8</v>
      </c>
      <c r="K8" s="58">
        <f>'XM.GUI MAIL'!AG80</f>
        <v>0</v>
      </c>
      <c r="L8" s="59" t="s">
        <v>9</v>
      </c>
      <c r="M8" s="1473"/>
      <c r="N8" s="57"/>
      <c r="O8" s="58"/>
      <c r="P8" s="59"/>
      <c r="Q8" s="1473">
        <f>'XM.GUI MAIL'!AR80</f>
        <v>51.271000000000001</v>
      </c>
      <c r="R8" s="66" t="s">
        <v>8</v>
      </c>
      <c r="S8" s="67">
        <f>'XM.GUI MAIL'!AU80</f>
        <v>0</v>
      </c>
      <c r="T8" s="30" t="s">
        <v>9</v>
      </c>
      <c r="U8" s="1514" t="s">
        <v>40</v>
      </c>
      <c r="W8" s="3166">
        <v>2</v>
      </c>
      <c r="X8" s="3190" t="s">
        <v>140</v>
      </c>
      <c r="Y8" s="3191"/>
      <c r="Z8" s="3126" t="s">
        <v>231</v>
      </c>
      <c r="AA8" s="3127"/>
      <c r="AB8" s="2171"/>
      <c r="AC8" s="1919" t="s">
        <v>9</v>
      </c>
      <c r="AD8" s="1906"/>
      <c r="AE8" s="1853" t="s">
        <v>4</v>
      </c>
      <c r="AF8" s="2171"/>
      <c r="AG8" s="1919" t="s">
        <v>9</v>
      </c>
      <c r="AH8" s="1906"/>
      <c r="AI8" s="1853" t="s">
        <v>4</v>
      </c>
      <c r="AJ8" s="2171"/>
      <c r="AK8" s="1919" t="s">
        <v>9</v>
      </c>
      <c r="AL8" s="1906"/>
      <c r="AM8" s="1853" t="s">
        <v>4</v>
      </c>
    </row>
    <row r="9" spans="1:39" ht="36" customHeight="1">
      <c r="A9" s="3189"/>
      <c r="B9" s="3192"/>
      <c r="C9" s="3193"/>
      <c r="D9" s="3126" t="s">
        <v>232</v>
      </c>
      <c r="E9" s="3127"/>
      <c r="F9" s="1041"/>
      <c r="G9" s="929" t="s">
        <v>1286</v>
      </c>
      <c r="H9" s="2427"/>
      <c r="I9" s="2416"/>
      <c r="J9" s="57"/>
      <c r="K9" s="60">
        <f>K8/25*8.5</f>
        <v>0</v>
      </c>
      <c r="L9" s="59" t="s">
        <v>10</v>
      </c>
      <c r="M9" s="1783"/>
      <c r="N9" s="57"/>
      <c r="O9" s="60"/>
      <c r="P9" s="59"/>
      <c r="Q9" s="1783"/>
      <c r="R9" s="57"/>
      <c r="S9" s="60">
        <f>S8/25*8.5</f>
        <v>0</v>
      </c>
      <c r="T9" s="59" t="s">
        <v>10</v>
      </c>
      <c r="U9" s="1514"/>
      <c r="W9" s="3189"/>
      <c r="X9" s="3192"/>
      <c r="Y9" s="3193"/>
      <c r="Z9" s="3126" t="s">
        <v>232</v>
      </c>
      <c r="AA9" s="3127"/>
      <c r="AB9" s="2171"/>
      <c r="AC9" s="1919" t="s">
        <v>10</v>
      </c>
      <c r="AD9" s="1906"/>
      <c r="AE9" s="1920"/>
      <c r="AF9" s="2171"/>
      <c r="AG9" s="1919" t="s">
        <v>10</v>
      </c>
      <c r="AH9" s="1906"/>
      <c r="AI9" s="1920"/>
      <c r="AJ9" s="2171"/>
      <c r="AK9" s="1919" t="s">
        <v>10</v>
      </c>
      <c r="AL9" s="1906"/>
      <c r="AM9" s="1920"/>
    </row>
    <row r="10" spans="1:39" ht="36" customHeight="1">
      <c r="A10" s="3166">
        <v>3</v>
      </c>
      <c r="B10" s="3128" t="s">
        <v>141</v>
      </c>
      <c r="C10" s="3129"/>
      <c r="D10" s="3108" t="s">
        <v>233</v>
      </c>
      <c r="E10" s="3111" t="s">
        <v>233</v>
      </c>
      <c r="F10" s="1511" t="s">
        <v>4</v>
      </c>
      <c r="G10" s="929" t="str">
        <f>'XM.GUI MAIL'!$E$82</f>
        <v>50~70</v>
      </c>
      <c r="H10" s="2427" t="str">
        <f>'XM.GUI MAIL'!$F$82</f>
        <v>(60±5)</v>
      </c>
      <c r="I10" s="2430">
        <f>'XM.GUI MAIL'!AD82</f>
        <v>61.908000000000001</v>
      </c>
      <c r="J10" s="57" t="s">
        <v>8</v>
      </c>
      <c r="K10" s="58">
        <f>'XM.GUI MAIL'!AG82</f>
        <v>0</v>
      </c>
      <c r="L10" s="59" t="s">
        <v>9</v>
      </c>
      <c r="M10" s="1473"/>
      <c r="N10" s="57"/>
      <c r="O10" s="58"/>
      <c r="P10" s="59"/>
      <c r="Q10" s="1473">
        <f>'XM.GUI MAIL'!AR82</f>
        <v>61.446000000000005</v>
      </c>
      <c r="R10" s="57" t="s">
        <v>8</v>
      </c>
      <c r="S10" s="58">
        <f>'XM.GUI MAIL'!AU82</f>
        <v>0</v>
      </c>
      <c r="T10" s="59" t="s">
        <v>9</v>
      </c>
      <c r="U10" s="1514" t="s">
        <v>40</v>
      </c>
      <c r="W10" s="3166">
        <v>3</v>
      </c>
      <c r="X10" s="3128" t="s">
        <v>141</v>
      </c>
      <c r="Y10" s="3129"/>
      <c r="Z10" s="3108" t="s">
        <v>233</v>
      </c>
      <c r="AA10" s="3111" t="s">
        <v>233</v>
      </c>
      <c r="AB10" s="2171"/>
      <c r="AC10" s="1919" t="s">
        <v>9</v>
      </c>
      <c r="AD10" s="1906"/>
      <c r="AE10" s="1853" t="s">
        <v>4</v>
      </c>
      <c r="AF10" s="2171"/>
      <c r="AG10" s="1919" t="s">
        <v>9</v>
      </c>
      <c r="AH10" s="1906"/>
      <c r="AI10" s="1853" t="s">
        <v>4</v>
      </c>
      <c r="AJ10" s="2171"/>
      <c r="AK10" s="1919" t="s">
        <v>9</v>
      </c>
      <c r="AL10" s="1906"/>
      <c r="AM10" s="1853" t="s">
        <v>4</v>
      </c>
    </row>
    <row r="11" spans="1:39" ht="36" customHeight="1">
      <c r="A11" s="3167"/>
      <c r="B11" s="3129"/>
      <c r="C11" s="3129"/>
      <c r="D11" s="3108" t="s">
        <v>234</v>
      </c>
      <c r="E11" s="3111" t="s">
        <v>234</v>
      </c>
      <c r="F11" s="1041"/>
      <c r="G11" s="929" t="s">
        <v>1287</v>
      </c>
      <c r="H11" s="2427"/>
      <c r="I11" s="2416"/>
      <c r="J11" s="57"/>
      <c r="K11" s="60">
        <f>K10/25*8</f>
        <v>0</v>
      </c>
      <c r="L11" s="59" t="s">
        <v>10</v>
      </c>
      <c r="M11" s="1783"/>
      <c r="N11" s="57"/>
      <c r="O11" s="60"/>
      <c r="P11" s="59"/>
      <c r="Q11" s="1783"/>
      <c r="R11" s="57"/>
      <c r="S11" s="60">
        <f>S10/25*8</f>
        <v>0</v>
      </c>
      <c r="T11" s="59" t="s">
        <v>10</v>
      </c>
      <c r="U11" s="1514"/>
      <c r="W11" s="3167"/>
      <c r="X11" s="3129"/>
      <c r="Y11" s="3129"/>
      <c r="Z11" s="3108" t="s">
        <v>234</v>
      </c>
      <c r="AA11" s="3111" t="s">
        <v>234</v>
      </c>
      <c r="AB11" s="2171"/>
      <c r="AC11" s="1919" t="s">
        <v>10</v>
      </c>
      <c r="AD11" s="1906"/>
      <c r="AE11" s="1920"/>
      <c r="AF11" s="2171"/>
      <c r="AG11" s="1919" t="s">
        <v>10</v>
      </c>
      <c r="AH11" s="1906"/>
      <c r="AI11" s="1920"/>
      <c r="AJ11" s="2171"/>
      <c r="AK11" s="1919" t="s">
        <v>10</v>
      </c>
      <c r="AL11" s="1906"/>
      <c r="AM11" s="1920"/>
    </row>
    <row r="12" spans="1:39" ht="36" customHeight="1">
      <c r="A12" s="3166">
        <v>4</v>
      </c>
      <c r="B12" s="3128" t="s">
        <v>142</v>
      </c>
      <c r="C12" s="3129"/>
      <c r="D12" s="3108" t="s">
        <v>233</v>
      </c>
      <c r="E12" s="3111" t="s">
        <v>233</v>
      </c>
      <c r="F12" s="1511" t="s">
        <v>4</v>
      </c>
      <c r="G12" s="929" t="str">
        <f>'XM.GUI MAIL'!$E$84</f>
        <v>50~70</v>
      </c>
      <c r="H12" s="2427" t="str">
        <f>'XM.GUI MAIL'!$F$84</f>
        <v>(60±5)</v>
      </c>
      <c r="I12" s="2430">
        <f>'XM.GUI MAIL'!AD84</f>
        <v>60.06</v>
      </c>
      <c r="J12" s="57" t="s">
        <v>8</v>
      </c>
      <c r="K12" s="58">
        <f>'XM.GUI MAIL'!AG84</f>
        <v>0</v>
      </c>
      <c r="L12" s="59" t="s">
        <v>9</v>
      </c>
      <c r="M12" s="1473"/>
      <c r="N12" s="57"/>
      <c r="O12" s="58"/>
      <c r="P12" s="59"/>
      <c r="Q12" s="1473">
        <f>'XM.GUI MAIL'!AR84</f>
        <v>60.06</v>
      </c>
      <c r="R12" s="57" t="s">
        <v>8</v>
      </c>
      <c r="S12" s="58">
        <f>'XM.GUI MAIL'!AU84</f>
        <v>0</v>
      </c>
      <c r="T12" s="59" t="s">
        <v>9</v>
      </c>
      <c r="U12" s="1514" t="s">
        <v>40</v>
      </c>
      <c r="W12" s="3166">
        <v>4</v>
      </c>
      <c r="X12" s="3128" t="s">
        <v>142</v>
      </c>
      <c r="Y12" s="3129"/>
      <c r="Z12" s="3108" t="s">
        <v>233</v>
      </c>
      <c r="AA12" s="3111" t="s">
        <v>233</v>
      </c>
      <c r="AB12" s="2171"/>
      <c r="AC12" s="1919" t="s">
        <v>9</v>
      </c>
      <c r="AD12" s="1906"/>
      <c r="AE12" s="1853" t="s">
        <v>4</v>
      </c>
      <c r="AF12" s="2171"/>
      <c r="AG12" s="1919" t="s">
        <v>9</v>
      </c>
      <c r="AH12" s="1906"/>
      <c r="AI12" s="1853" t="s">
        <v>4</v>
      </c>
      <c r="AJ12" s="2171"/>
      <c r="AK12" s="1919" t="s">
        <v>9</v>
      </c>
      <c r="AL12" s="1906"/>
      <c r="AM12" s="1853" t="s">
        <v>4</v>
      </c>
    </row>
    <row r="13" spans="1:39" ht="33" customHeight="1">
      <c r="A13" s="3167"/>
      <c r="B13" s="3129"/>
      <c r="C13" s="3129"/>
      <c r="D13" s="3108" t="s">
        <v>234</v>
      </c>
      <c r="E13" s="3111" t="s">
        <v>234</v>
      </c>
      <c r="F13" s="1041"/>
      <c r="G13" s="929" t="s">
        <v>1287</v>
      </c>
      <c r="H13" s="2427"/>
      <c r="I13" s="2416"/>
      <c r="J13" s="57"/>
      <c r="K13" s="60">
        <f>K12/25*8</f>
        <v>0</v>
      </c>
      <c r="L13" s="59" t="s">
        <v>10</v>
      </c>
      <c r="M13" s="1783"/>
      <c r="N13" s="57"/>
      <c r="O13" s="60"/>
      <c r="P13" s="59"/>
      <c r="Q13" s="1783"/>
      <c r="R13" s="57"/>
      <c r="S13" s="60">
        <f>S12/25*8</f>
        <v>0</v>
      </c>
      <c r="T13" s="59" t="s">
        <v>10</v>
      </c>
      <c r="U13" s="1514"/>
      <c r="W13" s="3167"/>
      <c r="X13" s="3129"/>
      <c r="Y13" s="3129"/>
      <c r="Z13" s="3108" t="s">
        <v>234</v>
      </c>
      <c r="AA13" s="3111" t="s">
        <v>234</v>
      </c>
      <c r="AB13" s="2171"/>
      <c r="AC13" s="1919" t="s">
        <v>10</v>
      </c>
      <c r="AD13" s="1906"/>
      <c r="AE13" s="1920"/>
      <c r="AF13" s="2171"/>
      <c r="AG13" s="1919" t="s">
        <v>10</v>
      </c>
      <c r="AH13" s="1906"/>
      <c r="AI13" s="1920"/>
      <c r="AJ13" s="2171"/>
      <c r="AK13" s="1919" t="s">
        <v>10</v>
      </c>
      <c r="AL13" s="1906"/>
      <c r="AM13" s="1920"/>
    </row>
    <row r="14" spans="1:39" ht="36" customHeight="1">
      <c r="A14" s="3166">
        <v>5</v>
      </c>
      <c r="B14" s="3186" t="s">
        <v>114</v>
      </c>
      <c r="C14" s="3183" t="s">
        <v>19</v>
      </c>
      <c r="D14" s="3184"/>
      <c r="E14" s="3185"/>
      <c r="F14" s="1511" t="s">
        <v>4</v>
      </c>
      <c r="G14" s="1522" t="str">
        <f>'XM.GUI MAIL'!$E$86</f>
        <v>135~ 145</v>
      </c>
      <c r="H14" s="2449" t="str">
        <f>'XM.GUI MAIL'!$F$86</f>
        <v>(140±5)</v>
      </c>
      <c r="I14" s="2432">
        <f>'XM.GUI MAIL'!AD86</f>
        <v>142.4</v>
      </c>
      <c r="J14" s="57" t="s">
        <v>8</v>
      </c>
      <c r="K14" s="58">
        <f>'XM.GUI MAIL'!AG86</f>
        <v>0</v>
      </c>
      <c r="L14" s="59" t="s">
        <v>9</v>
      </c>
      <c r="M14" s="81"/>
      <c r="N14" s="1099"/>
      <c r="O14" s="58"/>
      <c r="P14" s="59"/>
      <c r="Q14" s="81">
        <f>'XM.GUI MAIL'!AR86</f>
        <v>142.4</v>
      </c>
      <c r="R14" s="57" t="s">
        <v>8</v>
      </c>
      <c r="S14" s="58">
        <f>'XM.GUI MAIL'!AU86</f>
        <v>0</v>
      </c>
      <c r="T14" s="59" t="s">
        <v>9</v>
      </c>
      <c r="U14" s="1514" t="s">
        <v>41</v>
      </c>
      <c r="W14" s="3166">
        <v>5</v>
      </c>
      <c r="X14" s="3186" t="s">
        <v>114</v>
      </c>
      <c r="Y14" s="3183" t="s">
        <v>19</v>
      </c>
      <c r="Z14" s="3184"/>
      <c r="AA14" s="3185"/>
      <c r="AB14" s="2171"/>
      <c r="AC14" s="1919" t="s">
        <v>9</v>
      </c>
      <c r="AD14" s="1906"/>
      <c r="AE14" s="1853" t="s">
        <v>4</v>
      </c>
      <c r="AF14" s="2171"/>
      <c r="AG14" s="1919" t="s">
        <v>9</v>
      </c>
      <c r="AH14" s="1906"/>
      <c r="AI14" s="1853" t="s">
        <v>4</v>
      </c>
      <c r="AJ14" s="2171"/>
      <c r="AK14" s="1919" t="s">
        <v>9</v>
      </c>
      <c r="AL14" s="1906"/>
      <c r="AM14" s="1853" t="s">
        <v>4</v>
      </c>
    </row>
    <row r="15" spans="1:39" ht="36" customHeight="1">
      <c r="A15" s="3167"/>
      <c r="B15" s="3187"/>
      <c r="C15" s="3183" t="s">
        <v>20</v>
      </c>
      <c r="D15" s="3184"/>
      <c r="E15" s="3185"/>
      <c r="F15" s="1041"/>
      <c r="G15" s="1522" t="str">
        <f>'XM.GUI MAIL'!$E$87</f>
        <v>7~10</v>
      </c>
      <c r="H15" s="2449" t="str">
        <f>'XM.GUI MAIL'!$F$87</f>
        <v>(8.5±1)</v>
      </c>
      <c r="I15" s="2433">
        <f>'XM.GUI MAIL'!AD87</f>
        <v>8.4500000000000011</v>
      </c>
      <c r="J15" s="66" t="s">
        <v>8</v>
      </c>
      <c r="K15" s="846">
        <f>'XM.GUI MAIL'!AG87</f>
        <v>2.6532999999999434</v>
      </c>
      <c r="L15" s="1101" t="s">
        <v>9</v>
      </c>
      <c r="M15" s="2067"/>
      <c r="N15" s="845"/>
      <c r="O15" s="846"/>
      <c r="P15" s="1101"/>
      <c r="Q15" s="2067">
        <f>'XM.GUI MAIL'!AR87</f>
        <v>8.4500000000000011</v>
      </c>
      <c r="R15" s="66" t="s">
        <v>8</v>
      </c>
      <c r="S15" s="67">
        <f>'XM.GUI MAIL'!AU87</f>
        <v>2.6532999999999434</v>
      </c>
      <c r="T15" s="109" t="s">
        <v>9</v>
      </c>
      <c r="U15" s="1514" t="s">
        <v>42</v>
      </c>
      <c r="W15" s="3167"/>
      <c r="X15" s="3187"/>
      <c r="Y15" s="3183" t="s">
        <v>20</v>
      </c>
      <c r="Z15" s="3184"/>
      <c r="AA15" s="3185"/>
      <c r="AB15" s="2171"/>
      <c r="AC15" s="1919" t="s">
        <v>9</v>
      </c>
      <c r="AD15" s="1906"/>
      <c r="AE15" s="1920"/>
      <c r="AF15" s="2171"/>
      <c r="AG15" s="1919" t="s">
        <v>9</v>
      </c>
      <c r="AH15" s="1906"/>
      <c r="AI15" s="1920"/>
      <c r="AJ15" s="2171"/>
      <c r="AK15" s="1919" t="s">
        <v>9</v>
      </c>
      <c r="AL15" s="1906"/>
      <c r="AM15" s="1920"/>
    </row>
    <row r="16" spans="1:39" s="7" customFormat="1" ht="36" customHeight="1">
      <c r="A16" s="3166">
        <v>6</v>
      </c>
      <c r="B16" s="3177" t="s">
        <v>1168</v>
      </c>
      <c r="C16" s="3178"/>
      <c r="D16" s="3178"/>
      <c r="E16" s="3181"/>
      <c r="F16" s="80" t="s">
        <v>3</v>
      </c>
      <c r="G16" s="1522" t="str">
        <f>'XM.GUI MAIL'!$E$88</f>
        <v>5~8</v>
      </c>
      <c r="H16" s="2449" t="str">
        <f>'XM.GUI MAIL'!$F$88</f>
        <v>(6±1)</v>
      </c>
      <c r="I16" s="2434">
        <f>'XM.GUI MAIL'!AD88</f>
        <v>6.7076100000000007</v>
      </c>
      <c r="J16" s="57" t="s">
        <v>8</v>
      </c>
      <c r="K16" s="58">
        <f>'XM.GUI MAIL'!AG88</f>
        <v>0</v>
      </c>
      <c r="L16" s="59" t="s">
        <v>10</v>
      </c>
      <c r="M16" s="621"/>
      <c r="N16" s="1099"/>
      <c r="O16" s="58"/>
      <c r="P16" s="59"/>
      <c r="Q16" s="621">
        <f>'XM.GUI MAIL'!AR88</f>
        <v>6.5381299999999998</v>
      </c>
      <c r="R16" s="66" t="s">
        <v>8</v>
      </c>
      <c r="S16" s="67">
        <f>'XM.GUI MAIL'!AU88</f>
        <v>0</v>
      </c>
      <c r="T16" s="30" t="s">
        <v>10</v>
      </c>
      <c r="U16" s="1514" t="s">
        <v>43</v>
      </c>
      <c r="W16" s="3166">
        <v>6</v>
      </c>
      <c r="X16" s="3177" t="s">
        <v>1168</v>
      </c>
      <c r="Y16" s="3178"/>
      <c r="Z16" s="3178"/>
      <c r="AA16" s="3181"/>
      <c r="AB16" s="2171"/>
      <c r="AC16" s="1919" t="s">
        <v>10</v>
      </c>
      <c r="AD16" s="1906"/>
      <c r="AE16" s="1921" t="s">
        <v>3</v>
      </c>
      <c r="AF16" s="2171"/>
      <c r="AG16" s="1919" t="s">
        <v>10</v>
      </c>
      <c r="AH16" s="1906"/>
      <c r="AI16" s="1921" t="s">
        <v>3</v>
      </c>
      <c r="AJ16" s="2171"/>
      <c r="AK16" s="1919" t="s">
        <v>10</v>
      </c>
      <c r="AL16" s="1906"/>
      <c r="AM16" s="1921" t="s">
        <v>3</v>
      </c>
    </row>
    <row r="17" spans="1:39" ht="29.25" customHeight="1">
      <c r="A17" s="3167"/>
      <c r="B17" s="3179"/>
      <c r="C17" s="3180"/>
      <c r="D17" s="3180"/>
      <c r="E17" s="3182"/>
      <c r="F17" s="80" t="s">
        <v>5</v>
      </c>
      <c r="G17" s="1522" t="str">
        <f>'XM.GUI MAIL'!$E$89</f>
        <v>2.0~2.4</v>
      </c>
      <c r="H17" s="2449" t="str">
        <f>'XM.GUI MAIL'!$F$89</f>
        <v>(2.2±0.1)</v>
      </c>
      <c r="I17" s="2433">
        <f>'XM.GUI MAIL'!AD89</f>
        <v>2.2000000000000002</v>
      </c>
      <c r="J17" s="845"/>
      <c r="K17" s="846"/>
      <c r="L17" s="1102"/>
      <c r="M17" s="2067"/>
      <c r="N17" s="845"/>
      <c r="O17" s="846"/>
      <c r="P17" s="1102"/>
      <c r="Q17" s="2067">
        <f>'XM.GUI MAIL'!AR89</f>
        <v>2.2000000000000002</v>
      </c>
      <c r="R17" s="66"/>
      <c r="S17" s="67"/>
      <c r="T17" s="30"/>
      <c r="U17" s="108"/>
      <c r="W17" s="3167"/>
      <c r="X17" s="3179"/>
      <c r="Y17" s="3180"/>
      <c r="Z17" s="3180"/>
      <c r="AA17" s="3182"/>
      <c r="AB17" s="2171"/>
      <c r="AC17" s="1919"/>
      <c r="AD17" s="1906"/>
      <c r="AE17" s="1921" t="s">
        <v>5</v>
      </c>
      <c r="AF17" s="2171"/>
      <c r="AG17" s="1919"/>
      <c r="AH17" s="1906"/>
      <c r="AI17" s="1921" t="s">
        <v>5</v>
      </c>
      <c r="AJ17" s="2171"/>
      <c r="AK17" s="1919"/>
      <c r="AL17" s="1906"/>
      <c r="AM17" s="1921" t="s">
        <v>5</v>
      </c>
    </row>
    <row r="18" spans="1:39" ht="36" customHeight="1">
      <c r="A18" s="1518">
        <v>7</v>
      </c>
      <c r="B18" s="3174" t="s">
        <v>981</v>
      </c>
      <c r="C18" s="3175"/>
      <c r="D18" s="3175"/>
      <c r="E18" s="3176"/>
      <c r="F18" s="80" t="s">
        <v>6</v>
      </c>
      <c r="G18" s="1043" t="str">
        <f>'XM.GUI MAIL'!$E$90</f>
        <v>40~50</v>
      </c>
      <c r="H18" s="2450" t="str">
        <f>'XM.GUI MAIL'!$F$90</f>
        <v>(45±5)</v>
      </c>
      <c r="I18" s="2435">
        <f>'XM.GUI MAIL'!AD90</f>
        <v>0.49731250000000005</v>
      </c>
      <c r="J18" s="1480" t="s">
        <v>8</v>
      </c>
      <c r="K18" s="1481">
        <f>'XM.GUI MAIL'!AG90</f>
        <v>0</v>
      </c>
      <c r="L18" s="1482" t="s">
        <v>10</v>
      </c>
      <c r="M18" s="63"/>
      <c r="N18" s="1480"/>
      <c r="O18" s="1481"/>
      <c r="P18" s="1482"/>
      <c r="Q18" s="63">
        <f>'XM.GUI MAIL'!AR90</f>
        <v>0.4881875</v>
      </c>
      <c r="R18" s="66" t="s">
        <v>8</v>
      </c>
      <c r="S18" s="67">
        <f>'XM.GUI MAIL'!AU90</f>
        <v>0</v>
      </c>
      <c r="T18" s="30" t="s">
        <v>10</v>
      </c>
      <c r="U18" s="1514" t="s">
        <v>44</v>
      </c>
      <c r="W18" s="1524">
        <v>7</v>
      </c>
      <c r="X18" s="3174" t="s">
        <v>981</v>
      </c>
      <c r="Y18" s="3175"/>
      <c r="Z18" s="3175"/>
      <c r="AA18" s="3176"/>
      <c r="AB18" s="2171"/>
      <c r="AC18" s="1919"/>
      <c r="AD18" s="1906"/>
      <c r="AE18" s="1921" t="s">
        <v>6</v>
      </c>
      <c r="AF18" s="2171"/>
      <c r="AG18" s="1919"/>
      <c r="AH18" s="1906"/>
      <c r="AI18" s="1921" t="s">
        <v>6</v>
      </c>
      <c r="AJ18" s="2171"/>
      <c r="AK18" s="1919"/>
      <c r="AL18" s="1906"/>
      <c r="AM18" s="1921" t="s">
        <v>6</v>
      </c>
    </row>
    <row r="19" spans="1:39" ht="36" customHeight="1">
      <c r="A19" s="2494">
        <v>8</v>
      </c>
      <c r="B19" s="3174" t="s">
        <v>981</v>
      </c>
      <c r="C19" s="3175"/>
      <c r="D19" s="3175"/>
      <c r="E19" s="3176"/>
      <c r="F19" s="80" t="s">
        <v>6</v>
      </c>
      <c r="G19" s="1043" t="str">
        <f>'XM.GUI MAIL'!$E$90</f>
        <v>40~50</v>
      </c>
      <c r="H19" s="2450" t="str">
        <f>'XM.GUI MAIL'!$F$90</f>
        <v>(45±5)</v>
      </c>
      <c r="I19" s="2435">
        <f>'XM.GUI MAIL'!AD91</f>
        <v>0.46537500000000004</v>
      </c>
      <c r="J19" s="1480" t="s">
        <v>8</v>
      </c>
      <c r="K19" s="1481">
        <f>'XM.GUI MAIL'!AG91</f>
        <v>0</v>
      </c>
      <c r="L19" s="1482" t="s">
        <v>10</v>
      </c>
      <c r="M19" s="63"/>
      <c r="N19" s="1480"/>
      <c r="O19" s="1481"/>
      <c r="P19" s="1482"/>
      <c r="Q19" s="63">
        <f>'XM.GUI MAIL'!AR91</f>
        <v>0.44712499999999994</v>
      </c>
      <c r="R19" s="66" t="s">
        <v>8</v>
      </c>
      <c r="S19" s="67">
        <f>'XM.GUI MAIL'!AU91</f>
        <v>19.328625000000482</v>
      </c>
      <c r="T19" s="30" t="s">
        <v>10</v>
      </c>
      <c r="U19" s="2493" t="s">
        <v>44</v>
      </c>
      <c r="W19" s="2494">
        <v>7</v>
      </c>
      <c r="X19" s="3174" t="s">
        <v>981</v>
      </c>
      <c r="Y19" s="3175"/>
      <c r="Z19" s="3175"/>
      <c r="AA19" s="3176"/>
      <c r="AB19" s="2171"/>
      <c r="AC19" s="1919"/>
      <c r="AD19" s="1906"/>
      <c r="AE19" s="1921" t="s">
        <v>6</v>
      </c>
      <c r="AF19" s="2171"/>
      <c r="AG19" s="1919"/>
      <c r="AH19" s="1906"/>
      <c r="AI19" s="1921" t="s">
        <v>6</v>
      </c>
      <c r="AJ19" s="2171"/>
      <c r="AK19" s="1919"/>
      <c r="AL19" s="1906"/>
      <c r="AM19" s="1921" t="s">
        <v>6</v>
      </c>
    </row>
    <row r="20" spans="1:39" ht="36" customHeight="1">
      <c r="A20" s="1518">
        <v>9</v>
      </c>
      <c r="B20" s="3174" t="s">
        <v>982</v>
      </c>
      <c r="C20" s="3175"/>
      <c r="D20" s="3175"/>
      <c r="E20" s="3176"/>
      <c r="F20" s="80" t="s">
        <v>6</v>
      </c>
      <c r="G20" s="1043" t="str">
        <f>'XM.GUI MAIL'!$E$92</f>
        <v>40~50</v>
      </c>
      <c r="H20" s="2450" t="str">
        <f>'XM.GUI MAIL'!$F$92</f>
        <v>(45±5)</v>
      </c>
      <c r="I20" s="2435">
        <f>'XM.GUI MAIL'!AD92</f>
        <v>0.45168749999999996</v>
      </c>
      <c r="J20" s="1480" t="s">
        <v>8</v>
      </c>
      <c r="K20" s="1481">
        <f>'XM.GUI MAIL'!AG92</f>
        <v>0</v>
      </c>
      <c r="L20" s="1482" t="s">
        <v>10</v>
      </c>
      <c r="M20" s="63"/>
      <c r="N20" s="1480"/>
      <c r="O20" s="1481"/>
      <c r="P20" s="1482"/>
      <c r="Q20" s="63">
        <f>'XM.GUI MAIL'!AR92</f>
        <v>0.44256250000000003</v>
      </c>
      <c r="R20" s="66" t="s">
        <v>8</v>
      </c>
      <c r="S20" s="67">
        <f>'XM.GUI MAIL'!AU92</f>
        <v>78.160687499999852</v>
      </c>
      <c r="T20" s="30" t="s">
        <v>10</v>
      </c>
      <c r="U20" s="1044" t="s">
        <v>44</v>
      </c>
      <c r="W20" s="1524">
        <v>8</v>
      </c>
      <c r="X20" s="3174" t="s">
        <v>982</v>
      </c>
      <c r="Y20" s="3175"/>
      <c r="Z20" s="3175"/>
      <c r="AA20" s="3176"/>
      <c r="AB20" s="2171"/>
      <c r="AC20" s="1919" t="s">
        <v>10</v>
      </c>
      <c r="AD20" s="1906"/>
      <c r="AE20" s="1921" t="s">
        <v>6</v>
      </c>
      <c r="AF20" s="2171"/>
      <c r="AG20" s="1919" t="s">
        <v>10</v>
      </c>
      <c r="AH20" s="1906"/>
      <c r="AI20" s="1921" t="s">
        <v>6</v>
      </c>
      <c r="AJ20" s="2171"/>
      <c r="AK20" s="1919" t="s">
        <v>10</v>
      </c>
      <c r="AL20" s="1906"/>
      <c r="AM20" s="1921" t="s">
        <v>6</v>
      </c>
    </row>
    <row r="21" spans="1:39" ht="36" customHeight="1">
      <c r="A21" s="1518">
        <v>10</v>
      </c>
      <c r="B21" s="3171" t="s">
        <v>83</v>
      </c>
      <c r="C21" s="3172"/>
      <c r="D21" s="3172"/>
      <c r="E21" s="3173"/>
      <c r="F21" s="80" t="s">
        <v>6</v>
      </c>
      <c r="G21" s="1043" t="str">
        <f>'XM.GUI MAIL'!$E$93</f>
        <v>10~20</v>
      </c>
      <c r="H21" s="2450" t="str">
        <f>'XM.GUI MAIL'!$F$93</f>
        <v>(15±5)</v>
      </c>
      <c r="I21" s="2436">
        <f>'XM.GUI MAIL'!AD93</f>
        <v>0.1323125</v>
      </c>
      <c r="J21" s="66" t="s">
        <v>8</v>
      </c>
      <c r="K21" s="67">
        <f>'XM.GUI MAIL'!AG93</f>
        <v>57.201374999999985</v>
      </c>
      <c r="L21" s="30" t="s">
        <v>10</v>
      </c>
      <c r="M21" s="310"/>
      <c r="N21" s="66"/>
      <c r="O21" s="67"/>
      <c r="P21" s="30"/>
      <c r="Q21" s="310">
        <f>'XM.GUI MAIL'!AR93</f>
        <v>0.1323125</v>
      </c>
      <c r="R21" s="66" t="s">
        <v>8</v>
      </c>
      <c r="S21" s="67">
        <f>'XM.GUI MAIL'!AU93</f>
        <v>57.201374999999985</v>
      </c>
      <c r="T21" s="30" t="s">
        <v>10</v>
      </c>
      <c r="U21" s="1514" t="s">
        <v>45</v>
      </c>
      <c r="W21" s="1524">
        <v>9</v>
      </c>
      <c r="X21" s="3171" t="s">
        <v>83</v>
      </c>
      <c r="Y21" s="3172"/>
      <c r="Z21" s="3172"/>
      <c r="AA21" s="3173"/>
      <c r="AB21" s="2171"/>
      <c r="AC21" s="1919" t="s">
        <v>10</v>
      </c>
      <c r="AD21" s="1906"/>
      <c r="AE21" s="1921" t="s">
        <v>6</v>
      </c>
      <c r="AF21" s="2171"/>
      <c r="AG21" s="1919" t="s">
        <v>10</v>
      </c>
      <c r="AH21" s="1906"/>
      <c r="AI21" s="1921" t="s">
        <v>6</v>
      </c>
      <c r="AJ21" s="2171"/>
      <c r="AK21" s="1919" t="s">
        <v>10</v>
      </c>
      <c r="AL21" s="1906"/>
      <c r="AM21" s="1921" t="s">
        <v>6</v>
      </c>
    </row>
    <row r="22" spans="1:39" ht="36" customHeight="1">
      <c r="A22" s="1518">
        <v>11</v>
      </c>
      <c r="B22" s="3171" t="s">
        <v>983</v>
      </c>
      <c r="C22" s="3172" t="s">
        <v>983</v>
      </c>
      <c r="D22" s="3172" t="s">
        <v>983</v>
      </c>
      <c r="E22" s="3173" t="s">
        <v>983</v>
      </c>
      <c r="F22" s="80" t="s">
        <v>6</v>
      </c>
      <c r="G22" s="1043" t="str">
        <f>'XM.GUI MAIL'!$E$94</f>
        <v>(1±0.4)=0.6~1.4</v>
      </c>
      <c r="H22" s="2450" t="str">
        <f>'XM.GUI MAIL'!$F$94</f>
        <v>(1±0.4)</v>
      </c>
      <c r="I22" s="2437">
        <f>'XM.GUI MAIL'!AD94</f>
        <v>7.1820000000000009E-3</v>
      </c>
      <c r="J22" s="1480" t="s">
        <v>8</v>
      </c>
      <c r="K22" s="1485">
        <f>'XM.GUI MAIL'!AG94</f>
        <v>8.0620927152317847</v>
      </c>
      <c r="L22" s="1482" t="s">
        <v>10</v>
      </c>
      <c r="M22" s="2390"/>
      <c r="N22" s="1480"/>
      <c r="O22" s="1485"/>
      <c r="P22" s="1482"/>
      <c r="Q22" s="2390">
        <f>'XM.GUI MAIL'!AR94</f>
        <v>6.9300000000000004E-3</v>
      </c>
      <c r="R22" s="66" t="s">
        <v>8</v>
      </c>
      <c r="S22" s="69">
        <f>'XM.GUI MAIL'!AU94</f>
        <v>8.783046357615893</v>
      </c>
      <c r="T22" s="71" t="s">
        <v>10</v>
      </c>
      <c r="U22" s="1514" t="s">
        <v>45</v>
      </c>
      <c r="W22" s="1524">
        <v>10</v>
      </c>
      <c r="X22" s="3171" t="s">
        <v>983</v>
      </c>
      <c r="Y22" s="3172" t="s">
        <v>983</v>
      </c>
      <c r="Z22" s="3172" t="s">
        <v>983</v>
      </c>
      <c r="AA22" s="3173" t="s">
        <v>983</v>
      </c>
      <c r="AB22" s="2171"/>
      <c r="AC22" s="1919" t="s">
        <v>10</v>
      </c>
      <c r="AD22" s="1906"/>
      <c r="AE22" s="1921" t="s">
        <v>6</v>
      </c>
      <c r="AF22" s="2171"/>
      <c r="AG22" s="1919" t="s">
        <v>10</v>
      </c>
      <c r="AH22" s="1906"/>
      <c r="AI22" s="1921" t="s">
        <v>6</v>
      </c>
      <c r="AJ22" s="2171"/>
      <c r="AK22" s="1919" t="s">
        <v>10</v>
      </c>
      <c r="AL22" s="1906"/>
      <c r="AM22" s="1921" t="s">
        <v>6</v>
      </c>
    </row>
    <row r="23" spans="1:39" s="19" customFormat="1" ht="31.5" customHeight="1">
      <c r="A23" s="3116">
        <v>12</v>
      </c>
      <c r="B23" s="2877" t="str">
        <f>'[6]XM.GUI MAIL'!$C$94</f>
        <v>Nồng độ   Cr2O3 （K) 三價鉻 
FINIDIP 124  (49)</v>
      </c>
      <c r="C23" s="2878"/>
      <c r="D23" s="2878"/>
      <c r="E23" s="2879"/>
      <c r="F23" s="2" t="s">
        <v>3</v>
      </c>
      <c r="G23" s="929" t="str">
        <f>'XM.GUI MAIL'!$E$95</f>
        <v>5~8</v>
      </c>
      <c r="H23" s="2427" t="str">
        <f>'XM.GUI MAIL'!$F$95</f>
        <v>(6±0.5)</v>
      </c>
      <c r="I23" s="2398">
        <f>'XM.GUI MAIL'!AD95</f>
        <v>5.9600000000000009</v>
      </c>
      <c r="J23" s="66" t="s">
        <v>8</v>
      </c>
      <c r="K23" s="69">
        <f>'XM.GUI MAIL'!AG95</f>
        <v>1.4976673684210207</v>
      </c>
      <c r="L23" s="71" t="s">
        <v>10</v>
      </c>
      <c r="M23" s="2398"/>
      <c r="N23" s="66"/>
      <c r="O23" s="69"/>
      <c r="P23" s="71"/>
      <c r="Q23" s="2398">
        <f>'XM.GUI MAIL'!AR95</f>
        <v>5.879999999999999</v>
      </c>
      <c r="R23" s="66" t="s">
        <v>8</v>
      </c>
      <c r="S23" s="69">
        <f>'XM.GUI MAIL'!AU95</f>
        <v>4.4930021052631952</v>
      </c>
      <c r="T23" s="71" t="s">
        <v>10</v>
      </c>
      <c r="U23" s="281"/>
      <c r="W23" s="3116">
        <v>11</v>
      </c>
      <c r="X23" s="2877" t="s">
        <v>75</v>
      </c>
      <c r="Y23" s="2878"/>
      <c r="Z23" s="2878"/>
      <c r="AA23" s="2879"/>
      <c r="AB23" s="2171"/>
      <c r="AC23" s="1919" t="s">
        <v>10</v>
      </c>
      <c r="AD23" s="1906"/>
      <c r="AE23" s="1922" t="s">
        <v>3</v>
      </c>
      <c r="AF23" s="2171"/>
      <c r="AG23" s="1919" t="s">
        <v>10</v>
      </c>
      <c r="AH23" s="1906"/>
      <c r="AI23" s="1922" t="s">
        <v>3</v>
      </c>
      <c r="AJ23" s="2171"/>
      <c r="AK23" s="1919" t="s">
        <v>10</v>
      </c>
      <c r="AL23" s="1906"/>
      <c r="AM23" s="1922" t="s">
        <v>3</v>
      </c>
    </row>
    <row r="24" spans="1:39" s="19" customFormat="1" ht="31.5" customHeight="1">
      <c r="A24" s="3117"/>
      <c r="B24" s="3156"/>
      <c r="C24" s="3147"/>
      <c r="D24" s="3147"/>
      <c r="E24" s="3148"/>
      <c r="F24" s="2" t="s">
        <v>5</v>
      </c>
      <c r="G24" s="929" t="str">
        <f>'XM.GUI MAIL'!$E$96</f>
        <v>1.8~2.4</v>
      </c>
      <c r="H24" s="2427" t="str">
        <f>'XM.GUI MAIL'!$F$96</f>
        <v>(2.1±0.1)</v>
      </c>
      <c r="I24" s="1869">
        <f>'XM.GUI MAIL'!AD96</f>
        <v>2</v>
      </c>
      <c r="J24" s="66" t="s">
        <v>8</v>
      </c>
      <c r="K24" s="69">
        <f>'XM.GUI MAIL'!AG96</f>
        <v>0</v>
      </c>
      <c r="L24" s="71" t="s">
        <v>10</v>
      </c>
      <c r="M24" s="1869"/>
      <c r="N24" s="66"/>
      <c r="O24" s="69"/>
      <c r="P24" s="71"/>
      <c r="Q24" s="1869">
        <f>'XM.GUI MAIL'!AR96</f>
        <v>2.0299999999999998</v>
      </c>
      <c r="R24" s="66" t="s">
        <v>8</v>
      </c>
      <c r="S24" s="69">
        <f>'XM.GUI MAIL'!AU96</f>
        <v>0</v>
      </c>
      <c r="T24" s="71"/>
      <c r="U24" s="281"/>
      <c r="W24" s="3117"/>
      <c r="X24" s="2880"/>
      <c r="Y24" s="2881"/>
      <c r="Z24" s="2881"/>
      <c r="AA24" s="2882"/>
      <c r="AB24" s="2172"/>
      <c r="AC24" s="1919"/>
      <c r="AD24" s="1910"/>
      <c r="AE24" s="1853"/>
      <c r="AF24" s="2172"/>
      <c r="AG24" s="1919"/>
      <c r="AH24" s="1910"/>
      <c r="AI24" s="1853"/>
      <c r="AJ24" s="2172"/>
      <c r="AK24" s="1919"/>
      <c r="AL24" s="1910"/>
      <c r="AM24" s="1853"/>
    </row>
    <row r="25" spans="1:39" s="19" customFormat="1" ht="32.25" hidden="1" customHeight="1">
      <c r="A25" s="1240"/>
      <c r="B25" s="3160" t="s">
        <v>1169</v>
      </c>
      <c r="C25" s="3161"/>
      <c r="D25" s="3161"/>
      <c r="E25" s="3162"/>
      <c r="F25" s="660" t="s">
        <v>3</v>
      </c>
      <c r="G25" s="1452" t="str">
        <f>'XM.GUI MAIL'!$E$97</f>
        <v>8~16 %</v>
      </c>
      <c r="H25" s="1452"/>
      <c r="I25" s="1230" t="str">
        <f>'XM.GUI MAIL'!AD97</f>
        <v/>
      </c>
      <c r="J25" s="1241" t="s">
        <v>8</v>
      </c>
      <c r="K25" s="1242" t="str">
        <f>'XM.GUI MAIL'!AG97</f>
        <v/>
      </c>
      <c r="L25" s="1246" t="s">
        <v>10</v>
      </c>
      <c r="M25" s="1230" t="str">
        <f>'XM.GUI MAIL'!AK97</f>
        <v/>
      </c>
      <c r="N25" s="1241" t="s">
        <v>8</v>
      </c>
      <c r="O25" s="1242" t="str">
        <f>'XM.GUI MAIL'!AN97</f>
        <v/>
      </c>
      <c r="P25" s="1246" t="s">
        <v>10</v>
      </c>
      <c r="Q25" s="1230" t="str">
        <f>'XM.GUI MAIL'!AR97</f>
        <v/>
      </c>
      <c r="R25" s="1241" t="s">
        <v>8</v>
      </c>
      <c r="S25" s="1242" t="str">
        <f>'XM.GUI MAIL'!AU97</f>
        <v/>
      </c>
      <c r="T25" s="30"/>
      <c r="U25" s="108"/>
      <c r="W25" s="1240"/>
      <c r="X25" s="3160" t="s">
        <v>1169</v>
      </c>
      <c r="Y25" s="3161"/>
      <c r="Z25" s="3161"/>
      <c r="AA25" s="3162"/>
      <c r="AB25" s="1531"/>
      <c r="AC25" s="1531"/>
      <c r="AD25" s="1531"/>
      <c r="AE25" s="1531"/>
      <c r="AF25" s="1531"/>
      <c r="AG25" s="726"/>
      <c r="AH25" s="726"/>
      <c r="AJ25" s="8"/>
      <c r="AK25" s="8"/>
      <c r="AL25" s="8"/>
    </row>
    <row r="26" spans="1:39" s="19" customFormat="1" ht="32.25" hidden="1" customHeight="1">
      <c r="A26" s="1240"/>
      <c r="B26" s="3163"/>
      <c r="C26" s="3164"/>
      <c r="D26" s="3164"/>
      <c r="E26" s="3165"/>
      <c r="F26" s="660" t="s">
        <v>5</v>
      </c>
      <c r="G26" s="1452" t="str">
        <f>'XM.GUI MAIL'!$E$98</f>
        <v>1.8~2.4</v>
      </c>
      <c r="H26" s="1452"/>
      <c r="I26" s="1247">
        <f>'XM.GUI MAIL'!AD98</f>
        <v>0</v>
      </c>
      <c r="J26" s="1241" t="s">
        <v>8</v>
      </c>
      <c r="K26" s="1244"/>
      <c r="L26" s="1246" t="s">
        <v>10</v>
      </c>
      <c r="M26" s="1247">
        <f>'XM.GUI MAIL'!AK98</f>
        <v>0</v>
      </c>
      <c r="N26" s="1241" t="s">
        <v>8</v>
      </c>
      <c r="O26" s="1244"/>
      <c r="P26" s="1246" t="s">
        <v>10</v>
      </c>
      <c r="Q26" s="1247">
        <f>'XM.GUI MAIL'!AR98</f>
        <v>0</v>
      </c>
      <c r="R26" s="1241" t="s">
        <v>8</v>
      </c>
      <c r="S26" s="1244"/>
      <c r="T26" s="30"/>
      <c r="U26" s="108"/>
      <c r="W26" s="1240"/>
      <c r="X26" s="3163"/>
      <c r="Y26" s="3164"/>
      <c r="Z26" s="3164"/>
      <c r="AA26" s="3165"/>
      <c r="AB26" s="1531"/>
      <c r="AC26" s="1531"/>
      <c r="AD26" s="1531"/>
      <c r="AE26" s="1531"/>
      <c r="AF26" s="1531"/>
      <c r="AG26" s="726"/>
      <c r="AH26" s="726"/>
      <c r="AJ26" s="8"/>
      <c r="AK26" s="8"/>
      <c r="AL26" s="8"/>
    </row>
    <row r="27" spans="1:39" ht="30.75" customHeight="1">
      <c r="A27" s="1518"/>
      <c r="B27" s="260"/>
      <c r="C27" s="261"/>
      <c r="D27" s="261"/>
      <c r="E27" s="261"/>
      <c r="F27" s="261"/>
      <c r="G27" s="2366" t="s">
        <v>2</v>
      </c>
      <c r="H27" s="1022"/>
      <c r="I27" s="263"/>
      <c r="J27" s="261"/>
      <c r="K27" s="261"/>
      <c r="L27" s="261"/>
      <c r="M27" s="261"/>
      <c r="N27" s="261"/>
      <c r="O27" s="261"/>
      <c r="P27" s="261"/>
      <c r="Q27" s="261"/>
      <c r="R27" s="261"/>
      <c r="S27" s="261"/>
      <c r="T27" s="261"/>
      <c r="U27" s="262"/>
      <c r="W27" s="1524"/>
      <c r="X27" s="260"/>
      <c r="Y27" s="261"/>
      <c r="Z27" s="261"/>
      <c r="AA27" s="261"/>
      <c r="AB27" s="261"/>
      <c r="AC27" s="261"/>
      <c r="AD27" s="261"/>
      <c r="AE27" s="261"/>
      <c r="AF27" s="261"/>
      <c r="AG27" s="171"/>
      <c r="AH27" s="171"/>
    </row>
    <row r="28" spans="1:39" ht="56.25" customHeight="1">
      <c r="A28" s="1518" t="s">
        <v>7</v>
      </c>
      <c r="B28" s="3013" t="s">
        <v>21</v>
      </c>
      <c r="C28" s="3014"/>
      <c r="D28" s="3014"/>
      <c r="E28" s="3015"/>
      <c r="F28" s="78" t="s">
        <v>22</v>
      </c>
      <c r="G28" s="1010" t="s">
        <v>1325</v>
      </c>
      <c r="H28" s="2429" t="s">
        <v>1317</v>
      </c>
      <c r="I28" s="3168" t="s">
        <v>24</v>
      </c>
      <c r="J28" s="3169"/>
      <c r="K28" s="3194" t="s">
        <v>25</v>
      </c>
      <c r="L28" s="3169"/>
      <c r="M28" s="3194" t="s">
        <v>24</v>
      </c>
      <c r="N28" s="3169"/>
      <c r="O28" s="3194" t="s">
        <v>25</v>
      </c>
      <c r="P28" s="3169"/>
      <c r="Q28" s="3194" t="s">
        <v>24</v>
      </c>
      <c r="R28" s="3169"/>
      <c r="S28" s="3194" t="s">
        <v>25</v>
      </c>
      <c r="T28" s="3169"/>
      <c r="U28" s="10"/>
      <c r="W28" s="1524" t="s">
        <v>7</v>
      </c>
      <c r="X28" s="3013" t="s">
        <v>21</v>
      </c>
      <c r="Y28" s="3014"/>
      <c r="Z28" s="3014"/>
      <c r="AA28" s="3015"/>
      <c r="AB28" s="3106" t="s">
        <v>1375</v>
      </c>
      <c r="AC28" s="2904"/>
      <c r="AD28" s="2904"/>
      <c r="AE28" s="2905"/>
      <c r="AF28" s="3106" t="s">
        <v>1375</v>
      </c>
      <c r="AG28" s="2904"/>
      <c r="AH28" s="2904"/>
      <c r="AI28" s="2905"/>
      <c r="AJ28" s="3106" t="s">
        <v>1375</v>
      </c>
      <c r="AK28" s="2904"/>
      <c r="AL28" s="2904"/>
      <c r="AM28" s="2905"/>
    </row>
    <row r="29" spans="1:39" ht="35.25" customHeight="1">
      <c r="A29" s="1518">
        <v>1</v>
      </c>
      <c r="B29" s="3013" t="s">
        <v>34</v>
      </c>
      <c r="C29" s="3014"/>
      <c r="D29" s="3014"/>
      <c r="E29" s="3015"/>
      <c r="F29" s="11" t="s">
        <v>26</v>
      </c>
      <c r="G29" s="1045" t="str">
        <f>'XM.GUI MAIL'!$E$104</f>
        <v>50~70</v>
      </c>
      <c r="H29" s="2431" t="str">
        <f>'XM.GUI MAIL'!$F$104</f>
        <v>(60±5)</v>
      </c>
      <c r="I29" s="2934">
        <f>'XM.GUI MAIL'!AD104</f>
        <v>61</v>
      </c>
      <c r="J29" s="2867"/>
      <c r="K29" s="2867">
        <f>'XM.GUI MAIL'!AG104</f>
        <v>60</v>
      </c>
      <c r="L29" s="2867"/>
      <c r="M29" s="2867"/>
      <c r="N29" s="2867"/>
      <c r="O29" s="2867"/>
      <c r="P29" s="2867"/>
      <c r="Q29" s="2867">
        <f>'XM.GUI MAIL'!AR104</f>
        <v>61</v>
      </c>
      <c r="R29" s="2867"/>
      <c r="S29" s="2867">
        <f>'XM.GUI MAIL'!AU104</f>
        <v>60</v>
      </c>
      <c r="T29" s="2867"/>
      <c r="U29" s="1518"/>
      <c r="W29" s="1524">
        <v>1</v>
      </c>
      <c r="X29" s="3013" t="s">
        <v>34</v>
      </c>
      <c r="Y29" s="3014"/>
      <c r="Z29" s="3014"/>
      <c r="AA29" s="3015"/>
      <c r="AB29" s="1597"/>
      <c r="AC29" s="1901"/>
      <c r="AD29" s="1901"/>
      <c r="AE29" s="1598"/>
      <c r="AF29" s="1700"/>
      <c r="AG29" s="1901"/>
      <c r="AH29" s="1901"/>
      <c r="AI29" s="1598"/>
      <c r="AJ29" s="1597"/>
      <c r="AK29" s="1901"/>
      <c r="AL29" s="1901"/>
      <c r="AM29" s="1598"/>
    </row>
    <row r="30" spans="1:39" ht="35.25" customHeight="1">
      <c r="A30" s="1518">
        <v>2</v>
      </c>
      <c r="B30" s="3013" t="s">
        <v>35</v>
      </c>
      <c r="C30" s="3014"/>
      <c r="D30" s="3014"/>
      <c r="E30" s="3015"/>
      <c r="F30" s="11" t="s">
        <v>26</v>
      </c>
      <c r="G30" s="1045" t="str">
        <f>'XM.GUI MAIL'!$E$105</f>
        <v>50~70</v>
      </c>
      <c r="H30" s="2431" t="str">
        <f>'XM.GUI MAIL'!$F$105</f>
        <v>(60±5)</v>
      </c>
      <c r="I30" s="2934">
        <f>'XM.GUI MAIL'!AD105</f>
        <v>61</v>
      </c>
      <c r="J30" s="2867"/>
      <c r="K30" s="2867">
        <f>'XM.GUI MAIL'!AG105</f>
        <v>60</v>
      </c>
      <c r="L30" s="2867"/>
      <c r="M30" s="2867"/>
      <c r="N30" s="2867"/>
      <c r="O30" s="2867"/>
      <c r="P30" s="2867"/>
      <c r="Q30" s="2867">
        <f>'XM.GUI MAIL'!AR105</f>
        <v>61</v>
      </c>
      <c r="R30" s="2867"/>
      <c r="S30" s="2867">
        <f>'XM.GUI MAIL'!AU105</f>
        <v>60</v>
      </c>
      <c r="T30" s="2867"/>
      <c r="U30" s="1518"/>
      <c r="W30" s="1524">
        <v>2</v>
      </c>
      <c r="X30" s="3013" t="s">
        <v>35</v>
      </c>
      <c r="Y30" s="3014"/>
      <c r="Z30" s="3014"/>
      <c r="AA30" s="3015"/>
      <c r="AB30" s="1597"/>
      <c r="AC30" s="1901"/>
      <c r="AD30" s="1901"/>
      <c r="AE30" s="1598"/>
      <c r="AF30" s="1700"/>
      <c r="AG30" s="1901"/>
      <c r="AH30" s="1901"/>
      <c r="AI30" s="1598"/>
      <c r="AJ30" s="1597"/>
      <c r="AK30" s="1901"/>
      <c r="AL30" s="1901"/>
      <c r="AM30" s="1598"/>
    </row>
    <row r="31" spans="1:39" ht="35.25" customHeight="1">
      <c r="A31" s="1518">
        <v>3</v>
      </c>
      <c r="B31" s="3013" t="s">
        <v>27</v>
      </c>
      <c r="C31" s="3014"/>
      <c r="D31" s="3014"/>
      <c r="E31" s="3015"/>
      <c r="F31" s="11" t="s">
        <v>26</v>
      </c>
      <c r="G31" s="1045" t="str">
        <f>'XM.GUI MAIL'!$E$106</f>
        <v>50~70</v>
      </c>
      <c r="H31" s="2431" t="str">
        <f>'XM.GUI MAIL'!$F$106</f>
        <v>(60±5)</v>
      </c>
      <c r="I31" s="2934">
        <f>'XM.GUI MAIL'!AD106</f>
        <v>60</v>
      </c>
      <c r="J31" s="2867"/>
      <c r="K31" s="2867">
        <f>'XM.GUI MAIL'!AG106</f>
        <v>59</v>
      </c>
      <c r="L31" s="2867"/>
      <c r="M31" s="2867"/>
      <c r="N31" s="2867"/>
      <c r="O31" s="2867"/>
      <c r="P31" s="2867"/>
      <c r="Q31" s="2867">
        <f>'XM.GUI MAIL'!AR106</f>
        <v>61</v>
      </c>
      <c r="R31" s="2867"/>
      <c r="S31" s="2867">
        <f>'XM.GUI MAIL'!AU106</f>
        <v>60</v>
      </c>
      <c r="T31" s="2867"/>
      <c r="U31" s="1518"/>
      <c r="W31" s="1524">
        <v>3</v>
      </c>
      <c r="X31" s="3013" t="s">
        <v>27</v>
      </c>
      <c r="Y31" s="3014"/>
      <c r="Z31" s="3014"/>
      <c r="AA31" s="3015"/>
      <c r="AB31" s="1597"/>
      <c r="AC31" s="1901"/>
      <c r="AD31" s="1901"/>
      <c r="AE31" s="1598"/>
      <c r="AF31" s="1700"/>
      <c r="AG31" s="1901"/>
      <c r="AH31" s="1901"/>
      <c r="AI31" s="1598"/>
      <c r="AJ31" s="1597"/>
      <c r="AK31" s="1901"/>
      <c r="AL31" s="1901"/>
      <c r="AM31" s="1598"/>
    </row>
    <row r="32" spans="1:39" ht="35.25" customHeight="1">
      <c r="A32" s="1518">
        <v>4</v>
      </c>
      <c r="B32" s="3013" t="s">
        <v>28</v>
      </c>
      <c r="C32" s="3014"/>
      <c r="D32" s="3014"/>
      <c r="E32" s="3015"/>
      <c r="F32" s="11" t="s">
        <v>26</v>
      </c>
      <c r="G32" s="1045" t="str">
        <f>'XM.GUI MAIL'!$E$107</f>
        <v>50~70</v>
      </c>
      <c r="H32" s="2431" t="str">
        <f>'XM.GUI MAIL'!$F$107</f>
        <v>(60±5)</v>
      </c>
      <c r="I32" s="2934">
        <f>'XM.GUI MAIL'!AD107</f>
        <v>62</v>
      </c>
      <c r="J32" s="2867"/>
      <c r="K32" s="2867">
        <f>'XM.GUI MAIL'!AG107</f>
        <v>61</v>
      </c>
      <c r="L32" s="2867"/>
      <c r="M32" s="2867"/>
      <c r="N32" s="2867"/>
      <c r="O32" s="2867"/>
      <c r="P32" s="2867"/>
      <c r="Q32" s="2867">
        <f>'XM.GUI MAIL'!AR107</f>
        <v>61</v>
      </c>
      <c r="R32" s="2867"/>
      <c r="S32" s="2867">
        <f>'XM.GUI MAIL'!AU107</f>
        <v>60</v>
      </c>
      <c r="T32" s="2867"/>
      <c r="U32" s="1518"/>
      <c r="W32" s="1524">
        <v>4</v>
      </c>
      <c r="X32" s="3013" t="s">
        <v>28</v>
      </c>
      <c r="Y32" s="3014"/>
      <c r="Z32" s="3014"/>
      <c r="AA32" s="3015"/>
      <c r="AB32" s="1597"/>
      <c r="AC32" s="1901"/>
      <c r="AD32" s="1901"/>
      <c r="AE32" s="1598"/>
      <c r="AF32" s="1700"/>
      <c r="AG32" s="1901"/>
      <c r="AH32" s="1901"/>
      <c r="AI32" s="1598"/>
      <c r="AJ32" s="1597"/>
      <c r="AK32" s="1901"/>
      <c r="AL32" s="1901"/>
      <c r="AM32" s="1598"/>
    </row>
    <row r="33" spans="1:39" ht="35.25" customHeight="1">
      <c r="A33" s="1518">
        <v>5</v>
      </c>
      <c r="B33" s="3013" t="s">
        <v>29</v>
      </c>
      <c r="C33" s="3014"/>
      <c r="D33" s="3014"/>
      <c r="E33" s="3015"/>
      <c r="F33" s="11" t="s">
        <v>26</v>
      </c>
      <c r="G33" s="1045" t="str">
        <f>'XM.GUI MAIL'!$E$108</f>
        <v>22~28</v>
      </c>
      <c r="H33" s="2431" t="str">
        <f>'XM.GUI MAIL'!$F$108</f>
        <v>(25±3)</v>
      </c>
      <c r="I33" s="2968">
        <f>'XM.GUI MAIL'!AD108</f>
        <v>26</v>
      </c>
      <c r="J33" s="2969"/>
      <c r="K33" s="2969">
        <f>'XM.GUI MAIL'!AG108</f>
        <v>25</v>
      </c>
      <c r="L33" s="2969"/>
      <c r="M33" s="2969"/>
      <c r="N33" s="2969"/>
      <c r="O33" s="2969"/>
      <c r="P33" s="2969"/>
      <c r="Q33" s="2969">
        <f>'XM.GUI MAIL'!AR108</f>
        <v>26</v>
      </c>
      <c r="R33" s="2969"/>
      <c r="S33" s="2969">
        <f>'XM.GUI MAIL'!AU108</f>
        <v>25</v>
      </c>
      <c r="T33" s="2969"/>
      <c r="U33" s="1518"/>
      <c r="W33" s="1524">
        <v>5</v>
      </c>
      <c r="X33" s="3013" t="s">
        <v>29</v>
      </c>
      <c r="Y33" s="3014"/>
      <c r="Z33" s="3014"/>
      <c r="AA33" s="3015"/>
      <c r="AB33" s="1597"/>
      <c r="AC33" s="1901"/>
      <c r="AD33" s="1901"/>
      <c r="AE33" s="1598"/>
      <c r="AF33" s="1700"/>
      <c r="AG33" s="1901"/>
      <c r="AH33" s="1901"/>
      <c r="AI33" s="1598"/>
      <c r="AJ33" s="1597"/>
      <c r="AK33" s="1901"/>
      <c r="AL33" s="1901"/>
      <c r="AM33" s="1598"/>
    </row>
    <row r="34" spans="1:39" ht="35.25" customHeight="1">
      <c r="A34" s="1518">
        <v>6</v>
      </c>
      <c r="B34" s="3013" t="s">
        <v>1291</v>
      </c>
      <c r="C34" s="3014"/>
      <c r="D34" s="3014"/>
      <c r="E34" s="3015"/>
      <c r="F34" s="11" t="s">
        <v>26</v>
      </c>
      <c r="G34" s="1045" t="str">
        <f>'XM.GUI MAIL'!$E$109</f>
        <v>30~40</v>
      </c>
      <c r="H34" s="2431" t="str">
        <f>'XM.GUI MAIL'!$F$109</f>
        <v>(34±3)</v>
      </c>
      <c r="I34" s="2934">
        <f>'XM.GUI MAIL'!AD109</f>
        <v>34</v>
      </c>
      <c r="J34" s="2867"/>
      <c r="K34" s="2867">
        <f>'XM.GUI MAIL'!AG109</f>
        <v>33</v>
      </c>
      <c r="L34" s="2867"/>
      <c r="M34" s="2867"/>
      <c r="N34" s="2867"/>
      <c r="O34" s="2867"/>
      <c r="P34" s="2867"/>
      <c r="Q34" s="2867">
        <f>'XM.GUI MAIL'!AR109</f>
        <v>34</v>
      </c>
      <c r="R34" s="2867"/>
      <c r="S34" s="2867">
        <f>'XM.GUI MAIL'!AU109</f>
        <v>33</v>
      </c>
      <c r="T34" s="2867"/>
      <c r="U34" s="1518"/>
      <c r="W34" s="1524">
        <v>6</v>
      </c>
      <c r="X34" s="3013" t="s">
        <v>1291</v>
      </c>
      <c r="Y34" s="3014"/>
      <c r="Z34" s="3014"/>
      <c r="AA34" s="3015"/>
      <c r="AB34" s="1597"/>
      <c r="AC34" s="1901"/>
      <c r="AD34" s="1901"/>
      <c r="AE34" s="1598"/>
      <c r="AF34" s="1700"/>
      <c r="AG34" s="1901"/>
      <c r="AH34" s="1901"/>
      <c r="AI34" s="1598"/>
      <c r="AJ34" s="1597"/>
      <c r="AK34" s="1901"/>
      <c r="AL34" s="1901"/>
      <c r="AM34" s="1598"/>
    </row>
    <row r="35" spans="1:39" ht="35.25" customHeight="1">
      <c r="A35" s="1518">
        <v>7</v>
      </c>
      <c r="B35" s="3013" t="s">
        <v>31</v>
      </c>
      <c r="C35" s="3014"/>
      <c r="D35" s="3014"/>
      <c r="E35" s="3015"/>
      <c r="F35" s="11" t="s">
        <v>26</v>
      </c>
      <c r="G35" s="1045" t="str">
        <f>'XM.GUI MAIL'!$E$110</f>
        <v>55~65</v>
      </c>
      <c r="H35" s="2431" t="str">
        <f>'XM.GUI MAIL'!$F$110</f>
        <v>(60±5)</v>
      </c>
      <c r="I35" s="2934">
        <f>'XM.GUI MAIL'!AD110</f>
        <v>61</v>
      </c>
      <c r="J35" s="2867"/>
      <c r="K35" s="2867">
        <f>'XM.GUI MAIL'!AG110</f>
        <v>60</v>
      </c>
      <c r="L35" s="2867"/>
      <c r="M35" s="2867"/>
      <c r="N35" s="2867"/>
      <c r="O35" s="2867"/>
      <c r="P35" s="2867"/>
      <c r="Q35" s="2867">
        <f>'XM.GUI MAIL'!AR110</f>
        <v>59</v>
      </c>
      <c r="R35" s="2867"/>
      <c r="S35" s="2867">
        <f>'XM.GUI MAIL'!AU110</f>
        <v>58</v>
      </c>
      <c r="T35" s="2867"/>
      <c r="U35" s="1518"/>
      <c r="W35" s="1524">
        <v>7</v>
      </c>
      <c r="X35" s="3013" t="s">
        <v>31</v>
      </c>
      <c r="Y35" s="3014"/>
      <c r="Z35" s="3014"/>
      <c r="AA35" s="3015"/>
      <c r="AB35" s="1597"/>
      <c r="AC35" s="1901"/>
      <c r="AD35" s="1901"/>
      <c r="AE35" s="1598"/>
      <c r="AF35" s="1700"/>
      <c r="AG35" s="1901"/>
      <c r="AH35" s="1901"/>
      <c r="AI35" s="1598"/>
      <c r="AJ35" s="1597"/>
      <c r="AK35" s="1901"/>
      <c r="AL35" s="1901"/>
      <c r="AM35" s="1598"/>
    </row>
    <row r="36" spans="1:39" ht="35.25" customHeight="1">
      <c r="A36" s="1518">
        <v>8</v>
      </c>
      <c r="B36" s="3013" t="s">
        <v>32</v>
      </c>
      <c r="C36" s="3014"/>
      <c r="D36" s="3014"/>
      <c r="E36" s="3015"/>
      <c r="F36" s="11" t="s">
        <v>26</v>
      </c>
      <c r="G36" s="1045" t="str">
        <f>'XM.GUI MAIL'!$E$111</f>
        <v>80~100</v>
      </c>
      <c r="H36" s="2431" t="str">
        <f>'XM.GUI MAIL'!$F$111</f>
        <v>(90±5)</v>
      </c>
      <c r="I36" s="3001" t="s">
        <v>48</v>
      </c>
      <c r="J36" s="3008"/>
      <c r="K36" s="2867">
        <f>'XM.GUI MAIL'!AG111</f>
        <v>92</v>
      </c>
      <c r="L36" s="2867"/>
      <c r="M36" s="3008"/>
      <c r="N36" s="3008"/>
      <c r="O36" s="2867"/>
      <c r="P36" s="2867"/>
      <c r="Q36" s="3008" t="s">
        <v>48</v>
      </c>
      <c r="R36" s="3008"/>
      <c r="S36" s="2867">
        <f>'XM.GUI MAIL'!AU111</f>
        <v>92</v>
      </c>
      <c r="T36" s="2867"/>
      <c r="U36" s="1518"/>
      <c r="W36" s="1524">
        <v>8</v>
      </c>
      <c r="X36" s="3013" t="s">
        <v>32</v>
      </c>
      <c r="Y36" s="3014"/>
      <c r="Z36" s="3014"/>
      <c r="AA36" s="3015"/>
      <c r="AB36" s="1597"/>
      <c r="AC36" s="1901"/>
      <c r="AD36" s="1901"/>
      <c r="AE36" s="1598"/>
      <c r="AF36" s="1700"/>
      <c r="AG36" s="1901"/>
      <c r="AH36" s="1901"/>
      <c r="AI36" s="1598"/>
      <c r="AJ36" s="1597"/>
      <c r="AK36" s="1901"/>
      <c r="AL36" s="1901"/>
      <c r="AM36" s="1598"/>
    </row>
    <row r="37" spans="1:39" ht="35.25" customHeight="1">
      <c r="A37" s="2359"/>
      <c r="B37" s="3013" t="s">
        <v>1302</v>
      </c>
      <c r="C37" s="3014"/>
      <c r="D37" s="3014"/>
      <c r="E37" s="3015"/>
      <c r="F37" s="11" t="s">
        <v>26</v>
      </c>
      <c r="G37" s="1045" t="str">
        <f>'XM.GUI MAIL'!$E$112</f>
        <v>40~60</v>
      </c>
      <c r="H37" s="2431" t="str">
        <f>'XM.GUI MAIL'!$F$112</f>
        <v>(50±10)</v>
      </c>
      <c r="I37" s="3003">
        <f>'XM.GUI MAIL'!AD112</f>
        <v>54</v>
      </c>
      <c r="J37" s="3004"/>
      <c r="K37" s="3004">
        <f>'XM.GUI MAIL'!AG112</f>
        <v>53</v>
      </c>
      <c r="L37" s="3004"/>
      <c r="M37" s="3004"/>
      <c r="N37" s="3004"/>
      <c r="O37" s="3004"/>
      <c r="P37" s="3004"/>
      <c r="Q37" s="3004">
        <f>'XM.GUI MAIL'!AR112</f>
        <v>51</v>
      </c>
      <c r="R37" s="3004"/>
      <c r="S37" s="3004">
        <f>'XM.GUI MAIL'!AU112</f>
        <v>50</v>
      </c>
      <c r="T37" s="3004"/>
      <c r="U37" s="927"/>
      <c r="W37" s="2359"/>
      <c r="X37" s="3013" t="s">
        <v>1302</v>
      </c>
      <c r="Y37" s="3014"/>
      <c r="Z37" s="3014"/>
      <c r="AA37" s="3015"/>
      <c r="AB37" s="2360"/>
      <c r="AC37" s="2361"/>
      <c r="AD37" s="2361"/>
      <c r="AE37" s="1598"/>
      <c r="AF37" s="2360"/>
      <c r="AG37" s="2361"/>
      <c r="AH37" s="2361"/>
      <c r="AI37" s="1598"/>
      <c r="AJ37" s="2360"/>
      <c r="AK37" s="2361"/>
      <c r="AL37" s="2361"/>
      <c r="AM37" s="1598"/>
    </row>
    <row r="38" spans="1:39" ht="35.25" customHeight="1">
      <c r="A38" s="2359"/>
      <c r="B38" s="3005" t="s">
        <v>1305</v>
      </c>
      <c r="C38" s="3006"/>
      <c r="D38" s="3006"/>
      <c r="E38" s="3007"/>
      <c r="F38" s="11" t="s">
        <v>26</v>
      </c>
      <c r="G38" s="1045" t="str">
        <f>'XM.GUI MAIL'!$E$113</f>
        <v>50~70</v>
      </c>
      <c r="H38" s="2431" t="str">
        <f>'XM.GUI MAIL'!$F$113</f>
        <v>(60±10)</v>
      </c>
      <c r="I38" s="3003">
        <f>'XM.GUI MAIL'!AD113</f>
        <v>61</v>
      </c>
      <c r="J38" s="3004"/>
      <c r="K38" s="3004">
        <f>'XM.GUI MAIL'!AG113</f>
        <v>60</v>
      </c>
      <c r="L38" s="3004"/>
      <c r="M38" s="3004"/>
      <c r="N38" s="3004"/>
      <c r="O38" s="3004"/>
      <c r="P38" s="3004"/>
      <c r="Q38" s="3004">
        <f>'XM.GUI MAIL'!AR113</f>
        <v>59</v>
      </c>
      <c r="R38" s="3004"/>
      <c r="S38" s="3004">
        <f>'XM.GUI MAIL'!AU113</f>
        <v>58</v>
      </c>
      <c r="T38" s="3004"/>
      <c r="U38" s="927"/>
      <c r="W38" s="2359"/>
      <c r="X38" s="2356"/>
      <c r="Y38" s="2357"/>
      <c r="Z38" s="2357"/>
      <c r="AA38" s="2358"/>
      <c r="AB38" s="2360"/>
      <c r="AC38" s="2361"/>
      <c r="AD38" s="2361"/>
      <c r="AE38" s="1598"/>
      <c r="AF38" s="2360"/>
      <c r="AG38" s="2361"/>
      <c r="AH38" s="2361"/>
      <c r="AI38" s="1598"/>
      <c r="AJ38" s="2360"/>
      <c r="AK38" s="2361"/>
      <c r="AL38" s="2361"/>
      <c r="AM38" s="1598"/>
    </row>
    <row r="39" spans="1:39" ht="35.25" hidden="1" customHeight="1">
      <c r="A39" s="1518">
        <v>9</v>
      </c>
      <c r="B39" s="3013" t="s">
        <v>992</v>
      </c>
      <c r="C39" s="3014"/>
      <c r="D39" s="3014"/>
      <c r="E39" s="3015"/>
      <c r="F39" s="11" t="s">
        <v>26</v>
      </c>
      <c r="G39" s="1045" t="str">
        <f>'XM.GUI MAIL'!$E$114</f>
        <v>20~30</v>
      </c>
      <c r="H39" s="2431" t="str">
        <f>'XM.GUI MAIL'!$F$114</f>
        <v>20~30</v>
      </c>
      <c r="I39" s="3019">
        <f>'XM.GUI MAIL'!AD114</f>
        <v>0</v>
      </c>
      <c r="J39" s="2821"/>
      <c r="K39" s="2823">
        <f>'XM.GUI MAIL'!AG114</f>
        <v>0</v>
      </c>
      <c r="L39" s="2821"/>
      <c r="M39" s="2823">
        <f>'XM.GUI MAIL'!AK113</f>
        <v>0</v>
      </c>
      <c r="N39" s="2821"/>
      <c r="O39" s="2823">
        <f>'XM.GUI MAIL'!AN113</f>
        <v>0</v>
      </c>
      <c r="P39" s="2821"/>
      <c r="Q39" s="2823">
        <f>'XM.GUI MAIL'!AR114</f>
        <v>0</v>
      </c>
      <c r="R39" s="2821"/>
      <c r="S39" s="2823">
        <f>'XM.GUI MAIL'!AU114</f>
        <v>0</v>
      </c>
      <c r="T39" s="2821"/>
      <c r="U39" s="927"/>
      <c r="W39" s="1524">
        <v>9</v>
      </c>
      <c r="X39" s="3013" t="s">
        <v>992</v>
      </c>
      <c r="Y39" s="3014"/>
      <c r="Z39" s="3014"/>
      <c r="AA39" s="3015"/>
      <c r="AB39" s="1597"/>
      <c r="AC39" s="1901"/>
      <c r="AD39" s="1901"/>
      <c r="AE39" s="1598"/>
      <c r="AF39" s="2355"/>
      <c r="AG39" s="2354"/>
      <c r="AH39" s="1918"/>
      <c r="AI39" s="1599"/>
      <c r="AJ39" s="1593"/>
      <c r="AK39" s="1898"/>
      <c r="AL39" s="1898"/>
      <c r="AM39" s="1599"/>
    </row>
    <row r="40" spans="1:39" ht="32.25" hidden="1" customHeight="1">
      <c r="A40" s="1518"/>
      <c r="B40" s="3157" t="s">
        <v>1294</v>
      </c>
      <c r="C40" s="3158"/>
      <c r="D40" s="3158"/>
      <c r="E40" s="3159"/>
      <c r="F40" s="11" t="s">
        <v>26</v>
      </c>
      <c r="G40" s="1045" t="str">
        <f>'XM.GUI MAIL'!$E$115</f>
        <v>35~45</v>
      </c>
      <c r="H40" s="1470"/>
      <c r="I40" s="2831">
        <f>'XM.GUI MAIL'!AD115</f>
        <v>0</v>
      </c>
      <c r="J40" s="2832"/>
      <c r="K40" s="2831">
        <f>'XM.GUI MAIL'!AG115</f>
        <v>0</v>
      </c>
      <c r="L40" s="2832"/>
      <c r="M40" s="2831">
        <f>'XM.GUI MAIL'!AK115</f>
        <v>0</v>
      </c>
      <c r="N40" s="2832"/>
      <c r="O40" s="2831">
        <f>'XM.GUI MAIL'!AM115</f>
        <v>0</v>
      </c>
      <c r="P40" s="2832"/>
      <c r="Q40" s="2831">
        <f>'XM.GUI MAIL'!AR115</f>
        <v>0</v>
      </c>
      <c r="R40" s="2832"/>
      <c r="S40" s="2831">
        <f>'XM.GUI MAIL'!AU115</f>
        <v>0</v>
      </c>
      <c r="T40" s="2832"/>
      <c r="U40" s="927"/>
      <c r="W40" s="1524"/>
      <c r="X40" s="3157" t="s">
        <v>1294</v>
      </c>
      <c r="Y40" s="3158"/>
      <c r="Z40" s="3158"/>
      <c r="AA40" s="3159"/>
      <c r="AB40" s="1531"/>
      <c r="AC40" s="1531"/>
      <c r="AD40" s="1531"/>
      <c r="AE40" s="1531"/>
      <c r="AF40" s="2365"/>
      <c r="AG40" s="726"/>
      <c r="AH40" s="726"/>
    </row>
    <row r="41" spans="1:39" ht="30.75" customHeight="1">
      <c r="A41" s="1518"/>
      <c r="B41" s="260"/>
      <c r="C41" s="261"/>
      <c r="D41" s="261"/>
      <c r="E41" s="261"/>
      <c r="F41" s="261"/>
      <c r="G41" s="2366" t="s">
        <v>225</v>
      </c>
      <c r="H41" s="1022"/>
      <c r="I41" s="263"/>
      <c r="J41" s="261"/>
      <c r="K41" s="261"/>
      <c r="L41" s="261"/>
      <c r="M41" s="261"/>
      <c r="N41" s="261"/>
      <c r="O41" s="261"/>
      <c r="P41" s="261"/>
      <c r="Q41" s="261"/>
      <c r="R41" s="261"/>
      <c r="S41" s="261"/>
      <c r="T41" s="261"/>
      <c r="U41" s="262"/>
      <c r="W41" s="1524"/>
      <c r="X41" s="260"/>
      <c r="Y41" s="261"/>
      <c r="Z41" s="261"/>
      <c r="AA41" s="261"/>
      <c r="AB41" s="261"/>
      <c r="AC41" s="261"/>
      <c r="AD41" s="261"/>
      <c r="AE41" s="261"/>
      <c r="AF41" s="261"/>
      <c r="AG41" s="171"/>
      <c r="AH41" s="171"/>
    </row>
    <row r="42" spans="1:39" ht="36.75" customHeight="1">
      <c r="A42" s="1518" t="s">
        <v>7</v>
      </c>
      <c r="B42" s="3013" t="s">
        <v>33</v>
      </c>
      <c r="C42" s="3014"/>
      <c r="D42" s="3014"/>
      <c r="E42" s="3015"/>
      <c r="F42" s="78" t="s">
        <v>18</v>
      </c>
      <c r="G42" s="1010" t="s">
        <v>1325</v>
      </c>
      <c r="H42" s="2429" t="s">
        <v>1317</v>
      </c>
      <c r="I42" s="3168" t="s">
        <v>143</v>
      </c>
      <c r="J42" s="3168"/>
      <c r="K42" s="3168"/>
      <c r="L42" s="3169"/>
      <c r="M42" s="3194" t="s">
        <v>143</v>
      </c>
      <c r="N42" s="3168"/>
      <c r="O42" s="3168"/>
      <c r="P42" s="3169"/>
      <c r="Q42" s="3194" t="s">
        <v>143</v>
      </c>
      <c r="R42" s="3168"/>
      <c r="S42" s="3168"/>
      <c r="T42" s="3169"/>
      <c r="U42" s="10"/>
      <c r="W42" s="1524" t="s">
        <v>7</v>
      </c>
      <c r="X42" s="3013" t="s">
        <v>33</v>
      </c>
      <c r="Y42" s="3014"/>
      <c r="Z42" s="3014"/>
      <c r="AA42" s="3015"/>
      <c r="AB42" s="3106" t="s">
        <v>1375</v>
      </c>
      <c r="AC42" s="2904"/>
      <c r="AD42" s="2904"/>
      <c r="AE42" s="2905"/>
      <c r="AF42" s="3106" t="s">
        <v>1375</v>
      </c>
      <c r="AG42" s="2904"/>
      <c r="AH42" s="2904"/>
      <c r="AI42" s="2905"/>
      <c r="AJ42" s="3106" t="s">
        <v>1375</v>
      </c>
      <c r="AK42" s="2904"/>
      <c r="AL42" s="2904"/>
      <c r="AM42" s="2905"/>
    </row>
    <row r="43" spans="1:39" ht="36.75" customHeight="1">
      <c r="A43" s="1518">
        <v>1</v>
      </c>
      <c r="B43" s="2991" t="s">
        <v>1123</v>
      </c>
      <c r="C43" s="2992"/>
      <c r="D43" s="2992"/>
      <c r="E43" s="2993"/>
      <c r="F43" s="80" t="s">
        <v>49</v>
      </c>
      <c r="G43" s="1522" t="str">
        <f>'XM.GUI MAIL'!$E$119</f>
        <v>30~50 
(40)</v>
      </c>
      <c r="H43" s="2449" t="str">
        <f>'XM.GUI MAIL'!$F$119</f>
        <v>30~50 
(40)</v>
      </c>
      <c r="I43" s="3088">
        <f>'XM.GUI MAIL'!AD119</f>
        <v>48</v>
      </c>
      <c r="J43" s="3088"/>
      <c r="K43" s="3088"/>
      <c r="L43" s="3088"/>
      <c r="M43" s="3016">
        <f>'XM.GUI MAIL'!AK119</f>
        <v>0</v>
      </c>
      <c r="N43" s="3088"/>
      <c r="O43" s="3088"/>
      <c r="P43" s="3088"/>
      <c r="Q43" s="3016">
        <f>'XM.GUI MAIL'!AR119</f>
        <v>50</v>
      </c>
      <c r="R43" s="3088"/>
      <c r="S43" s="3088"/>
      <c r="T43" s="3088"/>
      <c r="U43" s="1518"/>
      <c r="W43" s="1524">
        <v>1</v>
      </c>
      <c r="X43" s="2991" t="s">
        <v>1123</v>
      </c>
      <c r="Y43" s="2992"/>
      <c r="Z43" s="2992"/>
      <c r="AA43" s="2993"/>
      <c r="AB43" s="1597"/>
      <c r="AC43" s="1901"/>
      <c r="AD43" s="1901"/>
      <c r="AE43" s="1598"/>
      <c r="AF43" s="1700"/>
      <c r="AG43" s="1901"/>
      <c r="AH43" s="1901"/>
      <c r="AI43" s="1598"/>
      <c r="AJ43" s="1597"/>
      <c r="AK43" s="1901"/>
      <c r="AL43" s="1901"/>
      <c r="AM43" s="1598"/>
    </row>
    <row r="44" spans="1:39" ht="36.75" customHeight="1">
      <c r="A44" s="1518">
        <v>2</v>
      </c>
      <c r="B44" s="2991" t="s">
        <v>227</v>
      </c>
      <c r="C44" s="2992"/>
      <c r="D44" s="2992"/>
      <c r="E44" s="2993"/>
      <c r="F44" s="80" t="s">
        <v>49</v>
      </c>
      <c r="G44" s="1522" t="str">
        <f>'XM.GUI MAIL'!$E$120</f>
        <v>160~220
(180)</v>
      </c>
      <c r="H44" s="2449" t="str">
        <f>'XM.GUI MAIL'!$F$120</f>
        <v>160~220
(180)</v>
      </c>
      <c r="I44" s="3088">
        <f>'XM.GUI MAIL'!AD120</f>
        <v>175</v>
      </c>
      <c r="J44" s="3088"/>
      <c r="K44" s="3088"/>
      <c r="L44" s="3088"/>
      <c r="M44" s="3016">
        <f>'XM.GUI MAIL'!AK120</f>
        <v>0</v>
      </c>
      <c r="N44" s="3088"/>
      <c r="O44" s="3088"/>
      <c r="P44" s="3088"/>
      <c r="Q44" s="3016">
        <f>'XM.GUI MAIL'!AR120</f>
        <v>175</v>
      </c>
      <c r="R44" s="3088"/>
      <c r="S44" s="3088"/>
      <c r="T44" s="3088"/>
      <c r="U44" s="1518"/>
      <c r="W44" s="1524">
        <v>2</v>
      </c>
      <c r="X44" s="2991" t="s">
        <v>227</v>
      </c>
      <c r="Y44" s="2992"/>
      <c r="Z44" s="2992"/>
      <c r="AA44" s="2993"/>
      <c r="AB44" s="1593"/>
      <c r="AC44" s="1898"/>
      <c r="AD44" s="1898"/>
      <c r="AE44" s="1599"/>
      <c r="AF44" s="1691"/>
      <c r="AG44" s="1898"/>
      <c r="AH44" s="1898"/>
      <c r="AI44" s="1599"/>
      <c r="AJ44" s="1593"/>
      <c r="AK44" s="1898"/>
      <c r="AL44" s="1898"/>
      <c r="AM44" s="1599"/>
    </row>
    <row r="45" spans="1:39">
      <c r="AF45" s="31"/>
      <c r="AG45" s="31"/>
      <c r="AH45" s="31"/>
      <c r="AI45" s="31"/>
    </row>
    <row r="46" spans="1:39">
      <c r="AF46" s="31"/>
      <c r="AG46" s="31"/>
      <c r="AH46" s="31"/>
      <c r="AI46" s="31"/>
    </row>
  </sheetData>
  <sheetProtection selectLockedCells="1"/>
  <mergeCells count="217">
    <mergeCell ref="AC3:AD3"/>
    <mergeCell ref="H3:I3"/>
    <mergeCell ref="AF4:AI4"/>
    <mergeCell ref="AF28:AI28"/>
    <mergeCell ref="AF42:AI42"/>
    <mergeCell ref="X43:AA43"/>
    <mergeCell ref="X44:AA44"/>
    <mergeCell ref="X40:AA40"/>
    <mergeCell ref="X42:AA42"/>
    <mergeCell ref="X36:AA36"/>
    <mergeCell ref="X39:AA39"/>
    <mergeCell ref="X34:AA34"/>
    <mergeCell ref="X35:AA35"/>
    <mergeCell ref="X32:AA32"/>
    <mergeCell ref="X33:AA33"/>
    <mergeCell ref="X30:AA30"/>
    <mergeCell ref="X31:AA31"/>
    <mergeCell ref="X25:AA26"/>
    <mergeCell ref="X28:AA28"/>
    <mergeCell ref="X29:AA29"/>
    <mergeCell ref="AB4:AE4"/>
    <mergeCell ref="AB5:AC5"/>
    <mergeCell ref="AD5:AE5"/>
    <mergeCell ref="AF5:AG5"/>
    <mergeCell ref="AH5:AI5"/>
    <mergeCell ref="W16:W17"/>
    <mergeCell ref="X16:Z17"/>
    <mergeCell ref="AA16:AA17"/>
    <mergeCell ref="X18:AA18"/>
    <mergeCell ref="X20:AA20"/>
    <mergeCell ref="X21:AA21"/>
    <mergeCell ref="X22:AA22"/>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6:W7"/>
    <mergeCell ref="X6:Y7"/>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A4:A5"/>
    <mergeCell ref="B4:E5"/>
    <mergeCell ref="F4:F5"/>
    <mergeCell ref="G4:G5"/>
    <mergeCell ref="H4:H5"/>
    <mergeCell ref="I4:L4"/>
    <mergeCell ref="M4:P4"/>
    <mergeCell ref="Q4:T4"/>
    <mergeCell ref="A12:A13"/>
    <mergeCell ref="B12:C13"/>
    <mergeCell ref="D12:E12"/>
    <mergeCell ref="D13:E13"/>
    <mergeCell ref="A14:A15"/>
    <mergeCell ref="B14:B15"/>
    <mergeCell ref="C14:E14"/>
    <mergeCell ref="C15:E15"/>
    <mergeCell ref="A8:A9"/>
    <mergeCell ref="B8:C9"/>
    <mergeCell ref="D8:E8"/>
    <mergeCell ref="D9:E9"/>
    <mergeCell ref="A10:A11"/>
    <mergeCell ref="B10:C11"/>
    <mergeCell ref="D10:E10"/>
    <mergeCell ref="D11:E11"/>
    <mergeCell ref="B22:E22"/>
    <mergeCell ref="A23:A24"/>
    <mergeCell ref="B23:E24"/>
    <mergeCell ref="B25:E26"/>
    <mergeCell ref="B28:E28"/>
    <mergeCell ref="I28:J28"/>
    <mergeCell ref="A16:A17"/>
    <mergeCell ref="B16:D17"/>
    <mergeCell ref="E16:E17"/>
    <mergeCell ref="B18:E18"/>
    <mergeCell ref="B20:E20"/>
    <mergeCell ref="B21:E21"/>
    <mergeCell ref="B19:E19"/>
    <mergeCell ref="O31:P31"/>
    <mergeCell ref="Q31:R31"/>
    <mergeCell ref="K28:L28"/>
    <mergeCell ref="M28:N28"/>
    <mergeCell ref="O28:P28"/>
    <mergeCell ref="Q28:R28"/>
    <mergeCell ref="S28:T28"/>
    <mergeCell ref="B29:E29"/>
    <mergeCell ref="I29:J29"/>
    <mergeCell ref="K29:L29"/>
    <mergeCell ref="M29:N29"/>
    <mergeCell ref="O29:P29"/>
    <mergeCell ref="Q29:R29"/>
    <mergeCell ref="S29:T29"/>
    <mergeCell ref="S40:T40"/>
    <mergeCell ref="B39:E39"/>
    <mergeCell ref="I39:J39"/>
    <mergeCell ref="K39:L39"/>
    <mergeCell ref="M39:N39"/>
    <mergeCell ref="O39:P39"/>
    <mergeCell ref="Q39:R39"/>
    <mergeCell ref="S35:T35"/>
    <mergeCell ref="B36:E36"/>
    <mergeCell ref="I36:J36"/>
    <mergeCell ref="K36:L36"/>
    <mergeCell ref="M36:N36"/>
    <mergeCell ref="O36:P36"/>
    <mergeCell ref="Q36:R36"/>
    <mergeCell ref="S36:T36"/>
    <mergeCell ref="B35:E35"/>
    <mergeCell ref="I35:J35"/>
    <mergeCell ref="K35:L35"/>
    <mergeCell ref="M35:N35"/>
    <mergeCell ref="O35:P35"/>
    <mergeCell ref="Q35:R35"/>
    <mergeCell ref="B38:E38"/>
    <mergeCell ref="I38:J38"/>
    <mergeCell ref="K38:L38"/>
    <mergeCell ref="AJ4:AM4"/>
    <mergeCell ref="AB28:AE28"/>
    <mergeCell ref="AJ28:AM28"/>
    <mergeCell ref="AB42:AE42"/>
    <mergeCell ref="AJ42:AM42"/>
    <mergeCell ref="B44:E44"/>
    <mergeCell ref="I44:L44"/>
    <mergeCell ref="M44:P44"/>
    <mergeCell ref="Q44:T44"/>
    <mergeCell ref="B42:E42"/>
    <mergeCell ref="I42:L42"/>
    <mergeCell ref="M42:P42"/>
    <mergeCell ref="Q42:T42"/>
    <mergeCell ref="B43:E43"/>
    <mergeCell ref="I43:L43"/>
    <mergeCell ref="M43:P43"/>
    <mergeCell ref="Q43:T43"/>
    <mergeCell ref="S39:T39"/>
    <mergeCell ref="B40:E40"/>
    <mergeCell ref="I40:J40"/>
    <mergeCell ref="K40:L40"/>
    <mergeCell ref="M40:N40"/>
    <mergeCell ref="O40:P40"/>
    <mergeCell ref="Q40:R40"/>
    <mergeCell ref="M38:N38"/>
    <mergeCell ref="O38:P38"/>
    <mergeCell ref="Q38:R38"/>
    <mergeCell ref="S38:T38"/>
    <mergeCell ref="AJ5:AK5"/>
    <mergeCell ref="AL5:AM5"/>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B30:E30"/>
    <mergeCell ref="X19:AA19"/>
    <mergeCell ref="I37:J37"/>
    <mergeCell ref="K37:L37"/>
    <mergeCell ref="M37:N37"/>
    <mergeCell ref="O37:P37"/>
    <mergeCell ref="Q37:R37"/>
    <mergeCell ref="S37:T37"/>
    <mergeCell ref="B37:E37"/>
    <mergeCell ref="X37:AA37"/>
    <mergeCell ref="I30:J30"/>
    <mergeCell ref="K30:L30"/>
    <mergeCell ref="M30:N30"/>
    <mergeCell ref="O30:P30"/>
    <mergeCell ref="Q30:R30"/>
    <mergeCell ref="S30:T30"/>
    <mergeCell ref="S31:T31"/>
    <mergeCell ref="B32:E32"/>
    <mergeCell ref="I32:J32"/>
    <mergeCell ref="K32:L32"/>
    <mergeCell ref="M32:N32"/>
    <mergeCell ref="O32:P32"/>
    <mergeCell ref="Q32:R32"/>
    <mergeCell ref="S32:T32"/>
    <mergeCell ref="B31:E31"/>
    <mergeCell ref="I31:J31"/>
    <mergeCell ref="K31:L31"/>
    <mergeCell ref="M31:N31"/>
  </mergeCells>
  <conditionalFormatting sqref="I26 Q26 M26">
    <cfRule type="expression" dxfId="1567" priority="1106">
      <formula>I26&lt;1.8</formula>
    </cfRule>
    <cfRule type="expression" dxfId="1566" priority="1107">
      <formula>I26&gt;2.4</formula>
    </cfRule>
  </conditionalFormatting>
  <conditionalFormatting sqref="I25 Q25 M25">
    <cfRule type="expression" dxfId="1565" priority="1104">
      <formula>I25&lt;8</formula>
    </cfRule>
    <cfRule type="expression" dxfId="1564" priority="1105">
      <formula>I25&gt;16</formula>
    </cfRule>
  </conditionalFormatting>
  <conditionalFormatting sqref="I43 M43 Q43">
    <cfRule type="expression" dxfId="1563" priority="1102">
      <formula>I43&lt;30</formula>
    </cfRule>
    <cfRule type="expression" dxfId="1562" priority="1103">
      <formula>I43&gt;50</formula>
    </cfRule>
  </conditionalFormatting>
  <conditionalFormatting sqref="I44 M44">
    <cfRule type="expression" dxfId="1561" priority="1100">
      <formula>I44&lt;160</formula>
    </cfRule>
    <cfRule type="expression" dxfId="1560" priority="1101">
      <formula>I44&gt;220</formula>
    </cfRule>
  </conditionalFormatting>
  <conditionalFormatting sqref="I40 K40 M40 O40 Q40 S40">
    <cfRule type="expression" dxfId="1559" priority="1098">
      <formula>I40&lt;35</formula>
    </cfRule>
    <cfRule type="expression" dxfId="1558" priority="1099">
      <formula>I40&gt;45</formula>
    </cfRule>
  </conditionalFormatting>
  <conditionalFormatting sqref="Q44">
    <cfRule type="expression" dxfId="1557" priority="372">
      <formula>Q44&lt;160</formula>
    </cfRule>
    <cfRule type="expression" dxfId="1556" priority="373">
      <formula>Q44&gt;220</formula>
    </cfRule>
  </conditionalFormatting>
  <conditionalFormatting sqref="I14">
    <cfRule type="expression" dxfId="1555" priority="277" stopIfTrue="1">
      <formula>I14&lt;135</formula>
    </cfRule>
  </conditionalFormatting>
  <conditionalFormatting sqref="I14">
    <cfRule type="expression" dxfId="1554" priority="276" stopIfTrue="1">
      <formula>I14&gt;145</formula>
    </cfRule>
  </conditionalFormatting>
  <conditionalFormatting sqref="I16">
    <cfRule type="cellIs" dxfId="1553" priority="271" operator="between">
      <formula>7.01</formula>
      <formula>8</formula>
    </cfRule>
    <cfRule type="expression" dxfId="1552" priority="272">
      <formula>I16&lt;5</formula>
    </cfRule>
    <cfRule type="expression" dxfId="1551" priority="273">
      <formula>I16&gt;8</formula>
    </cfRule>
  </conditionalFormatting>
  <conditionalFormatting sqref="I21">
    <cfRule type="expression" dxfId="1550" priority="267">
      <formula>I21&lt;10%</formula>
    </cfRule>
    <cfRule type="expression" dxfId="1549" priority="268">
      <formula>I21&gt;20%</formula>
    </cfRule>
  </conditionalFormatting>
  <conditionalFormatting sqref="I10 I12">
    <cfRule type="cellIs" dxfId="1548" priority="263" operator="between">
      <formula>50</formula>
      <formula>54.99</formula>
    </cfRule>
    <cfRule type="cellIs" dxfId="1547" priority="264" operator="between">
      <formula>65.01</formula>
      <formula>70</formula>
    </cfRule>
    <cfRule type="expression" dxfId="1546" priority="265">
      <formula>I10&lt;50</formula>
    </cfRule>
    <cfRule type="expression" dxfId="1545" priority="266">
      <formula>I10&gt;70</formula>
    </cfRule>
  </conditionalFormatting>
  <conditionalFormatting sqref="I6 I8">
    <cfRule type="cellIs" dxfId="1544" priority="259" operator="between">
      <formula>40</formula>
      <formula>44.99</formula>
    </cfRule>
    <cfRule type="cellIs" dxfId="1543" priority="260" operator="between">
      <formula>55.1</formula>
      <formula>60</formula>
    </cfRule>
    <cfRule type="expression" dxfId="1542" priority="261">
      <formula>I6&lt;40</formula>
    </cfRule>
    <cfRule type="expression" dxfId="1541" priority="262">
      <formula>I6&gt;60</formula>
    </cfRule>
  </conditionalFormatting>
  <conditionalFormatting sqref="I18:I20">
    <cfRule type="expression" dxfId="1540" priority="257">
      <formula>I18&lt;40%</formula>
    </cfRule>
    <cfRule type="expression" dxfId="1539" priority="258">
      <formula>I18&gt;50%</formula>
    </cfRule>
  </conditionalFormatting>
  <conditionalFormatting sqref="I22">
    <cfRule type="expression" dxfId="1538" priority="255">
      <formula>I22&lt;0.6%</formula>
    </cfRule>
    <cfRule type="expression" dxfId="1537" priority="256">
      <formula>I22&gt;1.4%</formula>
    </cfRule>
  </conditionalFormatting>
  <conditionalFormatting sqref="M14">
    <cfRule type="expression" dxfId="1536" priority="254" stopIfTrue="1">
      <formula>M14&lt;135</formula>
    </cfRule>
  </conditionalFormatting>
  <conditionalFormatting sqref="M14">
    <cfRule type="expression" dxfId="1535" priority="253" stopIfTrue="1">
      <formula>M14&gt;145</formula>
    </cfRule>
  </conditionalFormatting>
  <conditionalFormatting sqref="M16">
    <cfRule type="cellIs" dxfId="1534" priority="248" operator="between">
      <formula>7.01</formula>
      <formula>8</formula>
    </cfRule>
    <cfRule type="expression" dxfId="1533" priority="249">
      <formula>M16&lt;5</formula>
    </cfRule>
    <cfRule type="expression" dxfId="1532" priority="250">
      <formula>M16&gt;8</formula>
    </cfRule>
  </conditionalFormatting>
  <conditionalFormatting sqref="M21">
    <cfRule type="expression" dxfId="1531" priority="244">
      <formula>M21&lt;10%</formula>
    </cfRule>
    <cfRule type="expression" dxfId="1530" priority="245">
      <formula>M21&gt;20%</formula>
    </cfRule>
  </conditionalFormatting>
  <conditionalFormatting sqref="M10 M12">
    <cfRule type="cellIs" dxfId="1529" priority="240" operator="between">
      <formula>50</formula>
      <formula>54.99</formula>
    </cfRule>
    <cfRule type="cellIs" dxfId="1528" priority="241" operator="between">
      <formula>65.01</formula>
      <formula>70</formula>
    </cfRule>
    <cfRule type="expression" dxfId="1527" priority="242">
      <formula>M10&lt;50</formula>
    </cfRule>
    <cfRule type="expression" dxfId="1526" priority="243">
      <formula>M10&gt;70</formula>
    </cfRule>
  </conditionalFormatting>
  <conditionalFormatting sqref="M6 M8">
    <cfRule type="cellIs" dxfId="1525" priority="236" operator="between">
      <formula>40</formula>
      <formula>44.99</formula>
    </cfRule>
    <cfRule type="cellIs" dxfId="1524" priority="237" operator="between">
      <formula>55.1</formula>
      <formula>60</formula>
    </cfRule>
    <cfRule type="expression" dxfId="1523" priority="238">
      <formula>M6&lt;40</formula>
    </cfRule>
    <cfRule type="expression" dxfId="1522" priority="239">
      <formula>M6&gt;60</formula>
    </cfRule>
  </conditionalFormatting>
  <conditionalFormatting sqref="M18:M20">
    <cfRule type="expression" dxfId="1521" priority="234">
      <formula>M18&lt;40%</formula>
    </cfRule>
    <cfRule type="expression" dxfId="1520" priority="235">
      <formula>M18&gt;50%</formula>
    </cfRule>
  </conditionalFormatting>
  <conditionalFormatting sqref="M22">
    <cfRule type="expression" dxfId="1519" priority="232">
      <formula>M22&lt;0.6%</formula>
    </cfRule>
    <cfRule type="expression" dxfId="1518" priority="233">
      <formula>M22&gt;1.4%</formula>
    </cfRule>
  </conditionalFormatting>
  <conditionalFormatting sqref="Q14">
    <cfRule type="expression" dxfId="1517" priority="231" stopIfTrue="1">
      <formula>Q14&lt;135</formula>
    </cfRule>
  </conditionalFormatting>
  <conditionalFormatting sqref="Q14">
    <cfRule type="expression" dxfId="1516" priority="230" stopIfTrue="1">
      <formula>Q14&gt;145</formula>
    </cfRule>
  </conditionalFormatting>
  <conditionalFormatting sqref="Q16">
    <cfRule type="cellIs" dxfId="1515" priority="225" operator="between">
      <formula>7.01</formula>
      <formula>8</formula>
    </cfRule>
    <cfRule type="expression" dxfId="1514" priority="226">
      <formula>Q16&lt;5</formula>
    </cfRule>
    <cfRule type="expression" dxfId="1513" priority="227">
      <formula>Q16&gt;8</formula>
    </cfRule>
  </conditionalFormatting>
  <conditionalFormatting sqref="Q21">
    <cfRule type="expression" dxfId="1512" priority="221">
      <formula>Q21&lt;10%</formula>
    </cfRule>
    <cfRule type="expression" dxfId="1511" priority="222">
      <formula>Q21&gt;20%</formula>
    </cfRule>
  </conditionalFormatting>
  <conditionalFormatting sqref="Q10 Q12">
    <cfRule type="cellIs" dxfId="1510" priority="217" operator="between">
      <formula>50</formula>
      <formula>54.99</formula>
    </cfRule>
    <cfRule type="cellIs" dxfId="1509" priority="218" operator="between">
      <formula>65.01</formula>
      <formula>70</formula>
    </cfRule>
    <cfRule type="expression" dxfId="1508" priority="219">
      <formula>Q10&lt;50</formula>
    </cfRule>
    <cfRule type="expression" dxfId="1507" priority="220">
      <formula>Q10&gt;70</formula>
    </cfRule>
  </conditionalFormatting>
  <conditionalFormatting sqref="Q6 Q8">
    <cfRule type="cellIs" dxfId="1506" priority="213" operator="between">
      <formula>40</formula>
      <formula>44.99</formula>
    </cfRule>
    <cfRule type="cellIs" dxfId="1505" priority="214" operator="between">
      <formula>55.1</formula>
      <formula>60</formula>
    </cfRule>
    <cfRule type="expression" dxfId="1504" priority="215">
      <formula>Q6&lt;40</formula>
    </cfRule>
    <cfRule type="expression" dxfId="1503" priority="216">
      <formula>Q6&gt;60</formula>
    </cfRule>
  </conditionalFormatting>
  <conditionalFormatting sqref="Q18:Q20">
    <cfRule type="expression" dxfId="1502" priority="211">
      <formula>Q18&lt;40%</formula>
    </cfRule>
    <cfRule type="expression" dxfId="1501" priority="212">
      <formula>Q18&gt;50%</formula>
    </cfRule>
  </conditionalFormatting>
  <conditionalFormatting sqref="Q22">
    <cfRule type="expression" dxfId="1500" priority="209">
      <formula>Q22&lt;0.6%</formula>
    </cfRule>
    <cfRule type="expression" dxfId="1499" priority="210">
      <formula>Q22&gt;1.4%</formula>
    </cfRule>
  </conditionalFormatting>
  <conditionalFormatting sqref="K33:L33">
    <cfRule type="expression" dxfId="1498" priority="207">
      <formula>K33&lt;22</formula>
    </cfRule>
    <cfRule type="expression" dxfId="1497" priority="208">
      <formula>K33&gt;28</formula>
    </cfRule>
  </conditionalFormatting>
  <conditionalFormatting sqref="K29:L31">
    <cfRule type="cellIs" dxfId="1496" priority="203" operator="between">
      <formula>50</formula>
      <formula>54.9</formula>
    </cfRule>
    <cfRule type="cellIs" dxfId="1495" priority="204" operator="between">
      <formula>65.1</formula>
      <formula>70</formula>
    </cfRule>
    <cfRule type="expression" dxfId="1494" priority="205">
      <formula>K29&lt;50</formula>
    </cfRule>
    <cfRule type="expression" dxfId="1493" priority="206">
      <formula>K29&gt;70</formula>
    </cfRule>
  </conditionalFormatting>
  <conditionalFormatting sqref="K34">
    <cfRule type="cellIs" dxfId="1492" priority="199" operator="between">
      <formula>30</formula>
      <formula>30.9</formula>
    </cfRule>
    <cfRule type="cellIs" dxfId="1491" priority="200" operator="between">
      <formula>37.1</formula>
      <formula>40</formula>
    </cfRule>
    <cfRule type="expression" dxfId="1490" priority="201">
      <formula>K34&lt;30</formula>
    </cfRule>
    <cfRule type="expression" dxfId="1489" priority="202">
      <formula>K34&gt;40</formula>
    </cfRule>
  </conditionalFormatting>
  <conditionalFormatting sqref="K35">
    <cfRule type="expression" dxfId="1488" priority="197">
      <formula>K35&lt;55</formula>
    </cfRule>
    <cfRule type="expression" dxfId="1487" priority="198">
      <formula>K35&gt;65</formula>
    </cfRule>
  </conditionalFormatting>
  <conditionalFormatting sqref="K36">
    <cfRule type="cellIs" dxfId="1486" priority="193" operator="between">
      <formula>80</formula>
      <formula>84.9</formula>
    </cfRule>
    <cfRule type="cellIs" dxfId="1485" priority="194" operator="between">
      <formula>95.1</formula>
      <formula>100</formula>
    </cfRule>
    <cfRule type="expression" dxfId="1484" priority="195">
      <formula>K36&lt;80</formula>
    </cfRule>
    <cfRule type="expression" dxfId="1483" priority="196">
      <formula>K36&gt;100</formula>
    </cfRule>
  </conditionalFormatting>
  <conditionalFormatting sqref="K37">
    <cfRule type="expression" dxfId="1482" priority="191">
      <formula>K37&lt;40</formula>
    </cfRule>
    <cfRule type="expression" dxfId="1481" priority="192">
      <formula>K37&gt;60</formula>
    </cfRule>
  </conditionalFormatting>
  <conditionalFormatting sqref="K38">
    <cfRule type="expression" dxfId="1480" priority="189">
      <formula>K38&lt;50</formula>
    </cfRule>
    <cfRule type="expression" dxfId="1479" priority="190">
      <formula>K38&gt;70</formula>
    </cfRule>
  </conditionalFormatting>
  <conditionalFormatting sqref="K32:L32">
    <cfRule type="cellIs" dxfId="1478" priority="185" operator="between">
      <formula>50</formula>
      <formula>54.9</formula>
    </cfRule>
    <cfRule type="cellIs" dxfId="1477" priority="186" operator="between">
      <formula>65.1</formula>
      <formula>70</formula>
    </cfRule>
    <cfRule type="expression" dxfId="1476" priority="187">
      <formula>K32&lt;50</formula>
    </cfRule>
    <cfRule type="expression" dxfId="1475" priority="188">
      <formula>K32&gt;70</formula>
    </cfRule>
  </conditionalFormatting>
  <conditionalFormatting sqref="I33:J33">
    <cfRule type="expression" dxfId="1474" priority="183">
      <formula>I33&lt;22</formula>
    </cfRule>
    <cfRule type="expression" dxfId="1473" priority="184">
      <formula>I33&gt;28</formula>
    </cfRule>
  </conditionalFormatting>
  <conditionalFormatting sqref="I29:J31">
    <cfRule type="cellIs" dxfId="1472" priority="179" operator="between">
      <formula>50</formula>
      <formula>54.9</formula>
    </cfRule>
    <cfRule type="cellIs" dxfId="1471" priority="180" operator="between">
      <formula>65.1</formula>
      <formula>70</formula>
    </cfRule>
    <cfRule type="expression" dxfId="1470" priority="181">
      <formula>I29&lt;50</formula>
    </cfRule>
    <cfRule type="expression" dxfId="1469" priority="182">
      <formula>I29&gt;70</formula>
    </cfRule>
  </conditionalFormatting>
  <conditionalFormatting sqref="I34">
    <cfRule type="cellIs" dxfId="1468" priority="175" operator="between">
      <formula>30</formula>
      <formula>30.9</formula>
    </cfRule>
    <cfRule type="cellIs" dxfId="1467" priority="176" operator="between">
      <formula>37.1</formula>
      <formula>40</formula>
    </cfRule>
    <cfRule type="expression" dxfId="1466" priority="177">
      <formula>I34&lt;30</formula>
    </cfRule>
    <cfRule type="expression" dxfId="1465" priority="178">
      <formula>I34&gt;40</formula>
    </cfRule>
  </conditionalFormatting>
  <conditionalFormatting sqref="I35">
    <cfRule type="expression" dxfId="1464" priority="173">
      <formula>I35&lt;55</formula>
    </cfRule>
    <cfRule type="expression" dxfId="1463" priority="174">
      <formula>I35&gt;65</formula>
    </cfRule>
  </conditionalFormatting>
  <conditionalFormatting sqref="I37">
    <cfRule type="expression" dxfId="1462" priority="171">
      <formula>I37&lt;40</formula>
    </cfRule>
    <cfRule type="expression" dxfId="1461" priority="172">
      <formula>I37&gt;60</formula>
    </cfRule>
  </conditionalFormatting>
  <conditionalFormatting sqref="I38">
    <cfRule type="expression" dxfId="1460" priority="169">
      <formula>I38&lt;50</formula>
    </cfRule>
    <cfRule type="expression" dxfId="1459" priority="170">
      <formula>I38&gt;70</formula>
    </cfRule>
  </conditionalFormatting>
  <conditionalFormatting sqref="I32:J32">
    <cfRule type="cellIs" dxfId="1458" priority="165" operator="between">
      <formula>50</formula>
      <formula>54.9</formula>
    </cfRule>
    <cfRule type="cellIs" dxfId="1457" priority="166" operator="between">
      <formula>65.1</formula>
      <formula>70</formula>
    </cfRule>
    <cfRule type="expression" dxfId="1456" priority="167">
      <formula>I32&lt;50</formula>
    </cfRule>
    <cfRule type="expression" dxfId="1455" priority="168">
      <formula>I32&gt;70</formula>
    </cfRule>
  </conditionalFormatting>
  <conditionalFormatting sqref="O33:P33">
    <cfRule type="expression" dxfId="1454" priority="163">
      <formula>O33&lt;22</formula>
    </cfRule>
    <cfRule type="expression" dxfId="1453" priority="164">
      <formula>O33&gt;28</formula>
    </cfRule>
  </conditionalFormatting>
  <conditionalFormatting sqref="O29:P31">
    <cfRule type="cellIs" dxfId="1452" priority="159" operator="between">
      <formula>50</formula>
      <formula>54.9</formula>
    </cfRule>
    <cfRule type="cellIs" dxfId="1451" priority="160" operator="between">
      <formula>65.1</formula>
      <formula>70</formula>
    </cfRule>
    <cfRule type="expression" dxfId="1450" priority="161">
      <formula>O29&lt;50</formula>
    </cfRule>
    <cfRule type="expression" dxfId="1449" priority="162">
      <formula>O29&gt;70</formula>
    </cfRule>
  </conditionalFormatting>
  <conditionalFormatting sqref="O34">
    <cfRule type="cellIs" dxfId="1448" priority="155" operator="between">
      <formula>30</formula>
      <formula>30.9</formula>
    </cfRule>
    <cfRule type="cellIs" dxfId="1447" priority="156" operator="between">
      <formula>37.1</formula>
      <formula>40</formula>
    </cfRule>
    <cfRule type="expression" dxfId="1446" priority="157">
      <formula>O34&lt;30</formula>
    </cfRule>
    <cfRule type="expression" dxfId="1445" priority="158">
      <formula>O34&gt;40</formula>
    </cfRule>
  </conditionalFormatting>
  <conditionalFormatting sqref="O35">
    <cfRule type="expression" dxfId="1444" priority="153">
      <formula>O35&lt;55</formula>
    </cfRule>
    <cfRule type="expression" dxfId="1443" priority="154">
      <formula>O35&gt;65</formula>
    </cfRule>
  </conditionalFormatting>
  <conditionalFormatting sqref="O36">
    <cfRule type="cellIs" dxfId="1442" priority="149" operator="between">
      <formula>80</formula>
      <formula>84.9</formula>
    </cfRule>
    <cfRule type="cellIs" dxfId="1441" priority="150" operator="between">
      <formula>95.1</formula>
      <formula>100</formula>
    </cfRule>
    <cfRule type="expression" dxfId="1440" priority="151">
      <formula>O36&lt;80</formula>
    </cfRule>
    <cfRule type="expression" dxfId="1439" priority="152">
      <formula>O36&gt;100</formula>
    </cfRule>
  </conditionalFormatting>
  <conditionalFormatting sqref="O37">
    <cfRule type="expression" dxfId="1438" priority="147">
      <formula>O37&lt;40</formula>
    </cfRule>
    <cfRule type="expression" dxfId="1437" priority="148">
      <formula>O37&gt;60</formula>
    </cfRule>
  </conditionalFormatting>
  <conditionalFormatting sqref="O38">
    <cfRule type="expression" dxfId="1436" priority="145">
      <formula>O38&lt;50</formula>
    </cfRule>
    <cfRule type="expression" dxfId="1435" priority="146">
      <formula>O38&gt;70</formula>
    </cfRule>
  </conditionalFormatting>
  <conditionalFormatting sqref="O32:P32">
    <cfRule type="cellIs" dxfId="1434" priority="141" operator="between">
      <formula>50</formula>
      <formula>54.9</formula>
    </cfRule>
    <cfRule type="cellIs" dxfId="1433" priority="142" operator="between">
      <formula>65.1</formula>
      <formula>70</formula>
    </cfRule>
    <cfRule type="expression" dxfId="1432" priority="143">
      <formula>O32&lt;50</formula>
    </cfRule>
    <cfRule type="expression" dxfId="1431" priority="144">
      <formula>O32&gt;70</formula>
    </cfRule>
  </conditionalFormatting>
  <conditionalFormatting sqref="M33:N33">
    <cfRule type="expression" dxfId="1430" priority="139">
      <formula>M33&lt;22</formula>
    </cfRule>
    <cfRule type="expression" dxfId="1429" priority="140">
      <formula>M33&gt;28</formula>
    </cfRule>
  </conditionalFormatting>
  <conditionalFormatting sqref="M29:N31">
    <cfRule type="cellIs" dxfId="1428" priority="135" operator="between">
      <formula>50</formula>
      <formula>54.9</formula>
    </cfRule>
    <cfRule type="cellIs" dxfId="1427" priority="136" operator="between">
      <formula>65.1</formula>
      <formula>70</formula>
    </cfRule>
    <cfRule type="expression" dxfId="1426" priority="137">
      <formula>M29&lt;50</formula>
    </cfRule>
    <cfRule type="expression" dxfId="1425" priority="138">
      <formula>M29&gt;70</formula>
    </cfRule>
  </conditionalFormatting>
  <conditionalFormatting sqref="M34">
    <cfRule type="cellIs" dxfId="1424" priority="131" operator="between">
      <formula>30</formula>
      <formula>30.9</formula>
    </cfRule>
    <cfRule type="cellIs" dxfId="1423" priority="132" operator="between">
      <formula>37.1</formula>
      <formula>40</formula>
    </cfRule>
    <cfRule type="expression" dxfId="1422" priority="133">
      <formula>M34&lt;30</formula>
    </cfRule>
    <cfRule type="expression" dxfId="1421" priority="134">
      <formula>M34&gt;40</formula>
    </cfRule>
  </conditionalFormatting>
  <conditionalFormatting sqref="M35">
    <cfRule type="expression" dxfId="1420" priority="129">
      <formula>M35&lt;55</formula>
    </cfRule>
    <cfRule type="expression" dxfId="1419" priority="130">
      <formula>M35&gt;65</formula>
    </cfRule>
  </conditionalFormatting>
  <conditionalFormatting sqref="M37">
    <cfRule type="expression" dxfId="1418" priority="127">
      <formula>M37&lt;40</formula>
    </cfRule>
    <cfRule type="expression" dxfId="1417" priority="128">
      <formula>M37&gt;60</formula>
    </cfRule>
  </conditionalFormatting>
  <conditionalFormatting sqref="M38">
    <cfRule type="expression" dxfId="1416" priority="125">
      <formula>M38&lt;50</formula>
    </cfRule>
    <cfRule type="expression" dxfId="1415" priority="126">
      <formula>M38&gt;70</formula>
    </cfRule>
  </conditionalFormatting>
  <conditionalFormatting sqref="M32:N32">
    <cfRule type="cellIs" dxfId="1414" priority="121" operator="between">
      <formula>50</formula>
      <formula>54.9</formula>
    </cfRule>
    <cfRule type="cellIs" dxfId="1413" priority="122" operator="between">
      <formula>65.1</formula>
      <formula>70</formula>
    </cfRule>
    <cfRule type="expression" dxfId="1412" priority="123">
      <formula>M32&lt;50</formula>
    </cfRule>
    <cfRule type="expression" dxfId="1411" priority="124">
      <formula>M32&gt;70</formula>
    </cfRule>
  </conditionalFormatting>
  <conditionalFormatting sqref="S33:T33">
    <cfRule type="expression" dxfId="1410" priority="119">
      <formula>S33&lt;22</formula>
    </cfRule>
    <cfRule type="expression" dxfId="1409" priority="120">
      <formula>S33&gt;28</formula>
    </cfRule>
  </conditionalFormatting>
  <conditionalFormatting sqref="S29:T31">
    <cfRule type="cellIs" dxfId="1408" priority="115" operator="between">
      <formula>50</formula>
      <formula>54.9</formula>
    </cfRule>
    <cfRule type="cellIs" dxfId="1407" priority="116" operator="between">
      <formula>65.1</formula>
      <formula>70</formula>
    </cfRule>
    <cfRule type="expression" dxfId="1406" priority="117">
      <formula>S29&lt;50</formula>
    </cfRule>
    <cfRule type="expression" dxfId="1405" priority="118">
      <formula>S29&gt;70</formula>
    </cfRule>
  </conditionalFormatting>
  <conditionalFormatting sqref="S34">
    <cfRule type="cellIs" dxfId="1404" priority="111" operator="between">
      <formula>30</formula>
      <formula>30.9</formula>
    </cfRule>
    <cfRule type="cellIs" dxfId="1403" priority="112" operator="between">
      <formula>37.1</formula>
      <formula>40</formula>
    </cfRule>
    <cfRule type="expression" dxfId="1402" priority="113">
      <formula>S34&lt;30</formula>
    </cfRule>
    <cfRule type="expression" dxfId="1401" priority="114">
      <formula>S34&gt;40</formula>
    </cfRule>
  </conditionalFormatting>
  <conditionalFormatting sqref="S35">
    <cfRule type="expression" dxfId="1400" priority="109">
      <formula>S35&lt;55</formula>
    </cfRule>
    <cfRule type="expression" dxfId="1399" priority="110">
      <formula>S35&gt;65</formula>
    </cfRule>
  </conditionalFormatting>
  <conditionalFormatting sqref="S36">
    <cfRule type="cellIs" dxfId="1398" priority="105" operator="between">
      <formula>80</formula>
      <formula>84.9</formula>
    </cfRule>
    <cfRule type="cellIs" dxfId="1397" priority="106" operator="between">
      <formula>95.1</formula>
      <formula>100</formula>
    </cfRule>
    <cfRule type="expression" dxfId="1396" priority="107">
      <formula>S36&lt;80</formula>
    </cfRule>
    <cfRule type="expression" dxfId="1395" priority="108">
      <formula>S36&gt;100</formula>
    </cfRule>
  </conditionalFormatting>
  <conditionalFormatting sqref="S37">
    <cfRule type="expression" dxfId="1394" priority="103">
      <formula>S37&lt;40</formula>
    </cfRule>
    <cfRule type="expression" dxfId="1393" priority="104">
      <formula>S37&gt;60</formula>
    </cfRule>
  </conditionalFormatting>
  <conditionalFormatting sqref="S38">
    <cfRule type="expression" dxfId="1392" priority="101">
      <formula>S38&lt;50</formula>
    </cfRule>
    <cfRule type="expression" dxfId="1391" priority="102">
      <formula>S38&gt;70</formula>
    </cfRule>
  </conditionalFormatting>
  <conditionalFormatting sqref="S32:T32">
    <cfRule type="cellIs" dxfId="1390" priority="97" operator="between">
      <formula>50</formula>
      <formula>54.9</formula>
    </cfRule>
    <cfRule type="cellIs" dxfId="1389" priority="98" operator="between">
      <formula>65.1</formula>
      <formula>70</formula>
    </cfRule>
    <cfRule type="expression" dxfId="1388" priority="99">
      <formula>S32&lt;50</formula>
    </cfRule>
    <cfRule type="expression" dxfId="1387" priority="100">
      <formula>S32&gt;70</formula>
    </cfRule>
  </conditionalFormatting>
  <conditionalFormatting sqref="Q33:R33">
    <cfRule type="expression" dxfId="1386" priority="95">
      <formula>Q33&lt;22</formula>
    </cfRule>
    <cfRule type="expression" dxfId="1385" priority="96">
      <formula>Q33&gt;28</formula>
    </cfRule>
  </conditionalFormatting>
  <conditionalFormatting sqref="Q29:R31">
    <cfRule type="cellIs" dxfId="1384" priority="91" operator="between">
      <formula>50</formula>
      <formula>54.9</formula>
    </cfRule>
    <cfRule type="cellIs" dxfId="1383" priority="92" operator="between">
      <formula>65.1</formula>
      <formula>70</formula>
    </cfRule>
    <cfRule type="expression" dxfId="1382" priority="93">
      <formula>Q29&lt;50</formula>
    </cfRule>
    <cfRule type="expression" dxfId="1381" priority="94">
      <formula>Q29&gt;70</formula>
    </cfRule>
  </conditionalFormatting>
  <conditionalFormatting sqref="Q34">
    <cfRule type="cellIs" dxfId="1380" priority="87" operator="between">
      <formula>30</formula>
      <formula>30.9</formula>
    </cfRule>
    <cfRule type="cellIs" dxfId="1379" priority="88" operator="between">
      <formula>37.1</formula>
      <formula>40</formula>
    </cfRule>
    <cfRule type="expression" dxfId="1378" priority="89">
      <formula>Q34&lt;30</formula>
    </cfRule>
    <cfRule type="expression" dxfId="1377" priority="90">
      <formula>Q34&gt;40</formula>
    </cfRule>
  </conditionalFormatting>
  <conditionalFormatting sqref="Q35">
    <cfRule type="expression" dxfId="1376" priority="85">
      <formula>Q35&lt;55</formula>
    </cfRule>
    <cfRule type="expression" dxfId="1375" priority="86">
      <formula>Q35&gt;65</formula>
    </cfRule>
  </conditionalFormatting>
  <conditionalFormatting sqref="Q37">
    <cfRule type="expression" dxfId="1374" priority="83">
      <formula>Q37&lt;40</formula>
    </cfRule>
    <cfRule type="expression" dxfId="1373" priority="84">
      <formula>Q37&gt;60</formula>
    </cfRule>
  </conditionalFormatting>
  <conditionalFormatting sqref="Q38">
    <cfRule type="expression" dxfId="1372" priority="81">
      <formula>Q38&lt;50</formula>
    </cfRule>
    <cfRule type="expression" dxfId="1371" priority="82">
      <formula>Q38&gt;70</formula>
    </cfRule>
  </conditionalFormatting>
  <conditionalFormatting sqref="Q32:R32">
    <cfRule type="cellIs" dxfId="1370" priority="77" operator="between">
      <formula>50</formula>
      <formula>54.9</formula>
    </cfRule>
    <cfRule type="cellIs" dxfId="1369" priority="78" operator="between">
      <formula>65.1</formula>
      <formula>70</formula>
    </cfRule>
    <cfRule type="expression" dxfId="1368" priority="79">
      <formula>Q32&lt;50</formula>
    </cfRule>
    <cfRule type="expression" dxfId="1367" priority="80">
      <formula>Q32&gt;70</formula>
    </cfRule>
  </conditionalFormatting>
  <conditionalFormatting sqref="I39 M39 Q39">
    <cfRule type="expression" dxfId="1366" priority="75">
      <formula>I39&lt;20</formula>
    </cfRule>
    <cfRule type="expression" dxfId="1365" priority="76">
      <formula>I39&gt;30</formula>
    </cfRule>
  </conditionalFormatting>
  <conditionalFormatting sqref="K39 O39 S39">
    <cfRule type="expression" dxfId="1364" priority="73">
      <formula>K39&lt;20</formula>
    </cfRule>
    <cfRule type="expression" dxfId="1363" priority="74">
      <formula>K39&gt;30</formula>
    </cfRule>
  </conditionalFormatting>
  <conditionalFormatting sqref="I15">
    <cfRule type="cellIs" dxfId="1362" priority="69" operator="between">
      <formula>7</formula>
      <formula>7.499</formula>
    </cfRule>
    <cfRule type="cellIs" dxfId="1361" priority="70" operator="between">
      <formula>9.51</formula>
      <formula>10</formula>
    </cfRule>
    <cfRule type="expression" dxfId="1360" priority="71">
      <formula>I15&lt;7</formula>
    </cfRule>
    <cfRule type="expression" dxfId="1359" priority="72">
      <formula>I15&gt;10</formula>
    </cfRule>
  </conditionalFormatting>
  <conditionalFormatting sqref="M15">
    <cfRule type="cellIs" dxfId="1358" priority="65" operator="between">
      <formula>7</formula>
      <formula>7.499</formula>
    </cfRule>
    <cfRule type="cellIs" dxfId="1357" priority="66" operator="between">
      <formula>9.51</formula>
      <formula>10</formula>
    </cfRule>
    <cfRule type="expression" dxfId="1356" priority="67">
      <formula>M15&lt;7</formula>
    </cfRule>
    <cfRule type="expression" dxfId="1355" priority="68">
      <formula>M15&gt;10</formula>
    </cfRule>
  </conditionalFormatting>
  <conditionalFormatting sqref="Q15">
    <cfRule type="cellIs" dxfId="1354" priority="61" operator="between">
      <formula>7</formula>
      <formula>7.499</formula>
    </cfRule>
    <cfRule type="cellIs" dxfId="1353" priority="62" operator="between">
      <formula>9.51</formula>
      <formula>10</formula>
    </cfRule>
    <cfRule type="expression" dxfId="1352" priority="63">
      <formula>Q15&lt;7</formula>
    </cfRule>
    <cfRule type="expression" dxfId="1351" priority="64">
      <formula>Q15&gt;10</formula>
    </cfRule>
  </conditionalFormatting>
  <conditionalFormatting sqref="I17">
    <cfRule type="cellIs" dxfId="1350" priority="33" operator="between">
      <formula>2</formula>
      <formula>2.099</formula>
    </cfRule>
    <cfRule type="cellIs" dxfId="1349" priority="34" operator="between">
      <formula>2.31</formula>
      <formula>2.4</formula>
    </cfRule>
    <cfRule type="expression" dxfId="1348" priority="35">
      <formula>I17&lt;2</formula>
    </cfRule>
    <cfRule type="expression" dxfId="1347" priority="36">
      <formula>I17&gt;2.4</formula>
    </cfRule>
  </conditionalFormatting>
  <conditionalFormatting sqref="M17">
    <cfRule type="cellIs" dxfId="1346" priority="29" operator="between">
      <formula>2</formula>
      <formula>2.099</formula>
    </cfRule>
    <cfRule type="cellIs" dxfId="1345" priority="30" operator="between">
      <formula>2.31</formula>
      <formula>2.4</formula>
    </cfRule>
    <cfRule type="expression" dxfId="1344" priority="31">
      <formula>M17&lt;2</formula>
    </cfRule>
    <cfRule type="expression" dxfId="1343" priority="32">
      <formula>M17&gt;2.4</formula>
    </cfRule>
  </conditionalFormatting>
  <conditionalFormatting sqref="Q17">
    <cfRule type="cellIs" dxfId="1342" priority="25" operator="between">
      <formula>2</formula>
      <formula>2.099</formula>
    </cfRule>
    <cfRule type="cellIs" dxfId="1341" priority="26" operator="between">
      <formula>2.31</formula>
      <formula>2.4</formula>
    </cfRule>
    <cfRule type="expression" dxfId="1340" priority="27">
      <formula>Q17&lt;2</formula>
    </cfRule>
    <cfRule type="expression" dxfId="1339" priority="28">
      <formula>Q17&gt;2.4</formula>
    </cfRule>
  </conditionalFormatting>
  <conditionalFormatting sqref="I23">
    <cfRule type="cellIs" dxfId="1338" priority="21" operator="between">
      <formula>5</formula>
      <formula>5.499</formula>
    </cfRule>
    <cfRule type="cellIs" dxfId="1337" priority="22" operator="between">
      <formula>6.51</formula>
      <formula>8</formula>
    </cfRule>
    <cfRule type="expression" dxfId="1336" priority="23">
      <formula>I23&lt;5</formula>
    </cfRule>
    <cfRule type="expression" dxfId="1335" priority="24">
      <formula>I23&gt;8</formula>
    </cfRule>
  </conditionalFormatting>
  <conditionalFormatting sqref="I24">
    <cfRule type="cellIs" dxfId="1334" priority="17" operator="between">
      <formula>1.8</formula>
      <formula>1.999</formula>
    </cfRule>
    <cfRule type="cellIs" dxfId="1333" priority="18" operator="between">
      <formula>2.21</formula>
      <formula>2.4</formula>
    </cfRule>
    <cfRule type="expression" dxfId="1332" priority="19">
      <formula>I24&lt;1.8</formula>
    </cfRule>
    <cfRule type="expression" dxfId="1331" priority="20">
      <formula>I24&gt;2.4</formula>
    </cfRule>
  </conditionalFormatting>
  <conditionalFormatting sqref="M23">
    <cfRule type="cellIs" dxfId="1330" priority="13" operator="between">
      <formula>5</formula>
      <formula>5.499</formula>
    </cfRule>
    <cfRule type="cellIs" dxfId="1329" priority="14" operator="between">
      <formula>6.51</formula>
      <formula>8</formula>
    </cfRule>
    <cfRule type="expression" dxfId="1328" priority="15">
      <formula>M23&lt;5</formula>
    </cfRule>
    <cfRule type="expression" dxfId="1327" priority="16">
      <formula>M23&gt;8</formula>
    </cfRule>
  </conditionalFormatting>
  <conditionalFormatting sqref="M24">
    <cfRule type="cellIs" dxfId="1326" priority="9" operator="between">
      <formula>1.8</formula>
      <formula>1.999</formula>
    </cfRule>
    <cfRule type="cellIs" dxfId="1325" priority="10" operator="between">
      <formula>2.21</formula>
      <formula>2.4</formula>
    </cfRule>
    <cfRule type="expression" dxfId="1324" priority="11">
      <formula>M24&lt;1.8</formula>
    </cfRule>
    <cfRule type="expression" dxfId="1323" priority="12">
      <formula>M24&gt;2.4</formula>
    </cfRule>
  </conditionalFormatting>
  <conditionalFormatting sqref="Q23">
    <cfRule type="cellIs" dxfId="1322" priority="5" operator="between">
      <formula>5</formula>
      <formula>5.499</formula>
    </cfRule>
    <cfRule type="cellIs" dxfId="1321" priority="6" operator="between">
      <formula>6.51</formula>
      <formula>8</formula>
    </cfRule>
    <cfRule type="expression" dxfId="1320" priority="7">
      <formula>Q23&lt;5</formula>
    </cfRule>
    <cfRule type="expression" dxfId="1319" priority="8">
      <formula>Q23&gt;8</formula>
    </cfRule>
  </conditionalFormatting>
  <conditionalFormatting sqref="Q24">
    <cfRule type="cellIs" dxfId="1318" priority="1" operator="between">
      <formula>1.8</formula>
      <formula>1.999</formula>
    </cfRule>
    <cfRule type="cellIs" dxfId="1317" priority="2" operator="between">
      <formula>2.21</formula>
      <formula>2.4</formula>
    </cfRule>
    <cfRule type="expression" dxfId="1316" priority="3">
      <formula>Q24&lt;1.8</formula>
    </cfRule>
    <cfRule type="expression" dxfId="1315" priority="4">
      <formula>Q24&gt;2.4</formula>
    </cfRule>
  </conditionalFormatting>
  <pageMargins left="0.3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6.xml><?xml version="1.0" encoding="utf-8"?>
<worksheet xmlns="http://schemas.openxmlformats.org/spreadsheetml/2006/main" xmlns:r="http://schemas.openxmlformats.org/officeDocument/2006/relationships">
  <sheetPr>
    <tabColor theme="5" tint="0.39997558519241921"/>
  </sheetPr>
  <dimension ref="A1:T21"/>
  <sheetViews>
    <sheetView view="pageBreakPreview" zoomScale="70" zoomScaleNormal="70" zoomScaleSheetLayoutView="70" workbookViewId="0">
      <selection activeCell="S21" sqref="S21"/>
    </sheetView>
  </sheetViews>
  <sheetFormatPr defaultRowHeight="16.5"/>
  <cols>
    <col min="1" max="1" width="5" style="8" customWidth="1"/>
    <col min="2" max="2" width="11.75" style="31" customWidth="1"/>
    <col min="3" max="3" width="5.75" style="31" customWidth="1"/>
    <col min="4" max="4" width="7.375" style="31" customWidth="1"/>
    <col min="5" max="5" width="2.75" style="31" customWidth="1"/>
    <col min="6" max="6" width="8.875" style="7" customWidth="1"/>
    <col min="7" max="8" width="10.125" style="7" customWidth="1"/>
    <col min="9" max="9" width="9.125" style="7" customWidth="1"/>
    <col min="10" max="10" width="3.125" style="7" customWidth="1"/>
    <col min="11" max="11" width="9.25" style="7" customWidth="1"/>
    <col min="12" max="12" width="4" style="7" customWidth="1"/>
    <col min="13" max="13" width="8.375" style="7" customWidth="1"/>
    <col min="14" max="14" width="4.875" style="7" customWidth="1"/>
    <col min="15" max="15" width="7.75" style="7" customWidth="1"/>
    <col min="16" max="16" width="4.75" style="7" customWidth="1"/>
    <col min="17" max="17" width="8.5" style="7" customWidth="1"/>
    <col min="18" max="18" width="4.25" style="7" customWidth="1"/>
    <col min="19" max="19" width="9.25" style="7" customWidth="1"/>
    <col min="20" max="20" width="4.875" style="7" customWidth="1"/>
    <col min="21" max="21" width="14.375" style="8" customWidth="1"/>
    <col min="22" max="16384" width="9" style="8"/>
  </cols>
  <sheetData>
    <row r="1" spans="1:20" ht="28.5" customHeight="1">
      <c r="A1" s="2970" t="s">
        <v>136</v>
      </c>
      <c r="B1" s="2970"/>
      <c r="C1" s="2970"/>
      <c r="D1" s="2970"/>
      <c r="E1" s="2970"/>
      <c r="F1" s="2970"/>
      <c r="G1" s="2970"/>
      <c r="H1" s="2970"/>
      <c r="I1" s="2970"/>
      <c r="J1" s="2970"/>
      <c r="K1" s="2970"/>
      <c r="L1" s="2970"/>
      <c r="M1" s="2970"/>
      <c r="N1" s="2970"/>
      <c r="O1" s="2970"/>
      <c r="P1" s="2970"/>
      <c r="Q1" s="1742"/>
      <c r="R1" s="1742"/>
      <c r="S1" s="1742"/>
      <c r="T1" s="1742"/>
    </row>
    <row r="2" spans="1:20" ht="51.75" customHeight="1">
      <c r="A2" s="3213" t="s">
        <v>1473</v>
      </c>
      <c r="B2" s="3213"/>
      <c r="C2" s="3213"/>
      <c r="D2" s="3213"/>
      <c r="E2" s="3213"/>
      <c r="F2" s="3213"/>
      <c r="G2" s="3213"/>
      <c r="H2" s="3213"/>
      <c r="I2" s="3213"/>
      <c r="J2" s="3213"/>
      <c r="K2" s="3213"/>
      <c r="L2" s="3213"/>
      <c r="M2" s="3213"/>
      <c r="N2" s="3213"/>
      <c r="O2" s="3213"/>
      <c r="P2" s="3214"/>
      <c r="Q2" s="3106" t="s">
        <v>89</v>
      </c>
      <c r="R2" s="2905"/>
      <c r="S2" s="3202" t="s">
        <v>1371</v>
      </c>
      <c r="T2" s="3202"/>
    </row>
    <row r="3" spans="1:20" ht="34.5" customHeight="1">
      <c r="A3" s="9"/>
      <c r="B3" s="3215" t="s">
        <v>1530</v>
      </c>
      <c r="C3" s="3215"/>
      <c r="D3" s="1472"/>
      <c r="E3" s="1472"/>
      <c r="F3" s="1931" t="str">
        <f>MENU!$AC$9</f>
        <v>Thứ 3,</v>
      </c>
      <c r="G3" s="3217" t="str">
        <f>MENU!$AD$9</f>
        <v>2024/01/09</v>
      </c>
      <c r="H3" s="3217"/>
      <c r="I3" s="28"/>
      <c r="J3" s="28"/>
      <c r="K3" s="28"/>
      <c r="L3" s="29"/>
      <c r="M3" s="29"/>
      <c r="N3" s="29"/>
      <c r="O3" s="29"/>
      <c r="P3" s="29"/>
      <c r="Q3" s="3154" t="str">
        <f>'3.XT-C TT(CA2)'!S3</f>
        <v>L.Yen</v>
      </c>
      <c r="R3" s="3155"/>
      <c r="S3" s="3203"/>
      <c r="T3" s="3203"/>
    </row>
    <row r="4" spans="1:20" s="65" customFormat="1" ht="41.25" customHeight="1">
      <c r="A4" s="3170" t="s">
        <v>7</v>
      </c>
      <c r="B4" s="2877" t="s">
        <v>77</v>
      </c>
      <c r="C4" s="2878"/>
      <c r="D4" s="2878"/>
      <c r="E4" s="2879"/>
      <c r="F4" s="3135" t="s">
        <v>125</v>
      </c>
      <c r="G4" s="2922" t="s">
        <v>1325</v>
      </c>
      <c r="H4" s="2920" t="s">
        <v>1317</v>
      </c>
      <c r="I4" s="2937">
        <v>0.80208333333333337</v>
      </c>
      <c r="J4" s="2904"/>
      <c r="K4" s="2904"/>
      <c r="L4" s="2905"/>
      <c r="M4" s="3218">
        <v>0.96875</v>
      </c>
      <c r="N4" s="2904"/>
      <c r="O4" s="2904"/>
      <c r="P4" s="2905"/>
      <c r="Q4" s="2903">
        <v>0.13541666666666666</v>
      </c>
      <c r="R4" s="2904"/>
      <c r="S4" s="2904"/>
      <c r="T4" s="2905"/>
    </row>
    <row r="5" spans="1:20" s="65" customFormat="1" ht="35.25" customHeight="1">
      <c r="A5" s="3170"/>
      <c r="B5" s="2880"/>
      <c r="C5" s="2881"/>
      <c r="D5" s="2881"/>
      <c r="E5" s="2882"/>
      <c r="F5" s="3136"/>
      <c r="G5" s="2923"/>
      <c r="H5" s="2921"/>
      <c r="I5" s="2448" t="s">
        <v>130</v>
      </c>
      <c r="J5" s="2909" t="s">
        <v>1</v>
      </c>
      <c r="K5" s="2910"/>
      <c r="L5" s="2911"/>
      <c r="M5" s="55" t="s">
        <v>130</v>
      </c>
      <c r="N5" s="2909" t="s">
        <v>1</v>
      </c>
      <c r="O5" s="2910"/>
      <c r="P5" s="2911"/>
      <c r="Q5" s="55" t="s">
        <v>130</v>
      </c>
      <c r="R5" s="2909" t="s">
        <v>1</v>
      </c>
      <c r="S5" s="2910"/>
      <c r="T5" s="2911"/>
    </row>
    <row r="6" spans="1:20" ht="36.75" customHeight="1">
      <c r="A6" s="1539">
        <v>1</v>
      </c>
      <c r="B6" s="3205" t="s">
        <v>123</v>
      </c>
      <c r="C6" s="3206"/>
      <c r="D6" s="3199" t="s">
        <v>117</v>
      </c>
      <c r="E6" s="3200"/>
      <c r="F6" s="565" t="s">
        <v>4</v>
      </c>
      <c r="G6" s="929" t="str">
        <f>'XM.GUI MAIL'!$E$99</f>
        <v>5~6</v>
      </c>
      <c r="H6" s="2427" t="str">
        <f>'XM.GUI MAIL'!$F$99</f>
        <v>(5.5± 0.5)</v>
      </c>
      <c r="I6" s="2438">
        <f>'XM.GUI MAIL'!AD99</f>
        <v>5.8500000000000005</v>
      </c>
      <c r="J6" s="845" t="s">
        <v>8</v>
      </c>
      <c r="K6" s="846">
        <f>'XM.GUI MAIL'!AG99</f>
        <v>0</v>
      </c>
      <c r="L6" s="70" t="s">
        <v>9</v>
      </c>
      <c r="M6" s="56"/>
      <c r="N6" s="845"/>
      <c r="O6" s="846"/>
      <c r="P6" s="70"/>
      <c r="Q6" s="56">
        <f>'XM.GUI MAIL'!AR99</f>
        <v>5.8500000000000005</v>
      </c>
      <c r="R6" s="66" t="s">
        <v>8</v>
      </c>
      <c r="S6" s="846">
        <f>'XM.GUI MAIL'!AU99</f>
        <v>0</v>
      </c>
      <c r="T6" s="68" t="s">
        <v>9</v>
      </c>
    </row>
    <row r="7" spans="1:20" ht="36.75" customHeight="1">
      <c r="A7" s="1539">
        <v>2</v>
      </c>
      <c r="B7" s="3207"/>
      <c r="C7" s="3208"/>
      <c r="D7" s="3199" t="s">
        <v>101</v>
      </c>
      <c r="E7" s="3200"/>
      <c r="F7" s="565" t="s">
        <v>4</v>
      </c>
      <c r="G7" s="929" t="str">
        <f>'XM.GUI MAIL'!$E$100</f>
        <v>130~140</v>
      </c>
      <c r="H7" s="2427" t="str">
        <f>'XM.GUI MAIL'!$F$100</f>
        <v>(135 ± 5)</v>
      </c>
      <c r="I7" s="2438">
        <f>'XM.GUI MAIL'!AD100</f>
        <v>133.6</v>
      </c>
      <c r="J7" s="845" t="s">
        <v>8</v>
      </c>
      <c r="K7" s="846">
        <f>'XM.GUI MAIL'!AG100</f>
        <v>11.200000000000045</v>
      </c>
      <c r="L7" s="70" t="s">
        <v>993</v>
      </c>
      <c r="M7" s="56"/>
      <c r="N7" s="845"/>
      <c r="O7" s="846"/>
      <c r="P7" s="70"/>
      <c r="Q7" s="56">
        <f>'XM.GUI MAIL'!AR100</f>
        <v>132.80000000000001</v>
      </c>
      <c r="R7" s="66" t="s">
        <v>8</v>
      </c>
      <c r="S7" s="846">
        <f>'XM.GUI MAIL'!AU100</f>
        <v>17.599999999999909</v>
      </c>
      <c r="T7" s="68" t="s">
        <v>993</v>
      </c>
    </row>
    <row r="8" spans="1:20" ht="36.75" customHeight="1">
      <c r="A8" s="1539">
        <v>3</v>
      </c>
      <c r="B8" s="3194" t="s">
        <v>124</v>
      </c>
      <c r="C8" s="3169"/>
      <c r="D8" s="3199" t="s">
        <v>5</v>
      </c>
      <c r="E8" s="3200"/>
      <c r="F8" s="80" t="s">
        <v>5</v>
      </c>
      <c r="G8" s="929" t="str">
        <f>'XM.GUI MAIL'!$E$101</f>
        <v>3.0-4.5</v>
      </c>
      <c r="H8" s="2427" t="str">
        <f>'XM.GUI MAIL'!$F$101</f>
        <v>(4.3±0.2)</v>
      </c>
      <c r="I8" s="2453">
        <f>'XM.GUI MAIL'!AD101</f>
        <v>4.1500000000000004</v>
      </c>
      <c r="J8" s="845" t="s">
        <v>8</v>
      </c>
      <c r="K8" s="846"/>
      <c r="L8" s="70"/>
      <c r="M8" s="62"/>
      <c r="N8" s="845"/>
      <c r="O8" s="846"/>
      <c r="P8" s="70"/>
      <c r="Q8" s="62">
        <f>'XM.GUI MAIL'!AR101</f>
        <v>4.1100000000000003</v>
      </c>
      <c r="R8" s="66" t="s">
        <v>8</v>
      </c>
      <c r="S8" s="846"/>
      <c r="T8" s="68"/>
    </row>
    <row r="9" spans="1:20" ht="41.25" customHeight="1">
      <c r="A9" s="1692"/>
      <c r="B9" s="3216" t="s">
        <v>138</v>
      </c>
      <c r="C9" s="3216"/>
      <c r="D9" s="3216"/>
      <c r="E9" s="3216"/>
      <c r="F9" s="3216"/>
      <c r="G9" s="3216"/>
      <c r="H9" s="3216"/>
      <c r="I9" s="3216"/>
      <c r="J9" s="3216"/>
      <c r="K9" s="3216"/>
      <c r="L9" s="3216"/>
      <c r="M9" s="3216"/>
      <c r="N9" s="3216"/>
      <c r="O9" s="3216"/>
      <c r="P9" s="3216"/>
      <c r="Q9" s="3216"/>
      <c r="R9" s="3216"/>
      <c r="S9" s="3216"/>
      <c r="T9" s="3216"/>
    </row>
    <row r="10" spans="1:20" ht="47.25" customHeight="1">
      <c r="A10" s="1692" t="s">
        <v>7</v>
      </c>
      <c r="B10" s="3013" t="s">
        <v>21</v>
      </c>
      <c r="C10" s="3014"/>
      <c r="D10" s="3014"/>
      <c r="E10" s="3015"/>
      <c r="F10" s="78" t="s">
        <v>22</v>
      </c>
      <c r="G10" s="1010" t="s">
        <v>1325</v>
      </c>
      <c r="H10" s="2429" t="s">
        <v>1317</v>
      </c>
      <c r="I10" s="3168" t="s">
        <v>24</v>
      </c>
      <c r="J10" s="3169"/>
      <c r="K10" s="3194" t="s">
        <v>25</v>
      </c>
      <c r="L10" s="3169"/>
      <c r="M10" s="3194" t="s">
        <v>24</v>
      </c>
      <c r="N10" s="3169"/>
      <c r="O10" s="3194" t="s">
        <v>25</v>
      </c>
      <c r="P10" s="3169"/>
      <c r="Q10" s="3194" t="s">
        <v>24</v>
      </c>
      <c r="R10" s="3169"/>
      <c r="S10" s="3194" t="s">
        <v>25</v>
      </c>
      <c r="T10" s="3169"/>
    </row>
    <row r="11" spans="1:20" ht="43.5" customHeight="1">
      <c r="A11" s="80">
        <v>4</v>
      </c>
      <c r="B11" s="3194" t="s">
        <v>118</v>
      </c>
      <c r="C11" s="3168"/>
      <c r="D11" s="3168"/>
      <c r="E11" s="3169"/>
      <c r="F11" s="11" t="s">
        <v>26</v>
      </c>
      <c r="G11" s="1045" t="str">
        <f>'XM.GUI MAIL'!$E$116</f>
        <v>24~28</v>
      </c>
      <c r="H11" s="2431" t="str">
        <f>'XM.GUI MAIL'!$F$116</f>
        <v>(26±2)</v>
      </c>
      <c r="I11" s="3088">
        <f>'XM.GUI MAIL'!AD116</f>
        <v>26</v>
      </c>
      <c r="J11" s="3088"/>
      <c r="K11" s="3016">
        <f>'XM.GUI MAIL'!AG116</f>
        <v>25</v>
      </c>
      <c r="L11" s="3088"/>
      <c r="M11" s="3016"/>
      <c r="N11" s="3088"/>
      <c r="O11" s="3016"/>
      <c r="P11" s="3088"/>
      <c r="Q11" s="3016">
        <f>'XM.GUI MAIL'!AR116</f>
        <v>26</v>
      </c>
      <c r="R11" s="3088"/>
      <c r="S11" s="2969">
        <f>'XM.GUI MAIL'!AU116</f>
        <v>25</v>
      </c>
      <c r="T11" s="2969"/>
    </row>
    <row r="12" spans="1:20" ht="43.5" customHeight="1">
      <c r="A12" s="80">
        <v>5</v>
      </c>
      <c r="B12" s="3194" t="s">
        <v>122</v>
      </c>
      <c r="C12" s="3168"/>
      <c r="D12" s="3168"/>
      <c r="E12" s="3169"/>
      <c r="F12" s="11" t="s">
        <v>26</v>
      </c>
      <c r="G12" s="1045" t="str">
        <f>'XM.GUI MAIL'!$E$117</f>
        <v>20~30</v>
      </c>
      <c r="H12" s="2431" t="str">
        <f>'XM.GUI MAIL'!$F$117</f>
        <v>(25±5)</v>
      </c>
      <c r="I12" s="3088">
        <f>'XM.GUI MAIL'!AD117</f>
        <v>29</v>
      </c>
      <c r="J12" s="3088"/>
      <c r="K12" s="3016">
        <f>'XM.GUI MAIL'!AG117</f>
        <v>28</v>
      </c>
      <c r="L12" s="3088"/>
      <c r="M12" s="3016"/>
      <c r="N12" s="3088"/>
      <c r="O12" s="3016"/>
      <c r="P12" s="3088"/>
      <c r="Q12" s="3016">
        <f>'XM.GUI MAIL'!AR117</f>
        <v>28</v>
      </c>
      <c r="R12" s="3088"/>
      <c r="S12" s="2969">
        <f>'XM.GUI MAIL'!AU117</f>
        <v>27</v>
      </c>
      <c r="T12" s="2969"/>
    </row>
    <row r="13" spans="1:20" ht="21" customHeight="1">
      <c r="B13" s="8"/>
      <c r="C13" s="8"/>
      <c r="D13" s="8"/>
      <c r="E13" s="8"/>
      <c r="F13" s="8"/>
      <c r="G13" s="8"/>
      <c r="H13" s="8"/>
      <c r="I13" s="8"/>
      <c r="J13" s="8"/>
      <c r="K13" s="8"/>
      <c r="L13" s="8"/>
      <c r="M13" s="8"/>
      <c r="N13" s="8"/>
      <c r="O13" s="8"/>
      <c r="P13" s="8"/>
      <c r="Q13" s="8"/>
      <c r="R13" s="8"/>
      <c r="S13" s="8"/>
      <c r="T13" s="8"/>
    </row>
    <row r="14" spans="1:20" ht="18" customHeight="1">
      <c r="A14" s="2214"/>
      <c r="B14" s="2215"/>
      <c r="C14" s="2215"/>
      <c r="D14" s="2215"/>
      <c r="E14" s="2215"/>
      <c r="F14" s="2216"/>
      <c r="G14" s="2217"/>
      <c r="H14" s="2217"/>
      <c r="I14" s="2215"/>
      <c r="J14" s="2215"/>
      <c r="K14" s="2215"/>
      <c r="L14" s="2215"/>
      <c r="M14" s="2215"/>
      <c r="N14" s="2215"/>
      <c r="O14" s="2215"/>
      <c r="P14" s="2215"/>
      <c r="Q14" s="2215"/>
      <c r="R14" s="2215"/>
      <c r="S14" s="2215"/>
      <c r="T14" s="2215"/>
    </row>
    <row r="15" spans="1:20" ht="48" customHeight="1">
      <c r="A15" s="3211" t="s">
        <v>1472</v>
      </c>
      <c r="B15" s="3211"/>
      <c r="C15" s="3211"/>
      <c r="D15" s="3211"/>
      <c r="E15" s="3211"/>
      <c r="F15" s="3211"/>
      <c r="G15" s="3211"/>
      <c r="H15" s="3211"/>
      <c r="I15" s="3211"/>
      <c r="J15" s="3211"/>
      <c r="K15" s="3211"/>
      <c r="L15" s="3211"/>
      <c r="M15" s="3211"/>
      <c r="N15" s="3211"/>
      <c r="O15" s="3211"/>
      <c r="P15" s="3211"/>
      <c r="Q15" s="3211"/>
      <c r="R15" s="3211"/>
      <c r="S15" s="3211"/>
      <c r="T15" s="3211"/>
    </row>
    <row r="16" spans="1:20" ht="24" customHeight="1"/>
    <row r="17" spans="1:20" ht="36" customHeight="1">
      <c r="A17" s="3170" t="s">
        <v>7</v>
      </c>
      <c r="B17" s="2877" t="s">
        <v>77</v>
      </c>
      <c r="C17" s="2878"/>
      <c r="D17" s="2878"/>
      <c r="E17" s="2879"/>
      <c r="F17" s="3135" t="s">
        <v>125</v>
      </c>
      <c r="G17" s="2922" t="s">
        <v>1325</v>
      </c>
      <c r="H17" s="3209" t="s">
        <v>1317</v>
      </c>
      <c r="I17" s="2903">
        <v>0.80208333333333337</v>
      </c>
      <c r="J17" s="2904"/>
      <c r="K17" s="2904"/>
      <c r="L17" s="2905"/>
      <c r="M17" s="2903">
        <v>0.96875</v>
      </c>
      <c r="N17" s="2904"/>
      <c r="O17" s="2904"/>
      <c r="P17" s="2905"/>
      <c r="Q17" s="2903">
        <v>0.13541666666666666</v>
      </c>
      <c r="R17" s="2904"/>
      <c r="S17" s="2904"/>
      <c r="T17" s="2905"/>
    </row>
    <row r="18" spans="1:20" ht="60.75" customHeight="1">
      <c r="A18" s="3170"/>
      <c r="B18" s="2880"/>
      <c r="C18" s="2881"/>
      <c r="D18" s="2881"/>
      <c r="E18" s="2882"/>
      <c r="F18" s="3136"/>
      <c r="G18" s="2923"/>
      <c r="H18" s="3210"/>
      <c r="I18" s="3195" t="s">
        <v>1468</v>
      </c>
      <c r="J18" s="3196"/>
      <c r="K18" s="3197" t="s">
        <v>1385</v>
      </c>
      <c r="L18" s="3198"/>
      <c r="M18" s="3195" t="s">
        <v>1468</v>
      </c>
      <c r="N18" s="3196"/>
      <c r="O18" s="3197" t="s">
        <v>1385</v>
      </c>
      <c r="P18" s="3198"/>
      <c r="Q18" s="3195" t="s">
        <v>1468</v>
      </c>
      <c r="R18" s="3196"/>
      <c r="S18" s="3197" t="s">
        <v>1385</v>
      </c>
      <c r="T18" s="3198"/>
    </row>
    <row r="19" spans="1:20" ht="54" customHeight="1">
      <c r="A19" s="1539">
        <v>1</v>
      </c>
      <c r="B19" s="3205" t="s">
        <v>123</v>
      </c>
      <c r="C19" s="3206"/>
      <c r="D19" s="3199" t="s">
        <v>117</v>
      </c>
      <c r="E19" s="3200"/>
      <c r="F19" s="565" t="s">
        <v>4</v>
      </c>
      <c r="G19" s="929" t="str">
        <f>'XM.GUI MAIL'!$E$99</f>
        <v>5~6</v>
      </c>
      <c r="H19" s="929" t="str">
        <f>'XM.GUI MAIL'!$F$99</f>
        <v>(5.5± 0.5)</v>
      </c>
      <c r="I19" s="2173"/>
      <c r="J19" s="1923" t="s">
        <v>9</v>
      </c>
      <c r="K19" s="1924"/>
      <c r="L19" s="1925" t="s">
        <v>4</v>
      </c>
      <c r="M19" s="2173"/>
      <c r="N19" s="1923" t="s">
        <v>9</v>
      </c>
      <c r="O19" s="1924"/>
      <c r="P19" s="1925" t="s">
        <v>4</v>
      </c>
      <c r="Q19" s="2173"/>
      <c r="R19" s="1923" t="s">
        <v>9</v>
      </c>
      <c r="S19" s="1924"/>
      <c r="T19" s="1925" t="s">
        <v>4</v>
      </c>
    </row>
    <row r="20" spans="1:20" ht="54" customHeight="1">
      <c r="A20" s="1539">
        <v>2</v>
      </c>
      <c r="B20" s="3207"/>
      <c r="C20" s="3208"/>
      <c r="D20" s="3199" t="s">
        <v>101</v>
      </c>
      <c r="E20" s="3200"/>
      <c r="F20" s="565" t="s">
        <v>4</v>
      </c>
      <c r="G20" s="929" t="str">
        <f>'XM.GUI MAIL'!$E$100</f>
        <v>130~140</v>
      </c>
      <c r="H20" s="929" t="str">
        <f>'XM.GUI MAIL'!$F$100</f>
        <v>(135 ± 5)</v>
      </c>
      <c r="I20" s="2173"/>
      <c r="J20" s="1923" t="s">
        <v>989</v>
      </c>
      <c r="K20" s="1924"/>
      <c r="L20" s="1925" t="s">
        <v>4</v>
      </c>
      <c r="M20" s="2173"/>
      <c r="N20" s="1923" t="s">
        <v>989</v>
      </c>
      <c r="O20" s="1924"/>
      <c r="P20" s="1925" t="s">
        <v>4</v>
      </c>
      <c r="Q20" s="2173">
        <v>15</v>
      </c>
      <c r="R20" s="1923" t="s">
        <v>989</v>
      </c>
      <c r="S20" s="1924">
        <v>134</v>
      </c>
      <c r="T20" s="1925" t="s">
        <v>4</v>
      </c>
    </row>
    <row r="21" spans="1:20" ht="54" customHeight="1">
      <c r="A21" s="1539">
        <v>3</v>
      </c>
      <c r="B21" s="3194" t="s">
        <v>124</v>
      </c>
      <c r="C21" s="3169"/>
      <c r="D21" s="3199" t="s">
        <v>5</v>
      </c>
      <c r="E21" s="3200"/>
      <c r="F21" s="80" t="s">
        <v>5</v>
      </c>
      <c r="G21" s="929" t="str">
        <f>'XM.GUI MAIL'!$E$101</f>
        <v>3.0-4.5</v>
      </c>
      <c r="H21" s="929" t="str">
        <f>'XM.GUI MAIL'!$F$101</f>
        <v>(4.3±0.2)</v>
      </c>
      <c r="I21" s="2173"/>
      <c r="J21" s="1924"/>
      <c r="K21" s="1924"/>
      <c r="L21" s="1921" t="s">
        <v>5</v>
      </c>
      <c r="M21" s="2173"/>
      <c r="N21" s="1924"/>
      <c r="O21" s="1924"/>
      <c r="P21" s="1921" t="s">
        <v>5</v>
      </c>
      <c r="Q21" s="2173"/>
      <c r="R21" s="1924"/>
      <c r="S21" s="1924"/>
      <c r="T21" s="1921" t="s">
        <v>5</v>
      </c>
    </row>
  </sheetData>
  <sheetProtection selectLockedCells="1"/>
  <mergeCells count="66">
    <mergeCell ref="M17:P17"/>
    <mergeCell ref="M18:N18"/>
    <mergeCell ref="O18:P18"/>
    <mergeCell ref="A1:P1"/>
    <mergeCell ref="D20:E20"/>
    <mergeCell ref="B19:C20"/>
    <mergeCell ref="D19:E19"/>
    <mergeCell ref="A15:T15"/>
    <mergeCell ref="A17:A18"/>
    <mergeCell ref="B17:E18"/>
    <mergeCell ref="F17:F18"/>
    <mergeCell ref="G17:G18"/>
    <mergeCell ref="H17:H18"/>
    <mergeCell ref="I17:L17"/>
    <mergeCell ref="Q17:T17"/>
    <mergeCell ref="I18:J18"/>
    <mergeCell ref="B21:C21"/>
    <mergeCell ref="D21:E21"/>
    <mergeCell ref="A4:A5"/>
    <mergeCell ref="B4:E5"/>
    <mergeCell ref="B9:T9"/>
    <mergeCell ref="B10:E10"/>
    <mergeCell ref="I10:J10"/>
    <mergeCell ref="K10:L10"/>
    <mergeCell ref="Q10:R10"/>
    <mergeCell ref="S10:T10"/>
    <mergeCell ref="B6:C7"/>
    <mergeCell ref="D6:E6"/>
    <mergeCell ref="F4:F5"/>
    <mergeCell ref="K18:L18"/>
    <mergeCell ref="Q18:R18"/>
    <mergeCell ref="S18:T18"/>
    <mergeCell ref="M10:N10"/>
    <mergeCell ref="O10:P10"/>
    <mergeCell ref="Q2:R2"/>
    <mergeCell ref="S2:T2"/>
    <mergeCell ref="Q3:R3"/>
    <mergeCell ref="S3:T3"/>
    <mergeCell ref="Q4:T4"/>
    <mergeCell ref="R5:T5"/>
    <mergeCell ref="M4:P4"/>
    <mergeCell ref="N5:P5"/>
    <mergeCell ref="G3:H3"/>
    <mergeCell ref="B3:C3"/>
    <mergeCell ref="A2:P2"/>
    <mergeCell ref="D7:E7"/>
    <mergeCell ref="B8:C8"/>
    <mergeCell ref="D8:E8"/>
    <mergeCell ref="G4:G5"/>
    <mergeCell ref="H4:H5"/>
    <mergeCell ref="I4:L4"/>
    <mergeCell ref="J5:L5"/>
    <mergeCell ref="B11:E11"/>
    <mergeCell ref="I11:J11"/>
    <mergeCell ref="K11:L11"/>
    <mergeCell ref="Q11:R11"/>
    <mergeCell ref="S11:T11"/>
    <mergeCell ref="M11:N11"/>
    <mergeCell ref="O11:P11"/>
    <mergeCell ref="S12:T12"/>
    <mergeCell ref="M12:N12"/>
    <mergeCell ref="O12:P12"/>
    <mergeCell ref="B12:E12"/>
    <mergeCell ref="I12:J12"/>
    <mergeCell ref="K12:L12"/>
    <mergeCell ref="Q12:R12"/>
  </mergeCells>
  <conditionalFormatting sqref="I6 Q6 M6">
    <cfRule type="expression" dxfId="1314" priority="59" stopIfTrue="1">
      <formula>I6&gt;6</formula>
    </cfRule>
    <cfRule type="expression" dxfId="1313" priority="60" stopIfTrue="1">
      <formula>I6&lt;5</formula>
    </cfRule>
  </conditionalFormatting>
  <conditionalFormatting sqref="I7 Q7 M7">
    <cfRule type="expression" dxfId="1312" priority="57" stopIfTrue="1">
      <formula>I7&gt;140</formula>
    </cfRule>
    <cfRule type="expression" dxfId="1311" priority="58" stopIfTrue="1">
      <formula>I7&lt;130</formula>
    </cfRule>
  </conditionalFormatting>
  <conditionalFormatting sqref="I8 Q8 M8">
    <cfRule type="expression" dxfId="1310" priority="55" stopIfTrue="1">
      <formula>I8&gt;4.5</formula>
    </cfRule>
    <cfRule type="expression" dxfId="1309" priority="56" stopIfTrue="1">
      <formula>I8&lt;3</formula>
    </cfRule>
  </conditionalFormatting>
  <conditionalFormatting sqref="I12 K12 Q12 S12">
    <cfRule type="expression" dxfId="1308" priority="53">
      <formula>I12&lt;20</formula>
    </cfRule>
    <cfRule type="expression" dxfId="1307" priority="54">
      <formula>I12&gt;30</formula>
    </cfRule>
  </conditionalFormatting>
  <conditionalFormatting sqref="I11 K11 Q11 S11 M11 O11">
    <cfRule type="expression" dxfId="1306" priority="51">
      <formula>I11&lt;24</formula>
    </cfRule>
    <cfRule type="expression" dxfId="1305" priority="52">
      <formula>I11&gt;28</formula>
    </cfRule>
  </conditionalFormatting>
  <conditionalFormatting sqref="K12 Q12 S12 I12">
    <cfRule type="expression" dxfId="1304" priority="41">
      <formula>I12&lt;20</formula>
    </cfRule>
    <cfRule type="expression" dxfId="1303" priority="42">
      <formula>I12&gt;30</formula>
    </cfRule>
  </conditionalFormatting>
  <conditionalFormatting sqref="M12 O12">
    <cfRule type="expression" dxfId="1302" priority="11">
      <formula>M12&lt;20</formula>
    </cfRule>
    <cfRule type="expression" dxfId="1301" priority="12">
      <formula>M12&gt;30</formula>
    </cfRule>
  </conditionalFormatting>
  <conditionalFormatting sqref="O12 M12">
    <cfRule type="expression" dxfId="1300" priority="5">
      <formula>M12&lt;20</formula>
    </cfRule>
    <cfRule type="expression" dxfId="1299" priority="6">
      <formula>M12&gt;30</formula>
    </cfRule>
  </conditionalFormatting>
  <pageMargins left="0.52" right="0" top="0.39"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7.xml><?xml version="1.0" encoding="utf-8"?>
<worksheet xmlns="http://schemas.openxmlformats.org/spreadsheetml/2006/main" xmlns:r="http://schemas.openxmlformats.org/officeDocument/2006/relationships">
  <sheetPr codeName="Sheet14">
    <tabColor rgb="FFFFC000"/>
  </sheetPr>
  <dimension ref="A1:K224"/>
  <sheetViews>
    <sheetView workbookViewId="0">
      <selection activeCell="D5" sqref="D5:I224"/>
    </sheetView>
  </sheetViews>
  <sheetFormatPr defaultColWidth="16" defaultRowHeight="21.75" customHeight="1"/>
  <cols>
    <col min="1" max="1" width="7.875" customWidth="1"/>
    <col min="2" max="2" width="18.5" customWidth="1"/>
    <col min="3" max="3" width="19" customWidth="1"/>
    <col min="4" max="9" width="9.625" customWidth="1"/>
  </cols>
  <sheetData>
    <row r="1" spans="1:9" ht="30" customHeight="1">
      <c r="A1" s="2492" t="str">
        <f>MENU!$AC$9</f>
        <v>Thứ 3,</v>
      </c>
      <c r="B1" s="2175" t="str">
        <f>MENU!$AD$9</f>
        <v>2024/01/09</v>
      </c>
      <c r="C1" s="2137"/>
      <c r="D1" s="2137"/>
      <c r="E1" s="2137"/>
    </row>
    <row r="2" spans="1:9" ht="26.25" customHeight="1"/>
    <row r="3" spans="1:9" ht="36" customHeight="1">
      <c r="A3" s="162"/>
      <c r="B3" s="259" t="s">
        <v>216</v>
      </c>
      <c r="C3" s="163"/>
      <c r="D3" s="147" t="s">
        <v>156</v>
      </c>
      <c r="E3" s="148"/>
      <c r="F3" s="148"/>
      <c r="G3" s="148"/>
      <c r="H3" s="148"/>
      <c r="I3" s="149"/>
    </row>
    <row r="4" spans="1:9" ht="21.75" customHeight="1" thickBot="1">
      <c r="A4" s="183"/>
      <c r="B4" s="163"/>
      <c r="C4" s="184"/>
      <c r="D4" s="158">
        <v>0.25</v>
      </c>
      <c r="E4" s="158">
        <v>0.41666666666666669</v>
      </c>
      <c r="F4" s="158">
        <v>0.58333333333333337</v>
      </c>
      <c r="G4" s="158">
        <v>0.75</v>
      </c>
      <c r="H4" s="158">
        <v>0.91666666666666663</v>
      </c>
      <c r="I4" s="159">
        <v>8.3333333333333329E-2</v>
      </c>
    </row>
    <row r="5" spans="1:9" ht="27" customHeight="1">
      <c r="A5" s="3220">
        <v>1</v>
      </c>
      <c r="B5" s="3222" t="s">
        <v>132</v>
      </c>
      <c r="C5" s="182" t="s">
        <v>101</v>
      </c>
      <c r="D5" s="186">
        <f>'1. XL-1E kh'!I6</f>
        <v>0</v>
      </c>
      <c r="E5" s="187">
        <f>'1. XL-1E kh'!Q6</f>
        <v>0</v>
      </c>
      <c r="F5" s="187">
        <f>'1. XL-1E kh'!Y6</f>
        <v>0</v>
      </c>
      <c r="G5" s="187">
        <f>'1. XL-1E kh'!I46</f>
        <v>0</v>
      </c>
      <c r="H5" s="187">
        <f>'1. XL-1E kh'!Q46</f>
        <v>0</v>
      </c>
      <c r="I5" s="188">
        <f>'1. XL-1E kh'!Y46</f>
        <v>0</v>
      </c>
    </row>
    <row r="6" spans="1:9" ht="21.75" hidden="1" customHeight="1">
      <c r="A6" s="3221"/>
      <c r="B6" s="3223"/>
      <c r="C6" s="185" t="s">
        <v>129</v>
      </c>
      <c r="D6" s="189">
        <f>'1. XL-1E kh'!I8</f>
        <v>0</v>
      </c>
      <c r="E6" s="140">
        <f>'1. XL-1E kh'!Q8</f>
        <v>0</v>
      </c>
      <c r="F6" s="140">
        <f>'1. XL-1E kh'!Y8</f>
        <v>0</v>
      </c>
      <c r="G6" s="140">
        <f>'1. XL-1E kh'!I48</f>
        <v>0</v>
      </c>
      <c r="H6" s="140">
        <f>'1. XL-1E kh'!Q48</f>
        <v>0</v>
      </c>
      <c r="I6" s="190">
        <f>'1. XL-1E kh'!Y48</f>
        <v>0</v>
      </c>
    </row>
    <row r="7" spans="1:9" ht="21.75" hidden="1" customHeight="1">
      <c r="A7" s="3120">
        <v>2</v>
      </c>
      <c r="B7" s="3224" t="s">
        <v>146</v>
      </c>
      <c r="C7" s="165" t="s">
        <v>101</v>
      </c>
      <c r="D7" s="191">
        <f>'1. XL-1E kh'!I9</f>
        <v>0</v>
      </c>
      <c r="E7" s="139">
        <f>'1. XL-1E kh'!Q9</f>
        <v>0</v>
      </c>
      <c r="F7" s="139">
        <f>'1. XL-1E kh'!Y9</f>
        <v>0</v>
      </c>
      <c r="G7" s="139">
        <f>'1. XL-1E kh'!I49</f>
        <v>0</v>
      </c>
      <c r="H7" s="139">
        <f>'1. XL-1E kh'!Q49</f>
        <v>0</v>
      </c>
      <c r="I7" s="192">
        <f>'1. XL-1E kh'!Y49</f>
        <v>0</v>
      </c>
    </row>
    <row r="8" spans="1:9" ht="21.75" hidden="1" customHeight="1">
      <c r="A8" s="3119"/>
      <c r="B8" s="3225"/>
      <c r="C8" s="142" t="s">
        <v>129</v>
      </c>
      <c r="D8" s="191">
        <f>'1. XL-1E kh'!I11</f>
        <v>0</v>
      </c>
      <c r="E8" s="139">
        <f>'1. XL-1E kh'!Q11</f>
        <v>0</v>
      </c>
      <c r="F8" s="139">
        <f>'1. XL-1E kh'!Y11</f>
        <v>0</v>
      </c>
      <c r="G8" s="139">
        <f>'1. XL-1E kh'!I51</f>
        <v>0</v>
      </c>
      <c r="H8" s="139">
        <f>'1. XL-1E kh'!Q51</f>
        <v>0</v>
      </c>
      <c r="I8" s="192">
        <f>'1. XL-1E kh'!Y51</f>
        <v>0</v>
      </c>
    </row>
    <row r="9" spans="1:9" ht="21.75" hidden="1" customHeight="1">
      <c r="A9" s="3118">
        <v>3</v>
      </c>
      <c r="B9" s="3229" t="s">
        <v>144</v>
      </c>
      <c r="C9" s="141" t="s">
        <v>101</v>
      </c>
      <c r="D9" s="191">
        <f>'1. XL-1E kh'!I12</f>
        <v>0</v>
      </c>
      <c r="E9" s="139">
        <f>'1. XL-1E kh'!Q12</f>
        <v>0</v>
      </c>
      <c r="F9" s="139">
        <f>'1. XL-1E kh'!Y12</f>
        <v>0</v>
      </c>
      <c r="G9" s="139">
        <f>'1. XL-1E kh'!I52</f>
        <v>0</v>
      </c>
      <c r="H9" s="139">
        <f>'1. XL-1E kh'!Q52</f>
        <v>0</v>
      </c>
      <c r="I9" s="192">
        <f>'1. XL-1E kh'!Y52</f>
        <v>0</v>
      </c>
    </row>
    <row r="10" spans="1:9" ht="21.75" hidden="1" customHeight="1">
      <c r="A10" s="3119"/>
      <c r="B10" s="3225"/>
      <c r="C10" s="142" t="s">
        <v>129</v>
      </c>
      <c r="D10" s="191">
        <f>'1. XL-1E kh'!I13</f>
        <v>0</v>
      </c>
      <c r="E10" s="139">
        <f>'1. XL-1E kh'!Q13</f>
        <v>0</v>
      </c>
      <c r="F10" s="139">
        <f>'1. XL-1E kh'!Y13</f>
        <v>0</v>
      </c>
      <c r="G10" s="139">
        <f>'1. XL-1E kh'!I53</f>
        <v>0</v>
      </c>
      <c r="H10" s="139">
        <f>'1. XL-1E kh'!Q53</f>
        <v>0</v>
      </c>
      <c r="I10" s="192">
        <f>'1. XL-1E kh'!Y53</f>
        <v>0</v>
      </c>
    </row>
    <row r="11" spans="1:9" ht="21.75" hidden="1" customHeight="1">
      <c r="A11" s="3118">
        <v>4</v>
      </c>
      <c r="B11" s="3229" t="s">
        <v>145</v>
      </c>
      <c r="C11" s="141" t="s">
        <v>101</v>
      </c>
      <c r="D11" s="191">
        <f>'1. XL-1E kh'!I14</f>
        <v>0</v>
      </c>
      <c r="E11" s="139">
        <f>'1. XL-1E kh'!Q14</f>
        <v>0</v>
      </c>
      <c r="F11" s="139">
        <f>'1. XL-1E kh'!Y14</f>
        <v>0</v>
      </c>
      <c r="G11" s="139">
        <f>'1. XL-1E kh'!I54</f>
        <v>0</v>
      </c>
      <c r="H11" s="139">
        <f>'1. XL-1E kh'!Q54</f>
        <v>0</v>
      </c>
      <c r="I11" s="192">
        <f>'1. XL-1E kh'!Y54</f>
        <v>0</v>
      </c>
    </row>
    <row r="12" spans="1:9" ht="21.75" hidden="1" customHeight="1">
      <c r="A12" s="3119"/>
      <c r="B12" s="3225"/>
      <c r="C12" s="142" t="s">
        <v>129</v>
      </c>
      <c r="D12" s="191">
        <f>'1. XL-1E kh'!I15</f>
        <v>0</v>
      </c>
      <c r="E12" s="139">
        <f>'1. XL-1E kh'!Q15</f>
        <v>0</v>
      </c>
      <c r="F12" s="139">
        <f>'1. XL-1E kh'!Y15</f>
        <v>0</v>
      </c>
      <c r="G12" s="139">
        <f>'1. XL-1E kh'!I55</f>
        <v>0</v>
      </c>
      <c r="H12" s="139">
        <f>'1. XL-1E kh'!Q55</f>
        <v>0</v>
      </c>
      <c r="I12" s="192">
        <f>'1. XL-1E kh'!Y55</f>
        <v>0</v>
      </c>
    </row>
    <row r="13" spans="1:9" ht="21.75" hidden="1" customHeight="1">
      <c r="A13" s="3118">
        <v>5</v>
      </c>
      <c r="B13" s="2961" t="s">
        <v>96</v>
      </c>
      <c r="C13" s="114" t="s">
        <v>95</v>
      </c>
      <c r="D13" s="191">
        <f>'1. XL-1E kh'!I16</f>
        <v>0</v>
      </c>
      <c r="E13" s="139">
        <f>'1. XL-1E kh'!Q16</f>
        <v>0</v>
      </c>
      <c r="F13" s="139">
        <f>'1. XL-1E kh'!Y16</f>
        <v>0</v>
      </c>
      <c r="G13" s="139">
        <f>'1. XL-1E kh'!I56</f>
        <v>0</v>
      </c>
      <c r="H13" s="139">
        <f>'1. XL-1E kh'!Q56</f>
        <v>0</v>
      </c>
      <c r="I13" s="192">
        <f>'1. XL-1E kh'!Y56</f>
        <v>0</v>
      </c>
    </row>
    <row r="14" spans="1:9" ht="21.75" hidden="1" customHeight="1">
      <c r="A14" s="3119"/>
      <c r="B14" s="2962"/>
      <c r="C14" s="114" t="s">
        <v>58</v>
      </c>
      <c r="D14" s="191">
        <f>'1. XL-1E kh'!I17</f>
        <v>0</v>
      </c>
      <c r="E14" s="139">
        <f>'1. XL-1E kh'!Q17</f>
        <v>0</v>
      </c>
      <c r="F14" s="139">
        <f>'1. XL-1E kh'!Y17</f>
        <v>0</v>
      </c>
      <c r="G14" s="139">
        <f>'1. XL-1E kh'!I57</f>
        <v>0</v>
      </c>
      <c r="H14" s="139">
        <f>'1. XL-1E kh'!Q57</f>
        <v>0</v>
      </c>
      <c r="I14" s="192">
        <f>'1. XL-1E kh'!Y57</f>
        <v>0</v>
      </c>
    </row>
    <row r="15" spans="1:9" ht="21.75" hidden="1" customHeight="1">
      <c r="A15" s="3118">
        <v>6</v>
      </c>
      <c r="B15" s="3226" t="s">
        <v>97</v>
      </c>
      <c r="C15" s="2936"/>
      <c r="D15" s="191">
        <f>'1. XL-1E kh'!I18</f>
        <v>0</v>
      </c>
      <c r="E15" s="139">
        <f>'1. XL-1E kh'!Q18</f>
        <v>0</v>
      </c>
      <c r="F15" s="139">
        <f>'1. XL-1E kh'!Y18</f>
        <v>0</v>
      </c>
      <c r="G15" s="139">
        <f>'1. XL-1E kh'!I58</f>
        <v>0</v>
      </c>
      <c r="H15" s="139">
        <f>'1. XL-1E kh'!Q58</f>
        <v>0</v>
      </c>
      <c r="I15" s="192">
        <f>'1. XL-1E kh'!Y58</f>
        <v>0</v>
      </c>
    </row>
    <row r="16" spans="1:9" ht="21.75" hidden="1" customHeight="1">
      <c r="A16" s="3119"/>
      <c r="B16" s="3227"/>
      <c r="C16" s="3132"/>
      <c r="D16" s="191">
        <f>'1. XL-1E kh'!I19</f>
        <v>0</v>
      </c>
      <c r="E16" s="139">
        <f>'1. XL-1E kh'!Q19</f>
        <v>0</v>
      </c>
      <c r="F16" s="139">
        <f>'1. XL-1E kh'!Y19</f>
        <v>0</v>
      </c>
      <c r="G16" s="139">
        <f>'1. XL-1E kh'!I59</f>
        <v>0</v>
      </c>
      <c r="H16" s="139">
        <f>'1. XL-1E kh'!Q59</f>
        <v>0</v>
      </c>
      <c r="I16" s="192">
        <f>'1. XL-1E kh'!Y59</f>
        <v>0</v>
      </c>
    </row>
    <row r="17" spans="1:9" ht="21.75" hidden="1" customHeight="1">
      <c r="A17" s="108">
        <v>7</v>
      </c>
      <c r="B17" s="2863" t="s">
        <v>59</v>
      </c>
      <c r="C17" s="3228"/>
      <c r="D17" s="191">
        <f>'1. XL-1E kh'!I20</f>
        <v>0</v>
      </c>
      <c r="E17" s="139">
        <f>'1. XL-1E kh'!Q20</f>
        <v>0</v>
      </c>
      <c r="F17" s="139">
        <f>'1. XL-1E kh'!Y20</f>
        <v>0</v>
      </c>
      <c r="G17" s="139">
        <f>'1. XL-1E kh'!I60</f>
        <v>0</v>
      </c>
      <c r="H17" s="139">
        <f>'1. XL-1E kh'!Q60</f>
        <v>0</v>
      </c>
      <c r="I17" s="192">
        <f>'1. XL-1E kh'!Y60</f>
        <v>0</v>
      </c>
    </row>
    <row r="18" spans="1:9" ht="21.75" hidden="1" customHeight="1">
      <c r="A18" s="108">
        <v>8</v>
      </c>
      <c r="B18" s="2863" t="s">
        <v>60</v>
      </c>
      <c r="C18" s="3228"/>
      <c r="D18" s="191">
        <f>'1. XL-1E kh'!I21</f>
        <v>0</v>
      </c>
      <c r="E18" s="139">
        <f>'1. XL-1E kh'!Q21</f>
        <v>0</v>
      </c>
      <c r="F18" s="139">
        <f>'1. XL-1E kh'!Y21</f>
        <v>0</v>
      </c>
      <c r="G18" s="139">
        <f>'1. XL-1E kh'!I61</f>
        <v>0</v>
      </c>
      <c r="H18" s="139">
        <f>'1. XL-1E kh'!Q61</f>
        <v>0</v>
      </c>
      <c r="I18" s="192">
        <f>'1. XL-1E kh'!Y61</f>
        <v>0</v>
      </c>
    </row>
    <row r="19" spans="1:9" ht="21.75" hidden="1" customHeight="1">
      <c r="A19" s="108">
        <v>9</v>
      </c>
      <c r="B19" s="2863" t="s">
        <v>61</v>
      </c>
      <c r="C19" s="3228"/>
      <c r="D19" s="191">
        <f>'1. XL-1E kh'!I22</f>
        <v>0</v>
      </c>
      <c r="E19" s="139">
        <f>'1. XL-1E kh'!Q22</f>
        <v>0</v>
      </c>
      <c r="F19" s="139">
        <f>'1. XL-1E kh'!Y22</f>
        <v>0</v>
      </c>
      <c r="G19" s="139">
        <f>'1. XL-1E kh'!I62</f>
        <v>0</v>
      </c>
      <c r="H19" s="139">
        <f>'1. XL-1E kh'!Q62</f>
        <v>0</v>
      </c>
      <c r="I19" s="192">
        <f>'1. XL-1E kh'!Y62</f>
        <v>0</v>
      </c>
    </row>
    <row r="20" spans="1:9" ht="21.75" hidden="1" customHeight="1">
      <c r="A20" s="108">
        <v>10</v>
      </c>
      <c r="B20" s="2863" t="s">
        <v>98</v>
      </c>
      <c r="C20" s="3228"/>
      <c r="D20" s="191">
        <f>'1. XL-1E kh'!I23</f>
        <v>0</v>
      </c>
      <c r="E20" s="139">
        <f>'1. XL-1E kh'!Q23</f>
        <v>0</v>
      </c>
      <c r="F20" s="139">
        <f>'1. XL-1E kh'!Y23</f>
        <v>0</v>
      </c>
      <c r="G20" s="139">
        <f>'1. XL-1E kh'!I63</f>
        <v>0</v>
      </c>
      <c r="H20" s="139">
        <f>'1. XL-1E kh'!Q63</f>
        <v>0</v>
      </c>
      <c r="I20" s="192">
        <f>'1. XL-1E kh'!Y63</f>
        <v>0</v>
      </c>
    </row>
    <row r="21" spans="1:9" ht="21.75" hidden="1" customHeight="1">
      <c r="A21" s="3230" t="s">
        <v>74</v>
      </c>
      <c r="B21" s="3230"/>
      <c r="C21" s="3231"/>
      <c r="D21" s="193" t="s">
        <v>158</v>
      </c>
      <c r="E21" s="148"/>
      <c r="F21" s="148"/>
      <c r="G21" s="148"/>
      <c r="H21" s="148"/>
      <c r="I21" s="194"/>
    </row>
    <row r="22" spans="1:9" ht="21.75" hidden="1" customHeight="1">
      <c r="A22" s="144" t="s">
        <v>7</v>
      </c>
      <c r="B22" s="3231" t="s">
        <v>62</v>
      </c>
      <c r="C22" s="3232"/>
      <c r="D22" s="195">
        <v>0.25</v>
      </c>
      <c r="E22" s="151">
        <v>0.41666666666666669</v>
      </c>
      <c r="F22" s="151">
        <v>0.58333333333333337</v>
      </c>
      <c r="G22" s="151">
        <v>0.75</v>
      </c>
      <c r="H22" s="151">
        <v>0.91666666666666663</v>
      </c>
      <c r="I22" s="196">
        <v>8.3333333333333329E-2</v>
      </c>
    </row>
    <row r="23" spans="1:9" ht="21.75" hidden="1" customHeight="1">
      <c r="A23" s="108">
        <v>1</v>
      </c>
      <c r="B23" s="2874" t="s">
        <v>66</v>
      </c>
      <c r="C23" s="2875"/>
      <c r="D23" s="191">
        <f>'1. XL-1E kh'!I28</f>
        <v>0</v>
      </c>
      <c r="E23" s="139">
        <f>'1. XL-1E kh'!Q28</f>
        <v>0</v>
      </c>
      <c r="F23" s="139">
        <f>'1. XL-1E kh'!Y28</f>
        <v>0</v>
      </c>
      <c r="G23" s="139">
        <f>'1. XL-1E kh'!I68</f>
        <v>0</v>
      </c>
      <c r="H23" s="139">
        <f>'1. XL-1E kh'!Q68</f>
        <v>0</v>
      </c>
      <c r="I23" s="192">
        <f>'1. XL-1E kh'!Y68</f>
        <v>0</v>
      </c>
    </row>
    <row r="24" spans="1:9" ht="21.75" hidden="1" customHeight="1">
      <c r="A24" s="108">
        <v>2</v>
      </c>
      <c r="B24" s="2874" t="s">
        <v>67</v>
      </c>
      <c r="C24" s="2875" t="s">
        <v>67</v>
      </c>
      <c r="D24" s="191">
        <f>'1. XL-1E kh'!I29</f>
        <v>0</v>
      </c>
      <c r="E24" s="139">
        <f>'1. XL-1E kh'!Q29</f>
        <v>0</v>
      </c>
      <c r="F24" s="139">
        <f>'1. XL-1E kh'!Y29</f>
        <v>0</v>
      </c>
      <c r="G24" s="139">
        <f>'1. XL-1E kh'!I69</f>
        <v>0</v>
      </c>
      <c r="H24" s="139">
        <f>'1. XL-1E kh'!Q69</f>
        <v>0</v>
      </c>
      <c r="I24" s="192">
        <f>'1. XL-1E kh'!Y69</f>
        <v>0</v>
      </c>
    </row>
    <row r="25" spans="1:9" ht="21.75" hidden="1" customHeight="1">
      <c r="A25" s="108">
        <v>3</v>
      </c>
      <c r="B25" s="2874" t="s">
        <v>69</v>
      </c>
      <c r="C25" s="2875" t="s">
        <v>69</v>
      </c>
      <c r="D25" s="191">
        <f>'1. XL-1E kh'!I30</f>
        <v>0</v>
      </c>
      <c r="E25" s="139">
        <f>'1. XL-1E kh'!Q30</f>
        <v>0</v>
      </c>
      <c r="F25" s="139">
        <f>'1. XL-1E kh'!Y30</f>
        <v>0</v>
      </c>
      <c r="G25" s="139">
        <f>'1. XL-1E kh'!I70</f>
        <v>0</v>
      </c>
      <c r="H25" s="139">
        <f>'1. XL-1E kh'!Q70</f>
        <v>0</v>
      </c>
      <c r="I25" s="192">
        <f>'1. XL-1E kh'!Y70</f>
        <v>0</v>
      </c>
    </row>
    <row r="26" spans="1:9" ht="21.75" hidden="1" customHeight="1">
      <c r="A26" s="108">
        <v>4</v>
      </c>
      <c r="B26" s="2874" t="s">
        <v>68</v>
      </c>
      <c r="C26" s="2875" t="s">
        <v>68</v>
      </c>
      <c r="D26" s="191">
        <f>'1. XL-1E kh'!I31</f>
        <v>0</v>
      </c>
      <c r="E26" s="139">
        <f>'1. XL-1E kh'!Q31</f>
        <v>0</v>
      </c>
      <c r="F26" s="139">
        <f>'1. XL-1E kh'!Y31</f>
        <v>0</v>
      </c>
      <c r="G26" s="139">
        <f>'1. XL-1E kh'!I71</f>
        <v>0</v>
      </c>
      <c r="H26" s="139">
        <f>'1. XL-1E kh'!Q71</f>
        <v>0</v>
      </c>
      <c r="I26" s="192">
        <f>'1. XL-1E kh'!Y71</f>
        <v>0</v>
      </c>
    </row>
    <row r="27" spans="1:9" ht="21.75" hidden="1" customHeight="1">
      <c r="A27" s="108">
        <v>5</v>
      </c>
      <c r="B27" s="2874" t="s">
        <v>70</v>
      </c>
      <c r="C27" s="2875" t="s">
        <v>70</v>
      </c>
      <c r="D27" s="191">
        <f>'1. XL-1E kh'!I32</f>
        <v>0</v>
      </c>
      <c r="E27" s="139">
        <f>'1. XL-1E kh'!Q32</f>
        <v>0</v>
      </c>
      <c r="F27" s="139">
        <f>'1. XL-1E kh'!Y32</f>
        <v>0</v>
      </c>
      <c r="G27" s="139">
        <f>'1. XL-1E kh'!I72</f>
        <v>0</v>
      </c>
      <c r="H27" s="139">
        <f>'1. XL-1E kh'!Q72</f>
        <v>0</v>
      </c>
      <c r="I27" s="192">
        <f>'1. XL-1E kh'!Y72</f>
        <v>0</v>
      </c>
    </row>
    <row r="28" spans="1:9" ht="21.75" hidden="1" customHeight="1">
      <c r="A28" s="108">
        <v>6</v>
      </c>
      <c r="B28" s="2874" t="s">
        <v>85</v>
      </c>
      <c r="C28" s="2875" t="s">
        <v>85</v>
      </c>
      <c r="D28" s="191">
        <f>'1. XL-1E kh'!I33</f>
        <v>0</v>
      </c>
      <c r="E28" s="139">
        <f>'1. XL-1E kh'!Q33</f>
        <v>0</v>
      </c>
      <c r="F28" s="139">
        <f>'1. XL-1E kh'!Y33</f>
        <v>0</v>
      </c>
      <c r="G28" s="139">
        <f>'1. XL-1E kh'!I73</f>
        <v>0</v>
      </c>
      <c r="H28" s="139">
        <f>'1. XL-1E kh'!Q73</f>
        <v>0</v>
      </c>
      <c r="I28" s="192">
        <f>'1. XL-1E kh'!Y73</f>
        <v>0</v>
      </c>
    </row>
    <row r="29" spans="1:9" ht="21.75" hidden="1" customHeight="1">
      <c r="A29" s="108">
        <v>7</v>
      </c>
      <c r="B29" s="2874" t="s">
        <v>71</v>
      </c>
      <c r="C29" s="2875" t="s">
        <v>71</v>
      </c>
      <c r="D29" s="191">
        <f>'1. XL-1E kh'!I34</f>
        <v>0</v>
      </c>
      <c r="E29" s="139">
        <f>'1. XL-1E kh'!Q34</f>
        <v>0</v>
      </c>
      <c r="F29" s="139">
        <f>'1. XL-1E kh'!Y34</f>
        <v>0</v>
      </c>
      <c r="G29" s="139">
        <f>'1. XL-1E kh'!I74</f>
        <v>0</v>
      </c>
      <c r="H29" s="139">
        <f>'1. XL-1E kh'!Q74</f>
        <v>0</v>
      </c>
      <c r="I29" s="192">
        <f>'1. XL-1E kh'!Y74</f>
        <v>0</v>
      </c>
    </row>
    <row r="30" spans="1:9" ht="21.75" hidden="1" customHeight="1">
      <c r="A30" s="108">
        <v>8</v>
      </c>
      <c r="B30" s="2874" t="s">
        <v>72</v>
      </c>
      <c r="C30" s="2875" t="s">
        <v>72</v>
      </c>
      <c r="D30" s="191">
        <f>'1. XL-1E kh'!K35</f>
        <v>0</v>
      </c>
      <c r="E30" s="139">
        <f>'1. XL-1E kh'!S35</f>
        <v>0</v>
      </c>
      <c r="F30" s="139">
        <f>'1. XL-1E kh'!AA35</f>
        <v>0</v>
      </c>
      <c r="G30" s="139">
        <f>'1. XL-1E kh'!K75</f>
        <v>0</v>
      </c>
      <c r="H30" s="139">
        <f>'1. XL-1E kh'!S75</f>
        <v>0</v>
      </c>
      <c r="I30" s="192">
        <f>'1. XL-1E kh'!AA75</f>
        <v>0</v>
      </c>
    </row>
    <row r="31" spans="1:9" ht="21.75" hidden="1" customHeight="1">
      <c r="A31" s="3230" t="s">
        <v>76</v>
      </c>
      <c r="B31" s="3230"/>
      <c r="C31" s="3231"/>
      <c r="D31" s="193" t="s">
        <v>159</v>
      </c>
      <c r="E31" s="148"/>
      <c r="F31" s="148"/>
      <c r="G31" s="148"/>
      <c r="H31" s="148"/>
      <c r="I31" s="194"/>
    </row>
    <row r="32" spans="1:9" ht="21.75" hidden="1" customHeight="1">
      <c r="A32" s="144" t="s">
        <v>7</v>
      </c>
      <c r="B32" s="3231" t="s">
        <v>93</v>
      </c>
      <c r="C32" s="3232"/>
      <c r="D32" s="197">
        <v>0.25</v>
      </c>
      <c r="E32" s="143">
        <v>0.41666666666666669</v>
      </c>
      <c r="F32" s="143">
        <v>0.58333333333333337</v>
      </c>
      <c r="G32" s="143">
        <v>0.75</v>
      </c>
      <c r="H32" s="143">
        <v>0.91666666666666663</v>
      </c>
      <c r="I32" s="198">
        <v>8.3333333333333329E-2</v>
      </c>
    </row>
    <row r="33" spans="1:9" ht="21.75" hidden="1" customHeight="1">
      <c r="A33" s="108">
        <v>1</v>
      </c>
      <c r="B33" s="2863" t="s">
        <v>99</v>
      </c>
      <c r="C33" s="2915"/>
      <c r="D33" s="191">
        <f>'1. XL-1E kh'!I38</f>
        <v>0</v>
      </c>
      <c r="E33" s="139">
        <f>'1. XL-1E kh'!Q38</f>
        <v>0</v>
      </c>
      <c r="F33" s="139">
        <f>'1. XL-1E kh'!Y38</f>
        <v>0</v>
      </c>
      <c r="G33" s="139">
        <f>'1. XL-1E kh'!I78</f>
        <v>0</v>
      </c>
      <c r="H33" s="139">
        <f>'1. XL-1E kh'!Q78</f>
        <v>0</v>
      </c>
      <c r="I33" s="192">
        <f>'1. XL-1E kh'!Y78</f>
        <v>0</v>
      </c>
    </row>
    <row r="34" spans="1:9" ht="21.75" hidden="1" customHeight="1">
      <c r="A34" s="108">
        <v>2</v>
      </c>
      <c r="B34" s="2863" t="s">
        <v>100</v>
      </c>
      <c r="C34" s="2915"/>
      <c r="D34" s="191">
        <f>'1. XL-1E kh'!I39</f>
        <v>0</v>
      </c>
      <c r="E34" s="139">
        <f>'1. XL-1E kh'!Q39</f>
        <v>0</v>
      </c>
      <c r="F34" s="139">
        <f>'1. XL-1E kh'!Y39</f>
        <v>0</v>
      </c>
      <c r="G34" s="139">
        <f>'1. XL-1E kh'!I79</f>
        <v>0</v>
      </c>
      <c r="H34" s="139">
        <f>'1. XL-1E kh'!Q79</f>
        <v>0</v>
      </c>
      <c r="I34" s="192">
        <f>'1. XL-1E kh'!Y79</f>
        <v>0</v>
      </c>
    </row>
    <row r="35" spans="1:9" ht="21.75" hidden="1" customHeight="1">
      <c r="A35" s="145"/>
      <c r="B35" s="145"/>
      <c r="C35" s="145"/>
      <c r="D35" s="193" t="s">
        <v>157</v>
      </c>
      <c r="E35" s="148"/>
      <c r="F35" s="148"/>
      <c r="G35" s="148"/>
      <c r="H35" s="148"/>
      <c r="I35" s="194"/>
    </row>
    <row r="36" spans="1:9" ht="21.75" hidden="1" customHeight="1">
      <c r="A36" s="145"/>
      <c r="B36" s="145"/>
      <c r="C36" s="145"/>
      <c r="D36" s="197">
        <v>0.25</v>
      </c>
      <c r="E36" s="143">
        <v>0.41666666666666669</v>
      </c>
      <c r="F36" s="143">
        <v>0.58333333333333337</v>
      </c>
      <c r="G36" s="143">
        <v>0.75</v>
      </c>
      <c r="H36" s="143">
        <v>0.91666666666666663</v>
      </c>
      <c r="I36" s="198">
        <v>8.3333333333333329E-2</v>
      </c>
    </row>
    <row r="37" spans="1:9" ht="21.75" hidden="1" customHeight="1">
      <c r="A37" s="3118">
        <v>1</v>
      </c>
      <c r="B37" s="3229" t="s">
        <v>132</v>
      </c>
      <c r="C37" s="141" t="s">
        <v>101</v>
      </c>
      <c r="D37" s="199">
        <f>'1. XL-1E kh'!K6</f>
        <v>80.790000000000006</v>
      </c>
      <c r="E37" s="146">
        <f>'1. XL-1E kh'!S6</f>
        <v>80.790000000000006</v>
      </c>
      <c r="F37" s="146">
        <f>'1. XL-1E kh'!AA6</f>
        <v>80.790000000000006</v>
      </c>
      <c r="G37" s="146">
        <f>'1. XL-1E kh'!K46</f>
        <v>80.790000000000006</v>
      </c>
      <c r="H37" s="146">
        <f>'1. XL-1E kh'!S46</f>
        <v>80.790000000000006</v>
      </c>
      <c r="I37" s="200">
        <f>'1. XL-1E kh'!AA46</f>
        <v>80.790000000000006</v>
      </c>
    </row>
    <row r="38" spans="1:9" ht="21.75" hidden="1" customHeight="1">
      <c r="A38" s="3119"/>
      <c r="B38" s="3225"/>
      <c r="C38" s="142" t="s">
        <v>129</v>
      </c>
      <c r="D38" s="199">
        <f>'1. XL-1E kh'!K8</f>
        <v>27.145440000000004</v>
      </c>
      <c r="E38" s="146">
        <f>'1. XL-1E kh'!S8</f>
        <v>27.145440000000004</v>
      </c>
      <c r="F38" s="146">
        <f>'1. XL-1E kh'!AA8</f>
        <v>27.145440000000004</v>
      </c>
      <c r="G38" s="146">
        <f>'1. XL-1E kh'!K48</f>
        <v>27.145440000000004</v>
      </c>
      <c r="H38" s="146">
        <f>'1. XL-1E kh'!S48</f>
        <v>27.145440000000004</v>
      </c>
      <c r="I38" s="200">
        <f>'1. XL-1E kh'!AA48</f>
        <v>27.145440000000004</v>
      </c>
    </row>
    <row r="39" spans="1:9" ht="21.75" hidden="1" customHeight="1">
      <c r="A39" s="3118">
        <v>2</v>
      </c>
      <c r="B39" s="3229" t="s">
        <v>146</v>
      </c>
      <c r="C39" s="141" t="s">
        <v>101</v>
      </c>
      <c r="D39" s="199">
        <f>'1. XL-1E kh'!K9</f>
        <v>99.15</v>
      </c>
      <c r="E39" s="146">
        <f>'1. XL-1E kh'!S9</f>
        <v>99.15</v>
      </c>
      <c r="F39" s="146">
        <f>'1. XL-1E kh'!AA9</f>
        <v>99.15</v>
      </c>
      <c r="G39" s="146">
        <f>'1. XL-1E kh'!K49</f>
        <v>99.15</v>
      </c>
      <c r="H39" s="146">
        <f>'1. XL-1E kh'!S49</f>
        <v>99.15</v>
      </c>
      <c r="I39" s="200">
        <f>'1. XL-1E kh'!AA49</f>
        <v>99.15</v>
      </c>
    </row>
    <row r="40" spans="1:9" ht="21.75" hidden="1" customHeight="1">
      <c r="A40" s="3119"/>
      <c r="B40" s="3225"/>
      <c r="C40" s="142" t="s">
        <v>129</v>
      </c>
      <c r="D40" s="199">
        <f>'1. XL-1E kh'!K11</f>
        <v>33.314399999999999</v>
      </c>
      <c r="E40" s="146">
        <f>'1. XL-1E kh'!S11</f>
        <v>33.314399999999999</v>
      </c>
      <c r="F40" s="146">
        <f>'1. XL-1E kh'!AA11</f>
        <v>33.314399999999999</v>
      </c>
      <c r="G40" s="146">
        <f>'1. XL-1E kh'!K51</f>
        <v>33.314399999999999</v>
      </c>
      <c r="H40" s="146">
        <f>'1. XL-1E kh'!S51</f>
        <v>33.314399999999999</v>
      </c>
      <c r="I40" s="200">
        <f>'1. XL-1E kh'!AA51</f>
        <v>33.314399999999999</v>
      </c>
    </row>
    <row r="41" spans="1:9" ht="21.75" hidden="1" customHeight="1">
      <c r="A41" s="3118">
        <v>3</v>
      </c>
      <c r="B41" s="3229" t="s">
        <v>144</v>
      </c>
      <c r="C41" s="141" t="s">
        <v>101</v>
      </c>
      <c r="D41" s="199">
        <f>'1. XL-1E kh'!K12</f>
        <v>80.92</v>
      </c>
      <c r="E41" s="146">
        <f>'1. XL-1E kh'!S12</f>
        <v>80.92</v>
      </c>
      <c r="F41" s="146">
        <f>'1. XL-1E kh'!AA12</f>
        <v>80.92</v>
      </c>
      <c r="G41" s="146">
        <f>'1. XL-1E kh'!K52</f>
        <v>80.92</v>
      </c>
      <c r="H41" s="146">
        <f>'1. XL-1E kh'!S52</f>
        <v>80.92</v>
      </c>
      <c r="I41" s="200">
        <f>'1. XL-1E kh'!AA52</f>
        <v>80.92</v>
      </c>
    </row>
    <row r="42" spans="1:9" ht="21.75" hidden="1" customHeight="1">
      <c r="A42" s="3119"/>
      <c r="B42" s="3225"/>
      <c r="C42" s="142" t="s">
        <v>129</v>
      </c>
      <c r="D42" s="199">
        <f>'1. XL-1E kh'!K13</f>
        <v>24.276</v>
      </c>
      <c r="E42" s="146">
        <f>'1. XL-1E kh'!S13</f>
        <v>24.276</v>
      </c>
      <c r="F42" s="146">
        <f>'1. XL-1E kh'!AA13</f>
        <v>24.276</v>
      </c>
      <c r="G42" s="146">
        <f>'1. XL-1E kh'!K53</f>
        <v>24.276</v>
      </c>
      <c r="H42" s="146">
        <f>'1. XL-1E kh'!S53</f>
        <v>24.276</v>
      </c>
      <c r="I42" s="200">
        <f>'1. XL-1E kh'!AA53</f>
        <v>24.276</v>
      </c>
    </row>
    <row r="43" spans="1:9" ht="21.75" hidden="1" customHeight="1">
      <c r="A43" s="3118">
        <v>4</v>
      </c>
      <c r="B43" s="3229" t="s">
        <v>145</v>
      </c>
      <c r="C43" s="141" t="s">
        <v>101</v>
      </c>
      <c r="D43" s="199">
        <f>'1. XL-1E kh'!K14</f>
        <v>102.13</v>
      </c>
      <c r="E43" s="146">
        <f>'1. XL-1E kh'!S14</f>
        <v>102.13</v>
      </c>
      <c r="F43" s="146">
        <f>'1. XL-1E kh'!AA14</f>
        <v>102.13</v>
      </c>
      <c r="G43" s="146">
        <f>'1. XL-1E kh'!K54</f>
        <v>102.13</v>
      </c>
      <c r="H43" s="146">
        <f>'1. XL-1E kh'!S54</f>
        <v>102.13</v>
      </c>
      <c r="I43" s="200">
        <f>'1. XL-1E kh'!AA54</f>
        <v>102.13</v>
      </c>
    </row>
    <row r="44" spans="1:9" ht="21.75" hidden="1" customHeight="1">
      <c r="A44" s="3119"/>
      <c r="B44" s="3225"/>
      <c r="C44" s="142" t="s">
        <v>129</v>
      </c>
      <c r="D44" s="199">
        <f>'1. XL-1E kh'!K15</f>
        <v>30.638999999999996</v>
      </c>
      <c r="E44" s="146">
        <f>'1. XL-1E kh'!S15</f>
        <v>30.638999999999996</v>
      </c>
      <c r="F44" s="146">
        <f>'1. XL-1E kh'!AA15</f>
        <v>30.638999999999996</v>
      </c>
      <c r="G44" s="146">
        <f>'1. XL-1E kh'!K55</f>
        <v>30.638999999999996</v>
      </c>
      <c r="H44" s="146">
        <f>'1. XL-1E kh'!S55</f>
        <v>30.638999999999996</v>
      </c>
      <c r="I44" s="200">
        <f>'1. XL-1E kh'!AA55</f>
        <v>30.638999999999996</v>
      </c>
    </row>
    <row r="45" spans="1:9" ht="21.75" hidden="1" customHeight="1">
      <c r="A45" s="3118">
        <v>5</v>
      </c>
      <c r="B45" s="2961" t="s">
        <v>96</v>
      </c>
      <c r="C45" s="114" t="s">
        <v>95</v>
      </c>
      <c r="D45" s="199">
        <f>'1. XL-1E kh'!K16</f>
        <v>2793.14</v>
      </c>
      <c r="E45" s="146">
        <f>'1. XL-1E kh'!S16</f>
        <v>2793.14</v>
      </c>
      <c r="F45" s="146">
        <f>'1. XL-1E kh'!AA16</f>
        <v>2793.14</v>
      </c>
      <c r="G45" s="146">
        <f>'1. XL-1E kh'!K56</f>
        <v>2793.14</v>
      </c>
      <c r="H45" s="146">
        <f>'1. XL-1E kh'!S56</f>
        <v>2793.14</v>
      </c>
      <c r="I45" s="200">
        <f>'1. XL-1E kh'!AA56</f>
        <v>2793.14</v>
      </c>
    </row>
    <row r="46" spans="1:9" ht="21.75" hidden="1" customHeight="1">
      <c r="A46" s="3119"/>
      <c r="B46" s="2962"/>
      <c r="C46" s="114" t="s">
        <v>58</v>
      </c>
      <c r="D46" s="199">
        <f>'1. XL-1E kh'!K17</f>
        <v>199.51</v>
      </c>
      <c r="E46" s="146">
        <f>'1. XL-1E kh'!S17</f>
        <v>199.51</v>
      </c>
      <c r="F46" s="146">
        <f>'1. XL-1E kh'!AA17</f>
        <v>199.51</v>
      </c>
      <c r="G46" s="146">
        <f>'1. XL-1E kh'!K57</f>
        <v>199.51</v>
      </c>
      <c r="H46" s="146">
        <f>'1. XL-1E kh'!S57</f>
        <v>199.51</v>
      </c>
      <c r="I46" s="200">
        <f>'1. XL-1E kh'!AA57</f>
        <v>199.51</v>
      </c>
    </row>
    <row r="47" spans="1:9" ht="21.75" hidden="1" customHeight="1">
      <c r="A47" s="3118">
        <v>6</v>
      </c>
      <c r="B47" s="3226" t="s">
        <v>97</v>
      </c>
      <c r="C47" s="2936"/>
      <c r="D47" s="199">
        <f>'1. XL-1E kh'!K18</f>
        <v>80.5</v>
      </c>
      <c r="E47" s="146">
        <f>'1. XL-1E kh'!S18</f>
        <v>80.5</v>
      </c>
      <c r="F47" s="146">
        <f>'1. XL-1E kh'!AA18</f>
        <v>80.5</v>
      </c>
      <c r="G47" s="146">
        <f>'1. XL-1E kh'!K58</f>
        <v>80.5</v>
      </c>
      <c r="H47" s="146">
        <f>'1. XL-1E kh'!S58</f>
        <v>80.5</v>
      </c>
      <c r="I47" s="200">
        <f>'1. XL-1E kh'!AA58</f>
        <v>80.5</v>
      </c>
    </row>
    <row r="48" spans="1:9" ht="21.75" hidden="1" customHeight="1">
      <c r="A48" s="3119"/>
      <c r="B48" s="3227"/>
      <c r="C48" s="3132"/>
      <c r="D48" s="199">
        <f>'1. XL-1E kh'!K19</f>
        <v>0</v>
      </c>
      <c r="E48" s="146">
        <f>'1. XL-1E kh'!S19</f>
        <v>0</v>
      </c>
      <c r="F48" s="146">
        <f>'1. XL-1E kh'!AA19</f>
        <v>0</v>
      </c>
      <c r="G48" s="146">
        <f>'1. XL-1E kh'!K59</f>
        <v>0</v>
      </c>
      <c r="H48" s="146">
        <f>'1. XL-1E kh'!S59</f>
        <v>0</v>
      </c>
      <c r="I48" s="200">
        <f>'1. XL-1E kh'!AA59</f>
        <v>0</v>
      </c>
    </row>
    <row r="49" spans="1:9" ht="21.75" hidden="1" customHeight="1">
      <c r="A49" s="108">
        <v>7</v>
      </c>
      <c r="B49" s="2863" t="s">
        <v>59</v>
      </c>
      <c r="C49" s="3228"/>
      <c r="D49" s="199">
        <f>'1. XL-1E kh'!K20</f>
        <v>954.9</v>
      </c>
      <c r="E49" s="146">
        <f>'1. XL-1E kh'!S20</f>
        <v>954.9</v>
      </c>
      <c r="F49" s="146">
        <f>'1. XL-1E kh'!AA20</f>
        <v>954.9</v>
      </c>
      <c r="G49" s="146">
        <f>'1. XL-1E kh'!K60</f>
        <v>954.9</v>
      </c>
      <c r="H49" s="146">
        <f>'1. XL-1E kh'!S60</f>
        <v>954.9</v>
      </c>
      <c r="I49" s="200">
        <f>'1. XL-1E kh'!AA60</f>
        <v>954.9</v>
      </c>
    </row>
    <row r="50" spans="1:9" ht="21.75" hidden="1" customHeight="1">
      <c r="A50" s="108">
        <v>8</v>
      </c>
      <c r="B50" s="2863" t="s">
        <v>60</v>
      </c>
      <c r="C50" s="3228"/>
      <c r="D50" s="199">
        <f>'1. XL-1E kh'!K21</f>
        <v>134.64000000000001</v>
      </c>
      <c r="E50" s="146">
        <f>'1. XL-1E kh'!S21</f>
        <v>134.64000000000001</v>
      </c>
      <c r="F50" s="146">
        <f>'1. XL-1E kh'!AA21</f>
        <v>134.64000000000001</v>
      </c>
      <c r="G50" s="146">
        <f>'1. XL-1E kh'!K61</f>
        <v>134.64000000000001</v>
      </c>
      <c r="H50" s="146">
        <f>'1. XL-1E kh'!S61</f>
        <v>134.64000000000001</v>
      </c>
      <c r="I50" s="200">
        <f>'1. XL-1E kh'!AA61</f>
        <v>134.64000000000001</v>
      </c>
    </row>
    <row r="51" spans="1:9" ht="21.75" hidden="1" customHeight="1">
      <c r="A51" s="108">
        <v>9</v>
      </c>
      <c r="B51" s="2863" t="s">
        <v>61</v>
      </c>
      <c r="C51" s="3228"/>
      <c r="D51" s="199">
        <f>'1. XL-1E kh'!K22</f>
        <v>57.5</v>
      </c>
      <c r="E51" s="146">
        <f>'1. XL-1E kh'!S22</f>
        <v>57.5</v>
      </c>
      <c r="F51" s="146">
        <f>'1. XL-1E kh'!AA22</f>
        <v>57.5</v>
      </c>
      <c r="G51" s="146">
        <f>'1. XL-1E kh'!K62</f>
        <v>57.5</v>
      </c>
      <c r="H51" s="146">
        <f>'1. XL-1E kh'!S62</f>
        <v>57.5</v>
      </c>
      <c r="I51" s="200">
        <f>'1. XL-1E kh'!AA62</f>
        <v>57.5</v>
      </c>
    </row>
    <row r="52" spans="1:9" ht="21.75" hidden="1" customHeight="1">
      <c r="A52" s="108">
        <v>10</v>
      </c>
      <c r="B52" s="2863" t="s">
        <v>98</v>
      </c>
      <c r="C52" s="3228"/>
      <c r="D52" s="201">
        <f>'1. XL-1E kh'!K23</f>
        <v>5.3998981151299033</v>
      </c>
      <c r="E52" s="150">
        <f>'1. XL-1E kh'!S23</f>
        <v>5.3998981151299033</v>
      </c>
      <c r="F52" s="150">
        <f>'1. XL-1E kh'!AA23</f>
        <v>5.3998981151299033</v>
      </c>
      <c r="G52" s="150">
        <f>'1. XL-1E kh'!K63</f>
        <v>5.3998981151299033</v>
      </c>
      <c r="H52" s="150">
        <f>'1. XL-1E kh'!S63</f>
        <v>5.3998981151299033</v>
      </c>
      <c r="I52" s="202">
        <f>'1. XL-1E kh'!AA63</f>
        <v>5.3998981151299033</v>
      </c>
    </row>
    <row r="53" spans="1:9" ht="21.75" hidden="1" customHeight="1">
      <c r="D53" s="191"/>
      <c r="E53" s="139"/>
      <c r="F53" s="139"/>
      <c r="G53" s="139"/>
      <c r="H53" s="139"/>
      <c r="I53" s="192"/>
    </row>
    <row r="54" spans="1:9" ht="21.75" hidden="1" customHeight="1">
      <c r="A54" s="179"/>
      <c r="B54" s="164" t="s">
        <v>215</v>
      </c>
      <c r="C54" s="175"/>
      <c r="D54" s="203"/>
      <c r="E54" s="176"/>
      <c r="F54" s="139"/>
      <c r="G54" s="139"/>
      <c r="H54" s="139"/>
      <c r="I54" s="192"/>
    </row>
    <row r="55" spans="1:9" ht="21.75" hidden="1" customHeight="1">
      <c r="A55" s="169" t="s">
        <v>7</v>
      </c>
      <c r="B55" s="157"/>
      <c r="C55" s="157"/>
      <c r="D55" s="193" t="s">
        <v>156</v>
      </c>
      <c r="E55" s="148"/>
      <c r="F55" s="148"/>
      <c r="G55" s="148"/>
      <c r="H55" s="148"/>
      <c r="I55" s="194"/>
    </row>
    <row r="56" spans="1:9" ht="21.75" hidden="1" customHeight="1">
      <c r="A56" s="170"/>
      <c r="B56" s="166"/>
      <c r="C56" s="166"/>
      <c r="D56" s="197">
        <v>0.25</v>
      </c>
      <c r="E56" s="143">
        <v>0.41666666666666669</v>
      </c>
      <c r="F56" s="143">
        <v>0.58333333333333337</v>
      </c>
      <c r="G56" s="143">
        <v>0.75</v>
      </c>
      <c r="H56" s="143">
        <v>0.91666666666666663</v>
      </c>
      <c r="I56" s="198">
        <v>8.3333333333333329E-2</v>
      </c>
    </row>
    <row r="57" spans="1:9" ht="21.75" hidden="1" customHeight="1">
      <c r="A57" s="180">
        <v>1</v>
      </c>
      <c r="B57" s="126" t="s">
        <v>132</v>
      </c>
      <c r="C57" s="181" t="s">
        <v>101</v>
      </c>
      <c r="D57" s="189">
        <f>'2. XL-1F kh'!I6</f>
        <v>70.092000000000013</v>
      </c>
      <c r="E57" s="140">
        <f>'2. XL-1F kh'!Q6</f>
        <v>69.2</v>
      </c>
      <c r="F57" s="140">
        <f>'2. XL-1F kh'!Y6</f>
        <v>73.2</v>
      </c>
      <c r="G57" s="140">
        <f>'2. XL-1F kh'!I44</f>
        <v>72.599999999999994</v>
      </c>
      <c r="H57" s="140">
        <f>'2. XL-1F kh'!Q44</f>
        <v>72</v>
      </c>
      <c r="I57" s="190">
        <f>'2. XL-1F kh'!Y44</f>
        <v>71.3</v>
      </c>
    </row>
    <row r="58" spans="1:9" ht="21.75" hidden="1" customHeight="1">
      <c r="A58" s="111"/>
      <c r="B58" s="130"/>
      <c r="C58" s="125" t="s">
        <v>102</v>
      </c>
      <c r="D58" s="191" t="e">
        <f>'2. XL-1F kh'!#REF!</f>
        <v>#REF!</v>
      </c>
      <c r="E58" s="139" t="e">
        <f>'2. XL-1F kh'!#REF!</f>
        <v>#REF!</v>
      </c>
      <c r="F58" s="139" t="e">
        <f>'2. XL-1F kh'!#REF!</f>
        <v>#REF!</v>
      </c>
      <c r="G58" s="139" t="e">
        <f>'2. XL-1F kh'!#REF!</f>
        <v>#REF!</v>
      </c>
      <c r="H58" s="139" t="e">
        <f>'2. XL-1F kh'!#REF!</f>
        <v>#REF!</v>
      </c>
      <c r="I58" s="192" t="e">
        <f>'2. XL-1F kh'!#REF!</f>
        <v>#REF!</v>
      </c>
    </row>
    <row r="59" spans="1:9" ht="21.75" hidden="1" customHeight="1">
      <c r="A59" s="112"/>
      <c r="B59" s="131"/>
      <c r="C59" s="116" t="s">
        <v>104</v>
      </c>
      <c r="D59" s="191" t="e">
        <f>'2. XL-1F kh'!#REF!</f>
        <v>#REF!</v>
      </c>
      <c r="E59" s="139" t="e">
        <f>'2. XL-1F kh'!#REF!</f>
        <v>#REF!</v>
      </c>
      <c r="F59" s="139" t="e">
        <f>'2. XL-1F kh'!#REF!</f>
        <v>#REF!</v>
      </c>
      <c r="G59" s="139" t="e">
        <f>'2. XL-1F kh'!#REF!</f>
        <v>#REF!</v>
      </c>
      <c r="H59" s="139" t="e">
        <f>'2. XL-1F kh'!#REF!</f>
        <v>#REF!</v>
      </c>
      <c r="I59" s="192" t="e">
        <f>'2. XL-1F kh'!#REF!</f>
        <v>#REF!</v>
      </c>
    </row>
    <row r="60" spans="1:9" ht="21.75" hidden="1" customHeight="1">
      <c r="A60" s="110">
        <v>2</v>
      </c>
      <c r="B60" s="123" t="s">
        <v>133</v>
      </c>
      <c r="C60" s="129" t="s">
        <v>101</v>
      </c>
      <c r="D60" s="191">
        <f>'2. XL-1F kh'!I8</f>
        <v>69.5</v>
      </c>
      <c r="E60" s="139">
        <f>'2. XL-1F kh'!Q8</f>
        <v>73.2</v>
      </c>
      <c r="F60" s="139">
        <f>'2. XL-1F kh'!Y8</f>
        <v>72.039000000000001</v>
      </c>
      <c r="G60" s="139">
        <f>'2. XL-1F kh'!I46</f>
        <v>71.39</v>
      </c>
      <c r="H60" s="139">
        <f>'2. XL-1F kh'!Q46</f>
        <v>71</v>
      </c>
      <c r="I60" s="192">
        <f>'2. XL-1F kh'!Y46</f>
        <v>70.599999999999994</v>
      </c>
    </row>
    <row r="61" spans="1:9" ht="21.75" hidden="1" customHeight="1">
      <c r="A61" s="111"/>
      <c r="B61" s="130"/>
      <c r="C61" s="116" t="s">
        <v>102</v>
      </c>
      <c r="D61" s="191" t="e">
        <f>'2. XL-1F kh'!#REF!</f>
        <v>#REF!</v>
      </c>
      <c r="E61" s="139" t="e">
        <f>'2. XL-1F kh'!#REF!</f>
        <v>#REF!</v>
      </c>
      <c r="F61" s="139" t="e">
        <f>'2. XL-1F kh'!#REF!</f>
        <v>#REF!</v>
      </c>
      <c r="G61" s="139" t="e">
        <f>'2. XL-1F kh'!#REF!</f>
        <v>#REF!</v>
      </c>
      <c r="H61" s="139" t="e">
        <f>'2. XL-1F kh'!#REF!</f>
        <v>#REF!</v>
      </c>
      <c r="I61" s="192" t="e">
        <f>'2. XL-1F kh'!#REF!</f>
        <v>#REF!</v>
      </c>
    </row>
    <row r="62" spans="1:9" ht="21.75" hidden="1" customHeight="1">
      <c r="A62" s="112"/>
      <c r="B62" s="131"/>
      <c r="C62" s="116" t="s">
        <v>104</v>
      </c>
      <c r="D62" s="191" t="e">
        <f>'2. XL-1F kh'!#REF!</f>
        <v>#REF!</v>
      </c>
      <c r="E62" s="139" t="e">
        <f>'2. XL-1F kh'!#REF!</f>
        <v>#REF!</v>
      </c>
      <c r="F62" s="139" t="e">
        <f>'2. XL-1F kh'!#REF!</f>
        <v>#REF!</v>
      </c>
      <c r="G62" s="139" t="e">
        <f>'2. XL-1F kh'!#REF!</f>
        <v>#REF!</v>
      </c>
      <c r="H62" s="139" t="e">
        <f>'2. XL-1F kh'!#REF!</f>
        <v>#REF!</v>
      </c>
      <c r="I62" s="192" t="e">
        <f>'2. XL-1F kh'!#REF!</f>
        <v>#REF!</v>
      </c>
    </row>
    <row r="63" spans="1:9" ht="21.75" hidden="1" customHeight="1">
      <c r="A63" s="110">
        <v>3</v>
      </c>
      <c r="B63" s="127" t="s">
        <v>134</v>
      </c>
      <c r="C63" s="129" t="s">
        <v>101</v>
      </c>
      <c r="D63" s="191">
        <f>'2. XL-1F kh'!I10</f>
        <v>56.594999999999999</v>
      </c>
      <c r="E63" s="139">
        <f>'2. XL-1F kh'!Q10</f>
        <v>62.8</v>
      </c>
      <c r="F63" s="139">
        <f>'2. XL-1F kh'!Y10</f>
        <v>61.215000000000003</v>
      </c>
      <c r="G63" s="139">
        <f>'2. XL-1F kh'!I48</f>
        <v>61</v>
      </c>
      <c r="H63" s="139">
        <f>'2. XL-1F kh'!Q48</f>
        <v>60.6</v>
      </c>
      <c r="I63" s="192">
        <f>'2. XL-1F kh'!Y48</f>
        <v>60</v>
      </c>
    </row>
    <row r="64" spans="1:9" ht="21.75" hidden="1" customHeight="1">
      <c r="A64" s="112"/>
      <c r="B64" s="128"/>
      <c r="C64" s="116" t="s">
        <v>105</v>
      </c>
      <c r="D64" s="191">
        <f>'2. XL-1F kh'!I11</f>
        <v>0</v>
      </c>
      <c r="E64" s="139">
        <f>'2. XL-1F kh'!Q11</f>
        <v>0</v>
      </c>
      <c r="F64" s="139">
        <f>'2. XL-1F kh'!Y11</f>
        <v>0</v>
      </c>
      <c r="G64" s="139">
        <f>'2. XL-1F kh'!I49</f>
        <v>0</v>
      </c>
      <c r="H64" s="139">
        <f>'2. XL-1F kh'!Q49</f>
        <v>0</v>
      </c>
      <c r="I64" s="192">
        <f>'2. XL-1F kh'!Y49</f>
        <v>0</v>
      </c>
    </row>
    <row r="65" spans="1:9" ht="21.75" hidden="1" customHeight="1">
      <c r="A65" s="110">
        <v>4</v>
      </c>
      <c r="B65" s="127" t="s">
        <v>135</v>
      </c>
      <c r="C65" s="129" t="s">
        <v>101</v>
      </c>
      <c r="D65" s="191">
        <f>'2. XL-1F kh'!I12</f>
        <v>56.826000000000008</v>
      </c>
      <c r="E65" s="139">
        <f>'2. XL-1F kh'!Q12</f>
        <v>58.211999999999996</v>
      </c>
      <c r="F65" s="139">
        <f>'2. XL-1F kh'!Y12</f>
        <v>64.218000000000004</v>
      </c>
      <c r="G65" s="139">
        <f>'2. XL-1F kh'!I50</f>
        <v>61.908000000000001</v>
      </c>
      <c r="H65" s="139">
        <f>'2. XL-1F kh'!Q50</f>
        <v>61.2</v>
      </c>
      <c r="I65" s="192">
        <f>'2. XL-1F kh'!Y50</f>
        <v>60.6</v>
      </c>
    </row>
    <row r="66" spans="1:9" ht="21.75" hidden="1" customHeight="1">
      <c r="A66" s="112"/>
      <c r="B66" s="128"/>
      <c r="C66" s="116" t="s">
        <v>105</v>
      </c>
      <c r="D66" s="191">
        <f>'2. XL-1F kh'!I13</f>
        <v>0</v>
      </c>
      <c r="E66" s="139">
        <f>'2. XL-1F kh'!Q13</f>
        <v>0</v>
      </c>
      <c r="F66" s="139">
        <f>'2. XL-1F kh'!Y13</f>
        <v>0</v>
      </c>
      <c r="G66" s="139">
        <f>'2. XL-1F kh'!I51</f>
        <v>0</v>
      </c>
      <c r="H66" s="139">
        <f>'2. XL-1F kh'!Q51</f>
        <v>0</v>
      </c>
      <c r="I66" s="192">
        <f>'2. XL-1F kh'!Y51</f>
        <v>0</v>
      </c>
    </row>
    <row r="67" spans="1:9" ht="21.75" hidden="1" customHeight="1">
      <c r="A67" s="113">
        <v>5</v>
      </c>
      <c r="B67" s="116" t="s">
        <v>80</v>
      </c>
      <c r="C67" s="117"/>
      <c r="D67" s="191">
        <f>'2. XL-1F kh'!I14</f>
        <v>144.4</v>
      </c>
      <c r="E67" s="139">
        <f>'2. XL-1F kh'!Q14</f>
        <v>145.6</v>
      </c>
      <c r="F67" s="139">
        <f>'2. XL-1F kh'!Y14</f>
        <v>145.6</v>
      </c>
      <c r="G67" s="139">
        <f>'2. XL-1F kh'!I52</f>
        <v>145.6</v>
      </c>
      <c r="H67" s="139">
        <f>'2. XL-1F kh'!Q52</f>
        <v>144.19999999999999</v>
      </c>
      <c r="I67" s="192">
        <f>'2. XL-1F kh'!Y52</f>
        <v>143.19999999999999</v>
      </c>
    </row>
    <row r="68" spans="1:9" ht="21.75" hidden="1" customHeight="1">
      <c r="A68" s="113">
        <v>6</v>
      </c>
      <c r="B68" s="116" t="s">
        <v>58</v>
      </c>
      <c r="C68" s="117"/>
      <c r="D68" s="191">
        <f>'2. XL-1F kh'!I15</f>
        <v>11.57</v>
      </c>
      <c r="E68" s="139">
        <f>'2. XL-1F kh'!Q15</f>
        <v>11.18</v>
      </c>
      <c r="F68" s="139">
        <f>'2. XL-1F kh'!Y15</f>
        <v>11.18</v>
      </c>
      <c r="G68" s="139">
        <f>'2. XL-1F kh'!I53</f>
        <v>11.18</v>
      </c>
      <c r="H68" s="139">
        <f>'2. XL-1F kh'!Q53</f>
        <v>11.1</v>
      </c>
      <c r="I68" s="192">
        <f>'2. XL-1F kh'!Y53</f>
        <v>11</v>
      </c>
    </row>
    <row r="69" spans="1:9" ht="21.75" hidden="1" customHeight="1">
      <c r="A69" s="121">
        <v>7</v>
      </c>
      <c r="B69" s="123" t="s">
        <v>107</v>
      </c>
      <c r="C69" s="124"/>
      <c r="D69" s="191">
        <f>'2. XL-1F kh'!I16</f>
        <v>6.96183</v>
      </c>
      <c r="E69" s="139">
        <f>'2. XL-1F kh'!Q16</f>
        <v>7.0042</v>
      </c>
      <c r="F69" s="139">
        <f>'2. XL-1F kh'!Y16</f>
        <v>6.6652399999999998</v>
      </c>
      <c r="G69" s="139">
        <f>'2. XL-1F kh'!I54</f>
        <v>6.9194600000000008</v>
      </c>
      <c r="H69" s="139">
        <f>'2. XL-1F kh'!Q54</f>
        <v>7.2</v>
      </c>
      <c r="I69" s="192">
        <f>'2. XL-1F kh'!Y54</f>
        <v>7.1</v>
      </c>
    </row>
    <row r="70" spans="1:9" ht="21.75" hidden="1" customHeight="1">
      <c r="A70" s="122"/>
      <c r="B70" s="125"/>
      <c r="C70" s="126"/>
      <c r="D70" s="191">
        <f>'2. XL-1F kh'!I17</f>
        <v>2.35</v>
      </c>
      <c r="E70" s="139">
        <f>'2. XL-1F kh'!Q17</f>
        <v>2.2999999999999998</v>
      </c>
      <c r="F70" s="139">
        <f>'2. XL-1F kh'!Y17</f>
        <v>2.2999999999999998</v>
      </c>
      <c r="G70" s="139">
        <f>'2. XL-1F kh'!I55</f>
        <v>2.2000000000000002</v>
      </c>
      <c r="H70" s="139">
        <f>'2. XL-1F kh'!Q55</f>
        <v>2.23</v>
      </c>
      <c r="I70" s="192">
        <f>'2. XL-1F kh'!Y55</f>
        <v>2.2000000000000002</v>
      </c>
    </row>
    <row r="71" spans="1:9" ht="21.75" hidden="1" customHeight="1">
      <c r="A71" s="113">
        <v>8</v>
      </c>
      <c r="B71" s="116" t="s">
        <v>59</v>
      </c>
      <c r="C71" s="117"/>
      <c r="D71" s="191">
        <f>'2. XL-1F kh'!I18</f>
        <v>0.43343749999999998</v>
      </c>
      <c r="E71" s="139">
        <f>'2. XL-1F kh'!Q18</f>
        <v>0.45624999999999999</v>
      </c>
      <c r="F71" s="139">
        <f>'2. XL-1F kh'!Y18</f>
        <v>0.47335937500000008</v>
      </c>
      <c r="G71" s="139">
        <f>'2. XL-1F kh'!I56</f>
        <v>0.45624999999999999</v>
      </c>
      <c r="H71" s="139">
        <f>'2. XL-1F kh'!Q56</f>
        <v>0.45200000000000001</v>
      </c>
      <c r="I71" s="192">
        <f>'2. XL-1F kh'!Y56</f>
        <v>0.43343749999999998</v>
      </c>
    </row>
    <row r="72" spans="1:9" ht="21.75" hidden="1" customHeight="1">
      <c r="A72" s="113">
        <v>9</v>
      </c>
      <c r="B72" s="116" t="s">
        <v>60</v>
      </c>
      <c r="C72" s="117"/>
      <c r="D72" s="191">
        <f>'2. XL-1F kh'!I19</f>
        <v>0</v>
      </c>
      <c r="E72" s="139">
        <f>'2. XL-1F kh'!Q19</f>
        <v>0</v>
      </c>
      <c r="F72" s="139">
        <f>'2. XL-1F kh'!Y19</f>
        <v>0</v>
      </c>
      <c r="G72" s="139">
        <f>'2. XL-1F kh'!I57</f>
        <v>0</v>
      </c>
      <c r="H72" s="139">
        <f>'2. XL-1F kh'!Q57</f>
        <v>0</v>
      </c>
      <c r="I72" s="192">
        <f>'2. XL-1F kh'!Y57</f>
        <v>0</v>
      </c>
    </row>
    <row r="73" spans="1:9" ht="21.75" hidden="1" customHeight="1">
      <c r="A73" s="113">
        <v>11</v>
      </c>
      <c r="B73" s="116" t="s">
        <v>109</v>
      </c>
      <c r="C73" s="117"/>
      <c r="D73" s="191">
        <f>'2. XL-1F kh'!I20</f>
        <v>0</v>
      </c>
      <c r="E73" s="139">
        <f>'2. XL-1F kh'!Q20</f>
        <v>0</v>
      </c>
      <c r="F73" s="139">
        <f>'2. XL-1F kh'!Y20</f>
        <v>0</v>
      </c>
      <c r="G73" s="139">
        <f>'2. XL-1F kh'!I58</f>
        <v>0</v>
      </c>
      <c r="H73" s="139">
        <f>'2. XL-1F kh'!Q58</f>
        <v>0</v>
      </c>
      <c r="I73" s="192">
        <f>'2. XL-1F kh'!Y58</f>
        <v>0</v>
      </c>
    </row>
    <row r="74" spans="1:9" ht="21.75" hidden="1" customHeight="1">
      <c r="A74" s="113">
        <v>12</v>
      </c>
      <c r="B74" s="116" t="s">
        <v>108</v>
      </c>
      <c r="C74" s="117"/>
      <c r="D74" s="191">
        <f>'2. XL-1F kh'!I21</f>
        <v>1.1844E-2</v>
      </c>
      <c r="E74" s="139">
        <f>'2. XL-1F kh'!Q21</f>
        <v>1.0584E-2</v>
      </c>
      <c r="F74" s="139">
        <f>'2. XL-1F kh'!Y21</f>
        <v>1.0331999999999999E-2</v>
      </c>
      <c r="G74" s="139">
        <f>'2. XL-1F kh'!I59</f>
        <v>1.2348000000000001E-2</v>
      </c>
      <c r="H74" s="139">
        <f>'2. XL-1F kh'!Q59</f>
        <v>1.2E-2</v>
      </c>
      <c r="I74" s="192">
        <f>'2. XL-1F kh'!Y59</f>
        <v>9.4500000000000001E-3</v>
      </c>
    </row>
    <row r="75" spans="1:9" ht="21.75" hidden="1" customHeight="1">
      <c r="A75" s="152"/>
      <c r="B75" s="153" t="s">
        <v>110</v>
      </c>
      <c r="C75" s="160"/>
      <c r="D75" s="193" t="s">
        <v>158</v>
      </c>
      <c r="E75" s="148"/>
      <c r="F75" s="148"/>
      <c r="G75" s="148"/>
      <c r="H75" s="148"/>
      <c r="I75" s="194"/>
    </row>
    <row r="76" spans="1:9" ht="21.75" hidden="1" customHeight="1">
      <c r="A76" s="154" t="s">
        <v>7</v>
      </c>
      <c r="B76" s="155" t="s">
        <v>62</v>
      </c>
      <c r="C76" s="156"/>
      <c r="D76" s="195">
        <v>0.25</v>
      </c>
      <c r="E76" s="151">
        <v>0.41666666666666669</v>
      </c>
      <c r="F76" s="151">
        <v>0.58333333333333337</v>
      </c>
      <c r="G76" s="151">
        <v>0.75</v>
      </c>
      <c r="H76" s="151">
        <v>0.91666666666666663</v>
      </c>
      <c r="I76" s="196">
        <v>8.3333333333333329E-2</v>
      </c>
    </row>
    <row r="77" spans="1:9" ht="21.75" hidden="1" customHeight="1">
      <c r="A77" s="132">
        <v>1</v>
      </c>
      <c r="B77" s="119" t="s">
        <v>66</v>
      </c>
      <c r="C77" s="120"/>
      <c r="D77" s="191">
        <f>'2. XL-1F kh'!I26</f>
        <v>58</v>
      </c>
      <c r="E77" s="139">
        <f>'2. XL-1F kh'!Q26</f>
        <v>58</v>
      </c>
      <c r="F77" s="139">
        <f>'2. XL-1F kh'!Y26</f>
        <v>57</v>
      </c>
      <c r="G77" s="139">
        <f>'2. XL-1F kh'!I64</f>
        <v>55</v>
      </c>
      <c r="H77" s="139">
        <f>'2. XL-1F kh'!Q64</f>
        <v>58</v>
      </c>
      <c r="I77" s="192">
        <f>'2. XL-1F kh'!Y64</f>
        <v>55</v>
      </c>
    </row>
    <row r="78" spans="1:9" ht="21.75" hidden="1" customHeight="1">
      <c r="A78" s="132">
        <v>2</v>
      </c>
      <c r="B78" s="119" t="s">
        <v>67</v>
      </c>
      <c r="C78" s="120" t="s">
        <v>67</v>
      </c>
      <c r="D78" s="191">
        <f>'2. XL-1F kh'!I27</f>
        <v>59</v>
      </c>
      <c r="E78" s="139">
        <f>'2. XL-1F kh'!Q27</f>
        <v>60</v>
      </c>
      <c r="F78" s="139">
        <f>'2. XL-1F kh'!Y27</f>
        <v>59</v>
      </c>
      <c r="G78" s="139">
        <f>'2. XL-1F kh'!I65</f>
        <v>62</v>
      </c>
      <c r="H78" s="139">
        <f>'2. XL-1F kh'!Q65</f>
        <v>61</v>
      </c>
      <c r="I78" s="192">
        <f>'2. XL-1F kh'!Y65</f>
        <v>62</v>
      </c>
    </row>
    <row r="79" spans="1:9" ht="21.75" hidden="1" customHeight="1">
      <c r="A79" s="132">
        <v>3</v>
      </c>
      <c r="B79" s="119" t="s">
        <v>69</v>
      </c>
      <c r="C79" s="120" t="s">
        <v>69</v>
      </c>
      <c r="D79" s="191">
        <f>'2. XL-1F kh'!I28</f>
        <v>53</v>
      </c>
      <c r="E79" s="139">
        <f>'2. XL-1F kh'!Q28</f>
        <v>52</v>
      </c>
      <c r="F79" s="139">
        <f>'2. XL-1F kh'!Y28</f>
        <v>54</v>
      </c>
      <c r="G79" s="139">
        <f>'2. XL-1F kh'!I66</f>
        <v>53</v>
      </c>
      <c r="H79" s="139">
        <f>'2. XL-1F kh'!Q66</f>
        <v>54</v>
      </c>
      <c r="I79" s="192">
        <f>'2. XL-1F kh'!Y66</f>
        <v>53</v>
      </c>
    </row>
    <row r="80" spans="1:9" ht="21.75" hidden="1" customHeight="1">
      <c r="A80" s="132">
        <v>4</v>
      </c>
      <c r="B80" s="119" t="s">
        <v>68</v>
      </c>
      <c r="C80" s="120" t="s">
        <v>68</v>
      </c>
      <c r="D80" s="191">
        <f>'2. XL-1F kh'!I29</f>
        <v>51</v>
      </c>
      <c r="E80" s="139">
        <f>'2. XL-1F kh'!Q29</f>
        <v>50</v>
      </c>
      <c r="F80" s="139">
        <f>'2. XL-1F kh'!Y29</f>
        <v>54</v>
      </c>
      <c r="G80" s="139">
        <f>'2. XL-1F kh'!I67</f>
        <v>51</v>
      </c>
      <c r="H80" s="139">
        <f>'2. XL-1F kh'!Q67</f>
        <v>51</v>
      </c>
      <c r="I80" s="192">
        <f>'2. XL-1F kh'!Y67</f>
        <v>49</v>
      </c>
    </row>
    <row r="81" spans="1:9" ht="21.75" hidden="1" customHeight="1">
      <c r="A81" s="132">
        <v>5</v>
      </c>
      <c r="B81" s="119" t="s">
        <v>70</v>
      </c>
      <c r="C81" s="120" t="s">
        <v>70</v>
      </c>
      <c r="D81" s="191">
        <f>'2. XL-1F kh'!I30</f>
        <v>32</v>
      </c>
      <c r="E81" s="139">
        <f>'2. XL-1F kh'!Q30</f>
        <v>32</v>
      </c>
      <c r="F81" s="139">
        <f>'2. XL-1F kh'!Y30</f>
        <v>29</v>
      </c>
      <c r="G81" s="139">
        <f>'2. XL-1F kh'!I68</f>
        <v>32</v>
      </c>
      <c r="H81" s="139">
        <f>'2. XL-1F kh'!Q68</f>
        <v>31</v>
      </c>
      <c r="I81" s="192">
        <f>'2. XL-1F kh'!Y68</f>
        <v>31</v>
      </c>
    </row>
    <row r="82" spans="1:9" ht="21.75" hidden="1" customHeight="1">
      <c r="A82" s="132">
        <v>6</v>
      </c>
      <c r="B82" s="119" t="s">
        <v>88</v>
      </c>
      <c r="C82" s="120" t="s">
        <v>88</v>
      </c>
      <c r="D82" s="191">
        <f>'2. XL-1F kh'!I31</f>
        <v>33</v>
      </c>
      <c r="E82" s="139">
        <f>'2. XL-1F kh'!Q31</f>
        <v>33</v>
      </c>
      <c r="F82" s="139">
        <f>'2. XL-1F kh'!Y31</f>
        <v>34</v>
      </c>
      <c r="G82" s="139">
        <f>'2. XL-1F kh'!I69</f>
        <v>34</v>
      </c>
      <c r="H82" s="139">
        <f>'2. XL-1F kh'!Q69</f>
        <v>34</v>
      </c>
      <c r="I82" s="192">
        <f>'2. XL-1F kh'!Y69</f>
        <v>34</v>
      </c>
    </row>
    <row r="83" spans="1:9" ht="21.75" hidden="1" customHeight="1">
      <c r="A83" s="132">
        <v>7</v>
      </c>
      <c r="B83" s="119" t="s">
        <v>71</v>
      </c>
      <c r="C83" s="120" t="s">
        <v>71</v>
      </c>
      <c r="D83" s="191">
        <f>'2. XL-1F kh'!I32</f>
        <v>52</v>
      </c>
      <c r="E83" s="139">
        <f>'2. XL-1F kh'!Q32</f>
        <v>55</v>
      </c>
      <c r="F83" s="139">
        <f>'2. XL-1F kh'!Y32</f>
        <v>57</v>
      </c>
      <c r="G83" s="139">
        <f>'2. XL-1F kh'!I70</f>
        <v>55</v>
      </c>
      <c r="H83" s="139">
        <f>'2. XL-1F kh'!Q70</f>
        <v>56</v>
      </c>
      <c r="I83" s="192">
        <f>'2. XL-1F kh'!Y70</f>
        <v>52</v>
      </c>
    </row>
    <row r="84" spans="1:9" ht="21.75" hidden="1" customHeight="1">
      <c r="A84" s="132">
        <v>8</v>
      </c>
      <c r="B84" s="115" t="s">
        <v>72</v>
      </c>
      <c r="C84" s="118" t="s">
        <v>72</v>
      </c>
      <c r="D84" s="191">
        <f>'2. XL-1F kh'!K33</f>
        <v>92</v>
      </c>
      <c r="E84" s="139">
        <f>'2. XL-1F kh'!S33</f>
        <v>89</v>
      </c>
      <c r="F84" s="139">
        <f>'2. XL-1F kh'!AA33</f>
        <v>93</v>
      </c>
      <c r="G84" s="139">
        <f>'2. XL-1F kh'!K71</f>
        <v>90</v>
      </c>
      <c r="H84" s="139">
        <f>'2. XL-1F kh'!S71</f>
        <v>90</v>
      </c>
      <c r="I84" s="192">
        <f>'2. XL-1F kh'!AA71</f>
        <v>90</v>
      </c>
    </row>
    <row r="85" spans="1:9" ht="21.75" hidden="1" customHeight="1">
      <c r="A85" s="152"/>
      <c r="B85" s="153" t="s">
        <v>111</v>
      </c>
      <c r="C85" s="160"/>
      <c r="D85" s="193" t="s">
        <v>159</v>
      </c>
      <c r="E85" s="148"/>
      <c r="F85" s="148"/>
      <c r="G85" s="148"/>
      <c r="H85" s="148"/>
      <c r="I85" s="194"/>
    </row>
    <row r="86" spans="1:9" ht="21.75" hidden="1" customHeight="1">
      <c r="A86" s="154" t="s">
        <v>7</v>
      </c>
      <c r="B86" s="155" t="s">
        <v>93</v>
      </c>
      <c r="C86" s="156"/>
      <c r="D86" s="195">
        <v>0.25</v>
      </c>
      <c r="E86" s="151">
        <v>0.41666666666666669</v>
      </c>
      <c r="F86" s="151">
        <v>0.58333333333333337</v>
      </c>
      <c r="G86" s="151">
        <v>0.75</v>
      </c>
      <c r="H86" s="151">
        <v>0.91666666666666663</v>
      </c>
      <c r="I86" s="196">
        <v>8.3333333333333329E-2</v>
      </c>
    </row>
    <row r="87" spans="1:9" ht="21.75" hidden="1" customHeight="1">
      <c r="A87" s="113">
        <v>1</v>
      </c>
      <c r="B87" s="116" t="s">
        <v>52</v>
      </c>
      <c r="C87" s="117"/>
      <c r="D87" s="191">
        <f>'2. XL-1F kh'!I36</f>
        <v>120</v>
      </c>
      <c r="E87" s="139">
        <f>'2. XL-1F kh'!Q36</f>
        <v>122</v>
      </c>
      <c r="F87" s="139">
        <f>'2. XL-1F kh'!Y36</f>
        <v>115</v>
      </c>
      <c r="G87" s="139">
        <f>'2. XL-1F kh'!I74</f>
        <v>115</v>
      </c>
      <c r="H87" s="139">
        <f>'2. XL-1F kh'!Q74</f>
        <v>110</v>
      </c>
      <c r="I87" s="192">
        <f>'2. XL-1F kh'!Y74</f>
        <v>115</v>
      </c>
    </row>
    <row r="88" spans="1:9" ht="21.75" hidden="1" customHeight="1">
      <c r="A88" s="113">
        <v>2</v>
      </c>
      <c r="B88" s="116" t="s">
        <v>87</v>
      </c>
      <c r="C88" s="117"/>
      <c r="D88" s="191">
        <f>'2. XL-1F kh'!I37</f>
        <v>38</v>
      </c>
      <c r="E88" s="139">
        <f>'2. XL-1F kh'!Q37</f>
        <v>40</v>
      </c>
      <c r="F88" s="139">
        <f>'2. XL-1F kh'!Y37</f>
        <v>40</v>
      </c>
      <c r="G88" s="139">
        <f>'2. XL-1F kh'!I75</f>
        <v>42</v>
      </c>
      <c r="H88" s="139">
        <f>'2. XL-1F kh'!Q75</f>
        <v>42</v>
      </c>
      <c r="I88" s="192">
        <f>'2. XL-1F kh'!Y75</f>
        <v>40</v>
      </c>
    </row>
    <row r="89" spans="1:9" ht="21.75" hidden="1" customHeight="1">
      <c r="A89" s="145"/>
      <c r="B89" s="145"/>
      <c r="C89" s="145"/>
      <c r="D89" s="193" t="s">
        <v>157</v>
      </c>
      <c r="E89" s="148"/>
      <c r="F89" s="148"/>
      <c r="G89" s="148"/>
      <c r="H89" s="148"/>
      <c r="I89" s="194"/>
    </row>
    <row r="90" spans="1:9" ht="21.75" hidden="1" customHeight="1">
      <c r="A90" s="145"/>
      <c r="B90" s="145"/>
      <c r="C90" s="145"/>
      <c r="D90" s="197">
        <v>0.25</v>
      </c>
      <c r="E90" s="143">
        <v>0.41666666666666669</v>
      </c>
      <c r="F90" s="143">
        <v>0.58333333333333337</v>
      </c>
      <c r="G90" s="143">
        <v>0.75</v>
      </c>
      <c r="H90" s="143">
        <v>0.91666666666666663</v>
      </c>
      <c r="I90" s="198">
        <v>8.3333333333333329E-2</v>
      </c>
    </row>
    <row r="91" spans="1:9" ht="21.75" hidden="1" customHeight="1">
      <c r="A91" s="110">
        <v>1</v>
      </c>
      <c r="B91" s="123" t="s">
        <v>132</v>
      </c>
      <c r="C91" s="129" t="s">
        <v>101</v>
      </c>
      <c r="D91" s="199">
        <f>'2. XL-1F kh'!K6</f>
        <v>0</v>
      </c>
      <c r="E91" s="146">
        <f>'2. XL-1F kh'!S6</f>
        <v>2.1543999999999923</v>
      </c>
      <c r="F91" s="146">
        <f>'2. XL-1F kh'!AA6</f>
        <v>0</v>
      </c>
      <c r="G91" s="146">
        <f>'2. XL-1F kh'!K44</f>
        <v>0</v>
      </c>
      <c r="H91" s="146">
        <f>'2. XL-1F kh'!S44</f>
        <v>0</v>
      </c>
      <c r="I91" s="200">
        <f>'2. XL-1F kh'!AA44</f>
        <v>0</v>
      </c>
    </row>
    <row r="92" spans="1:9" ht="21.75" hidden="1" customHeight="1">
      <c r="A92" s="111"/>
      <c r="B92" s="130"/>
      <c r="C92" s="116" t="s">
        <v>102</v>
      </c>
      <c r="D92" s="199" t="e">
        <f>'2. XL-1F kh'!#REF!</f>
        <v>#REF!</v>
      </c>
      <c r="E92" s="146" t="e">
        <f>'2. XL-1F kh'!#REF!</f>
        <v>#REF!</v>
      </c>
      <c r="F92" s="146" t="e">
        <f>'2. XL-1F kh'!#REF!</f>
        <v>#REF!</v>
      </c>
      <c r="G92" s="146" t="e">
        <f>'2. XL-1F kh'!#REF!</f>
        <v>#REF!</v>
      </c>
      <c r="H92" s="146" t="e">
        <f>'2. XL-1F kh'!#REF!</f>
        <v>#REF!</v>
      </c>
      <c r="I92" s="200" t="e">
        <f>'2. XL-1F kh'!#REF!</f>
        <v>#REF!</v>
      </c>
    </row>
    <row r="93" spans="1:9" ht="21.75" hidden="1" customHeight="1">
      <c r="A93" s="112"/>
      <c r="B93" s="131"/>
      <c r="C93" s="116" t="s">
        <v>104</v>
      </c>
      <c r="D93" s="199" t="e">
        <f>'2. XL-1F kh'!#REF!</f>
        <v>#REF!</v>
      </c>
      <c r="E93" s="146" t="e">
        <f>'2. XL-1F kh'!#REF!</f>
        <v>#REF!</v>
      </c>
      <c r="F93" s="146" t="e">
        <f>'2. XL-1F kh'!#REF!</f>
        <v>#REF!</v>
      </c>
      <c r="G93" s="146" t="e">
        <f>'2. XL-1F kh'!#REF!</f>
        <v>#REF!</v>
      </c>
      <c r="H93" s="146" t="e">
        <f>'2. XL-1F kh'!#REF!</f>
        <v>#REF!</v>
      </c>
      <c r="I93" s="200" t="e">
        <f>'2. XL-1F kh'!#REF!</f>
        <v>#REF!</v>
      </c>
    </row>
    <row r="94" spans="1:9" ht="21.75" hidden="1" customHeight="1">
      <c r="A94" s="110">
        <v>2</v>
      </c>
      <c r="B94" s="123" t="s">
        <v>133</v>
      </c>
      <c r="C94" s="129" t="s">
        <v>101</v>
      </c>
      <c r="D94" s="199">
        <f>'2. XL-1F kh'!K8</f>
        <v>1.6525000000000001</v>
      </c>
      <c r="E94" s="146">
        <f>'2. XL-1F kh'!S8</f>
        <v>0</v>
      </c>
      <c r="F94" s="146">
        <f>'2. XL-1F kh'!AA8</f>
        <v>0</v>
      </c>
      <c r="G94" s="146">
        <f>'2. XL-1F kh'!K46</f>
        <v>0</v>
      </c>
      <c r="H94" s="146">
        <f>'2. XL-1F kh'!S46</f>
        <v>0</v>
      </c>
      <c r="I94" s="200">
        <f>'2. XL-1F kh'!AA46</f>
        <v>0</v>
      </c>
    </row>
    <row r="95" spans="1:9" ht="21.75" hidden="1" customHeight="1">
      <c r="A95" s="111"/>
      <c r="B95" s="130"/>
      <c r="C95" s="116" t="s">
        <v>102</v>
      </c>
      <c r="D95" s="199" t="e">
        <f>'2. XL-1F kh'!#REF!</f>
        <v>#REF!</v>
      </c>
      <c r="E95" s="146" t="e">
        <f>'2. XL-1F kh'!#REF!</f>
        <v>#REF!</v>
      </c>
      <c r="F95" s="146" t="e">
        <f>'2. XL-1F kh'!#REF!</f>
        <v>#REF!</v>
      </c>
      <c r="G95" s="146" t="e">
        <f>'2. XL-1F kh'!#REF!</f>
        <v>#REF!</v>
      </c>
      <c r="H95" s="146" t="e">
        <f>'2. XL-1F kh'!#REF!</f>
        <v>#REF!</v>
      </c>
      <c r="I95" s="200" t="e">
        <f>'2. XL-1F kh'!#REF!</f>
        <v>#REF!</v>
      </c>
    </row>
    <row r="96" spans="1:9" ht="21.75" hidden="1" customHeight="1">
      <c r="A96" s="112"/>
      <c r="B96" s="131"/>
      <c r="C96" s="116" t="s">
        <v>104</v>
      </c>
      <c r="D96" s="199" t="e">
        <f>'2. XL-1F kh'!#REF!</f>
        <v>#REF!</v>
      </c>
      <c r="E96" s="146" t="e">
        <f>'2. XL-1F kh'!#REF!</f>
        <v>#REF!</v>
      </c>
      <c r="F96" s="146" t="e">
        <f>'2. XL-1F kh'!#REF!</f>
        <v>#REF!</v>
      </c>
      <c r="G96" s="146" t="e">
        <f>'2. XL-1F kh'!#REF!</f>
        <v>#REF!</v>
      </c>
      <c r="H96" s="146" t="e">
        <f>'2. XL-1F kh'!#REF!</f>
        <v>#REF!</v>
      </c>
      <c r="I96" s="200" t="e">
        <f>'2. XL-1F kh'!#REF!</f>
        <v>#REF!</v>
      </c>
    </row>
    <row r="97" spans="1:9" ht="21.75" hidden="1" customHeight="1">
      <c r="A97" s="110">
        <v>3</v>
      </c>
      <c r="B97" s="127" t="s">
        <v>134</v>
      </c>
      <c r="C97" s="129" t="s">
        <v>101</v>
      </c>
      <c r="D97" s="199">
        <f>'2. XL-1F kh'!K10</f>
        <v>3.9361800000000011</v>
      </c>
      <c r="E97" s="146">
        <f>'2. XL-1F kh'!S10</f>
        <v>0</v>
      </c>
      <c r="F97" s="146">
        <f>'2. XL-1F kh'!AA10</f>
        <v>0</v>
      </c>
      <c r="G97" s="146">
        <f>'2. XL-1F kh'!K48</f>
        <v>0</v>
      </c>
      <c r="H97" s="146">
        <f>'2. XL-1F kh'!S48</f>
        <v>0</v>
      </c>
      <c r="I97" s="200">
        <f>'2. XL-1F kh'!AA48</f>
        <v>0</v>
      </c>
    </row>
    <row r="98" spans="1:9" ht="21.75" hidden="1" customHeight="1">
      <c r="A98" s="112"/>
      <c r="B98" s="128"/>
      <c r="C98" s="116" t="s">
        <v>105</v>
      </c>
      <c r="D98" s="199">
        <f>'2. XL-1F kh'!K11</f>
        <v>1.1021304000000003</v>
      </c>
      <c r="E98" s="146">
        <f>'2. XL-1F kh'!S11</f>
        <v>0</v>
      </c>
      <c r="F98" s="146">
        <f>'2. XL-1F kh'!AA11</f>
        <v>0</v>
      </c>
      <c r="G98" s="146">
        <f>'2. XL-1F kh'!K49</f>
        <v>0</v>
      </c>
      <c r="H98" s="146">
        <f>'2. XL-1F kh'!S49</f>
        <v>0</v>
      </c>
      <c r="I98" s="200">
        <f>'2. XL-1F kh'!AA49</f>
        <v>0</v>
      </c>
    </row>
    <row r="99" spans="1:9" ht="21.75" hidden="1" customHeight="1">
      <c r="A99" s="110">
        <v>4</v>
      </c>
      <c r="B99" s="127" t="s">
        <v>135</v>
      </c>
      <c r="C99" s="129" t="s">
        <v>101</v>
      </c>
      <c r="D99" s="199">
        <f>'2. XL-1F kh'!K12</f>
        <v>4.6308659999999895</v>
      </c>
      <c r="E99" s="146">
        <f>'2. XL-1F kh'!S12</f>
        <v>2.6086920000000053</v>
      </c>
      <c r="F99" s="146">
        <f>'2. XL-1F kh'!AA12</f>
        <v>0</v>
      </c>
      <c r="G99" s="146">
        <f>'2. XL-1F kh'!K50</f>
        <v>0</v>
      </c>
      <c r="H99" s="146">
        <f>'2. XL-1F kh'!S50</f>
        <v>0</v>
      </c>
      <c r="I99" s="200">
        <f>'2. XL-1F kh'!AA50</f>
        <v>0</v>
      </c>
    </row>
    <row r="100" spans="1:9" ht="21.75" hidden="1" customHeight="1">
      <c r="A100" s="112"/>
      <c r="B100" s="128"/>
      <c r="C100" s="116" t="s">
        <v>105</v>
      </c>
      <c r="D100" s="199">
        <f>'2. XL-1F kh'!K13</f>
        <v>1.2966424799999972</v>
      </c>
      <c r="E100" s="146">
        <f>'2. XL-1F kh'!S13</f>
        <v>0.73043376000000149</v>
      </c>
      <c r="F100" s="146">
        <f>'2. XL-1F kh'!AA13</f>
        <v>0</v>
      </c>
      <c r="G100" s="146">
        <f>'2. XL-1F kh'!K51</f>
        <v>0</v>
      </c>
      <c r="H100" s="146">
        <f>'2. XL-1F kh'!S51</f>
        <v>0</v>
      </c>
      <c r="I100" s="200">
        <f>'2. XL-1F kh'!AA51</f>
        <v>0</v>
      </c>
    </row>
    <row r="101" spans="1:9" ht="21.75" hidden="1" customHeight="1">
      <c r="A101" s="113">
        <v>5</v>
      </c>
      <c r="B101" s="116" t="s">
        <v>80</v>
      </c>
      <c r="C101" s="117"/>
      <c r="D101" s="199">
        <f>'2. XL-1F kh'!K14</f>
        <v>0</v>
      </c>
      <c r="E101" s="146">
        <f>'2. XL-1F kh'!S14</f>
        <v>0</v>
      </c>
      <c r="F101" s="146">
        <f>'2. XL-1F kh'!AA14</f>
        <v>0</v>
      </c>
      <c r="G101" s="146">
        <f>'2. XL-1F kh'!K52</f>
        <v>0</v>
      </c>
      <c r="H101" s="146">
        <f>'2. XL-1F kh'!S52</f>
        <v>0</v>
      </c>
      <c r="I101" s="200">
        <f>'2. XL-1F kh'!AA52</f>
        <v>0</v>
      </c>
    </row>
    <row r="102" spans="1:9" ht="21.75" hidden="1" customHeight="1">
      <c r="A102" s="113">
        <v>6</v>
      </c>
      <c r="B102" s="116" t="s">
        <v>58</v>
      </c>
      <c r="C102" s="117"/>
      <c r="D102" s="199">
        <f>'2. XL-1F kh'!K15</f>
        <v>0</v>
      </c>
      <c r="E102" s="146">
        <f>'2. XL-1F kh'!S15</f>
        <v>0</v>
      </c>
      <c r="F102" s="146">
        <f>'2. XL-1F kh'!AA15</f>
        <v>0</v>
      </c>
      <c r="G102" s="146">
        <f>'2. XL-1F kh'!K53</f>
        <v>0</v>
      </c>
      <c r="H102" s="146">
        <f>'2. XL-1F kh'!S53</f>
        <v>0</v>
      </c>
      <c r="I102" s="200">
        <f>'2. XL-1F kh'!AA53</f>
        <v>0</v>
      </c>
    </row>
    <row r="103" spans="1:9" ht="21.75" hidden="1" customHeight="1">
      <c r="A103" s="121">
        <v>7</v>
      </c>
      <c r="B103" s="123" t="s">
        <v>107</v>
      </c>
      <c r="C103" s="124"/>
      <c r="D103" s="199">
        <f>'2. XL-1F kh'!K16</f>
        <v>0.21947750000000021</v>
      </c>
      <c r="E103" s="146">
        <f>'2. XL-1F kh'!S16</f>
        <v>0</v>
      </c>
      <c r="F103" s="146">
        <f>'2. XL-1F kh'!AA16</f>
        <v>1.9248700000000012</v>
      </c>
      <c r="G103" s="146">
        <f>'2. XL-1F kh'!K54</f>
        <v>0.46310499999999521</v>
      </c>
      <c r="H103" s="146">
        <f>'2. XL-1F kh'!S54</f>
        <v>0</v>
      </c>
      <c r="I103" s="200">
        <f>'2. XL-1F kh'!AA54</f>
        <v>0</v>
      </c>
    </row>
    <row r="104" spans="1:9" ht="21.75" hidden="1" customHeight="1">
      <c r="A104" s="122"/>
      <c r="B104" s="125"/>
      <c r="C104" s="126"/>
      <c r="D104" s="199">
        <f>'2. XL-1F kh'!K17</f>
        <v>0</v>
      </c>
      <c r="E104" s="146">
        <f>'2. XL-1F kh'!S17</f>
        <v>0</v>
      </c>
      <c r="F104" s="146">
        <f>'2. XL-1F kh'!AA17</f>
        <v>0</v>
      </c>
      <c r="G104" s="146">
        <f>'2. XL-1F kh'!K55</f>
        <v>0</v>
      </c>
      <c r="H104" s="146">
        <f>'2. XL-1F kh'!S55</f>
        <v>0</v>
      </c>
      <c r="I104" s="200">
        <f>'2. XL-1F kh'!AA55</f>
        <v>0</v>
      </c>
    </row>
    <row r="105" spans="1:9" ht="21.75" hidden="1" customHeight="1">
      <c r="A105" s="113">
        <v>8</v>
      </c>
      <c r="B105" s="116" t="s">
        <v>59</v>
      </c>
      <c r="C105" s="117"/>
      <c r="D105" s="199">
        <f>'2. XL-1F kh'!K18</f>
        <v>35.145625000000074</v>
      </c>
      <c r="E105" s="146">
        <f>'2. XL-1F kh'!S18</f>
        <v>0</v>
      </c>
      <c r="F105" s="146">
        <f>'2. XL-1F kh'!AA18</f>
        <v>0</v>
      </c>
      <c r="G105" s="146">
        <f>'2. XL-1F kh'!K56</f>
        <v>0</v>
      </c>
      <c r="H105" s="146">
        <f>'2. XL-1F kh'!S56</f>
        <v>0</v>
      </c>
      <c r="I105" s="200">
        <f>'2. XL-1F kh'!AA56</f>
        <v>35.145625000000074</v>
      </c>
    </row>
    <row r="106" spans="1:9" ht="21.75" hidden="1" customHeight="1">
      <c r="A106" s="113">
        <v>9</v>
      </c>
      <c r="B106" s="116" t="s">
        <v>60</v>
      </c>
      <c r="C106" s="117"/>
      <c r="D106" s="199">
        <f>'2. XL-1F kh'!K19</f>
        <v>134.64000000000001</v>
      </c>
      <c r="E106" s="146">
        <f>'2. XL-1F kh'!S19</f>
        <v>134.64000000000001</v>
      </c>
      <c r="F106" s="146">
        <f>'2. XL-1F kh'!AA19</f>
        <v>134.64000000000001</v>
      </c>
      <c r="G106" s="146">
        <f>'2. XL-1F kh'!K57</f>
        <v>134.64000000000001</v>
      </c>
      <c r="H106" s="146">
        <f>'2. XL-1F kh'!S57</f>
        <v>134.64000000000001</v>
      </c>
      <c r="I106" s="200">
        <f>'2. XL-1F kh'!AA57</f>
        <v>134.64000000000001</v>
      </c>
    </row>
    <row r="107" spans="1:9" ht="21.75" hidden="1" customHeight="1">
      <c r="A107" s="113">
        <v>11</v>
      </c>
      <c r="B107" s="116" t="s">
        <v>109</v>
      </c>
      <c r="C107" s="117"/>
      <c r="D107" s="199">
        <f>'2. XL-1F kh'!K20</f>
        <v>57.5</v>
      </c>
      <c r="E107" s="146">
        <f>'2. XL-1F kh'!S20</f>
        <v>57.5</v>
      </c>
      <c r="F107" s="146">
        <f>'2. XL-1F kh'!AA20</f>
        <v>57.5</v>
      </c>
      <c r="G107" s="146">
        <f>'2. XL-1F kh'!K58</f>
        <v>57.5</v>
      </c>
      <c r="H107" s="146">
        <f>'2. XL-1F kh'!S58</f>
        <v>57.5</v>
      </c>
      <c r="I107" s="200">
        <f>'2. XL-1F kh'!AA58</f>
        <v>57.5</v>
      </c>
    </row>
    <row r="108" spans="1:9" ht="21.75" hidden="1" customHeight="1">
      <c r="A108" s="113">
        <v>12</v>
      </c>
      <c r="B108" s="116" t="s">
        <v>108</v>
      </c>
      <c r="C108" s="117"/>
      <c r="D108" s="201">
        <f>'2. XL-1F kh'!K21</f>
        <v>0</v>
      </c>
      <c r="E108" s="150">
        <f>'2. XL-1F kh'!S21</f>
        <v>0</v>
      </c>
      <c r="F108" s="150">
        <f>'2. XL-1F kh'!AA21</f>
        <v>0</v>
      </c>
      <c r="G108" s="150">
        <f>'2. XL-1F kh'!K59</f>
        <v>0</v>
      </c>
      <c r="H108" s="150">
        <f>'2. XL-1F kh'!S59</f>
        <v>0</v>
      </c>
      <c r="I108" s="202">
        <f>'2. XL-1F kh'!AA59</f>
        <v>0.29699439633214475</v>
      </c>
    </row>
    <row r="109" spans="1:9" ht="21.75" hidden="1" customHeight="1">
      <c r="D109" s="191"/>
      <c r="E109" s="139"/>
      <c r="F109" s="139"/>
      <c r="G109" s="139"/>
      <c r="H109" s="139"/>
      <c r="I109" s="192"/>
    </row>
    <row r="110" spans="1:9" ht="39" hidden="1" customHeight="1">
      <c r="A110" s="174"/>
      <c r="B110" s="172" t="s">
        <v>210</v>
      </c>
      <c r="C110" s="175"/>
      <c r="D110" s="203"/>
      <c r="E110" s="176"/>
      <c r="F110" s="139"/>
      <c r="G110" s="139"/>
      <c r="H110" s="139"/>
      <c r="I110" s="192"/>
    </row>
    <row r="111" spans="1:9" ht="21.75" hidden="1" customHeight="1">
      <c r="A111" s="169" t="s">
        <v>7</v>
      </c>
      <c r="B111" s="157"/>
      <c r="C111" s="157"/>
      <c r="D111" s="193" t="s">
        <v>156</v>
      </c>
      <c r="E111" s="148"/>
      <c r="F111" s="148"/>
      <c r="G111" s="148"/>
      <c r="H111" s="148"/>
      <c r="I111" s="194"/>
    </row>
    <row r="112" spans="1:9" ht="21.75" hidden="1" customHeight="1">
      <c r="A112" s="170"/>
      <c r="B112" s="166"/>
      <c r="C112" s="166"/>
      <c r="D112" s="197">
        <v>0.25</v>
      </c>
      <c r="E112" s="143">
        <v>0.41666666666666669</v>
      </c>
      <c r="F112" s="143">
        <v>0.58333333333333337</v>
      </c>
      <c r="G112" s="143">
        <v>0.75</v>
      </c>
      <c r="H112" s="143">
        <v>0.91666666666666663</v>
      </c>
      <c r="I112" s="198">
        <v>8.3333333333333329E-2</v>
      </c>
    </row>
    <row r="113" spans="1:9" ht="21.75" hidden="1" customHeight="1">
      <c r="A113" s="3233">
        <v>1</v>
      </c>
      <c r="B113" s="3235" t="s">
        <v>132</v>
      </c>
      <c r="C113" s="177" t="s">
        <v>101</v>
      </c>
      <c r="D113" s="191"/>
      <c r="E113" s="139"/>
      <c r="F113" s="139"/>
      <c r="G113" s="139"/>
      <c r="H113" s="139"/>
      <c r="I113" s="192"/>
    </row>
    <row r="114" spans="1:9" ht="21.75" hidden="1" customHeight="1">
      <c r="A114" s="3233"/>
      <c r="B114" s="3236"/>
      <c r="C114" s="178" t="s">
        <v>102</v>
      </c>
      <c r="D114" s="191"/>
      <c r="E114" s="139"/>
      <c r="F114" s="139"/>
      <c r="G114" s="139"/>
      <c r="H114" s="139"/>
      <c r="I114" s="192"/>
    </row>
    <row r="115" spans="1:9" ht="21.75" hidden="1" customHeight="1">
      <c r="A115" s="3234"/>
      <c r="B115" s="3237"/>
      <c r="C115" s="126" t="s">
        <v>104</v>
      </c>
      <c r="D115" s="189"/>
      <c r="E115" s="140"/>
      <c r="F115" s="140"/>
      <c r="G115" s="140"/>
      <c r="H115" s="140"/>
      <c r="I115" s="190"/>
    </row>
    <row r="116" spans="1:9" ht="21.75" hidden="1" customHeight="1">
      <c r="A116" s="3149">
        <v>2</v>
      </c>
      <c r="B116" s="3238" t="s">
        <v>133</v>
      </c>
      <c r="C116" s="131" t="s">
        <v>101</v>
      </c>
      <c r="D116" s="191"/>
      <c r="E116" s="139"/>
      <c r="F116" s="139"/>
      <c r="G116" s="139"/>
      <c r="H116" s="139"/>
      <c r="I116" s="192"/>
    </row>
    <row r="117" spans="1:9" ht="21.75" hidden="1" customHeight="1">
      <c r="A117" s="3149"/>
      <c r="B117" s="3122"/>
      <c r="C117" s="116" t="s">
        <v>102</v>
      </c>
      <c r="D117" s="191"/>
      <c r="E117" s="139"/>
      <c r="F117" s="139"/>
      <c r="G117" s="139"/>
      <c r="H117" s="139"/>
      <c r="I117" s="192"/>
    </row>
    <row r="118" spans="1:9" ht="21.75" hidden="1" customHeight="1">
      <c r="A118" s="3117"/>
      <c r="B118" s="3124"/>
      <c r="C118" s="116" t="s">
        <v>104</v>
      </c>
      <c r="D118" s="191"/>
      <c r="E118" s="139"/>
      <c r="F118" s="139"/>
      <c r="G118" s="139"/>
      <c r="H118" s="139"/>
      <c r="I118" s="192"/>
    </row>
    <row r="119" spans="1:9" ht="21.75" hidden="1" customHeight="1">
      <c r="A119" s="3116">
        <v>3</v>
      </c>
      <c r="B119" s="3128" t="s">
        <v>134</v>
      </c>
      <c r="C119" s="129" t="s">
        <v>101</v>
      </c>
      <c r="D119" s="191"/>
      <c r="E119" s="139"/>
      <c r="F119" s="139"/>
      <c r="G119" s="139"/>
      <c r="H119" s="139"/>
      <c r="I119" s="192"/>
    </row>
    <row r="120" spans="1:9" ht="21.75" hidden="1" customHeight="1">
      <c r="A120" s="3117"/>
      <c r="B120" s="3129"/>
      <c r="C120" s="116" t="s">
        <v>105</v>
      </c>
      <c r="D120" s="191"/>
      <c r="E120" s="139"/>
      <c r="F120" s="139"/>
      <c r="G120" s="139"/>
      <c r="H120" s="139"/>
      <c r="I120" s="192"/>
    </row>
    <row r="121" spans="1:9" ht="21.75" hidden="1" customHeight="1">
      <c r="A121" s="3116">
        <v>4</v>
      </c>
      <c r="B121" s="3128" t="s">
        <v>135</v>
      </c>
      <c r="C121" s="129" t="s">
        <v>101</v>
      </c>
      <c r="D121" s="191"/>
      <c r="E121" s="139"/>
      <c r="F121" s="139"/>
      <c r="G121" s="139"/>
      <c r="H121" s="139"/>
      <c r="I121" s="192"/>
    </row>
    <row r="122" spans="1:9" ht="21.75" hidden="1" customHeight="1">
      <c r="A122" s="3117"/>
      <c r="B122" s="3129"/>
      <c r="C122" s="116" t="s">
        <v>105</v>
      </c>
      <c r="D122" s="191"/>
      <c r="E122" s="139"/>
      <c r="F122" s="139"/>
      <c r="G122" s="139"/>
      <c r="H122" s="139"/>
      <c r="I122" s="192"/>
    </row>
    <row r="123" spans="1:9" ht="21.75" hidden="1" customHeight="1">
      <c r="A123" s="113">
        <v>5</v>
      </c>
      <c r="B123" s="3108" t="s">
        <v>80</v>
      </c>
      <c r="C123" s="3110"/>
      <c r="D123" s="191"/>
      <c r="E123" s="139"/>
      <c r="F123" s="139"/>
      <c r="G123" s="139"/>
      <c r="H123" s="139"/>
      <c r="I123" s="192"/>
    </row>
    <row r="124" spans="1:9" ht="21.75" hidden="1" customHeight="1">
      <c r="A124" s="113">
        <v>6</v>
      </c>
      <c r="B124" s="3108" t="s">
        <v>58</v>
      </c>
      <c r="C124" s="3110"/>
      <c r="D124" s="191"/>
      <c r="E124" s="139"/>
      <c r="F124" s="139"/>
      <c r="G124" s="139"/>
      <c r="H124" s="139"/>
      <c r="I124" s="192"/>
    </row>
    <row r="125" spans="1:9" ht="21.75" hidden="1" customHeight="1">
      <c r="A125" s="3239">
        <v>7</v>
      </c>
      <c r="B125" s="2877" t="s">
        <v>150</v>
      </c>
      <c r="C125" s="2878"/>
      <c r="D125" s="191"/>
      <c r="E125" s="139"/>
      <c r="F125" s="139"/>
      <c r="G125" s="139"/>
      <c r="H125" s="139"/>
      <c r="I125" s="192"/>
    </row>
    <row r="126" spans="1:9" ht="21.75" hidden="1" customHeight="1">
      <c r="A126" s="3240"/>
      <c r="B126" s="2880"/>
      <c r="C126" s="2881"/>
      <c r="D126" s="191"/>
      <c r="E126" s="139"/>
      <c r="F126" s="139"/>
      <c r="G126" s="139"/>
      <c r="H126" s="139"/>
      <c r="I126" s="192"/>
    </row>
    <row r="127" spans="1:9" ht="21.75" hidden="1" customHeight="1">
      <c r="A127" s="113">
        <v>8</v>
      </c>
      <c r="B127" s="3108" t="s">
        <v>59</v>
      </c>
      <c r="C127" s="3110"/>
      <c r="D127" s="191"/>
      <c r="E127" s="139"/>
      <c r="F127" s="139"/>
      <c r="G127" s="139"/>
      <c r="H127" s="139"/>
      <c r="I127" s="192"/>
    </row>
    <row r="128" spans="1:9" ht="21.75" hidden="1" customHeight="1">
      <c r="A128" s="113">
        <v>9</v>
      </c>
      <c r="B128" s="3108" t="s">
        <v>60</v>
      </c>
      <c r="C128" s="3110"/>
      <c r="D128" s="191"/>
      <c r="E128" s="139"/>
      <c r="F128" s="139"/>
      <c r="G128" s="139"/>
      <c r="H128" s="139"/>
      <c r="I128" s="192"/>
    </row>
    <row r="129" spans="1:9" ht="21.75" hidden="1" customHeight="1">
      <c r="A129" s="113">
        <v>10</v>
      </c>
      <c r="B129" s="3108" t="s">
        <v>108</v>
      </c>
      <c r="C129" s="3110"/>
      <c r="D129" s="191"/>
      <c r="E129" s="139"/>
      <c r="F129" s="139"/>
      <c r="G129" s="139"/>
      <c r="H129" s="139"/>
      <c r="I129" s="192"/>
    </row>
    <row r="130" spans="1:9" ht="21.75" hidden="1" customHeight="1">
      <c r="A130" s="152"/>
      <c r="B130" s="153" t="s">
        <v>110</v>
      </c>
      <c r="C130" s="160"/>
      <c r="D130" s="193" t="s">
        <v>158</v>
      </c>
      <c r="E130" s="148"/>
      <c r="F130" s="148"/>
      <c r="G130" s="148"/>
      <c r="H130" s="148"/>
      <c r="I130" s="194"/>
    </row>
    <row r="131" spans="1:9" ht="21.75" hidden="1" customHeight="1">
      <c r="A131" s="154" t="s">
        <v>7</v>
      </c>
      <c r="B131" s="155" t="s">
        <v>62</v>
      </c>
      <c r="C131" s="156"/>
      <c r="D131" s="195">
        <v>0.25</v>
      </c>
      <c r="E131" s="151">
        <v>0.41666666666666669</v>
      </c>
      <c r="F131" s="151">
        <v>0.58333333333333337</v>
      </c>
      <c r="G131" s="151">
        <v>0.75</v>
      </c>
      <c r="H131" s="151">
        <v>0.91666666666666663</v>
      </c>
      <c r="I131" s="196">
        <v>8.3333333333333329E-2</v>
      </c>
    </row>
    <row r="132" spans="1:9" ht="21.75" hidden="1" customHeight="1">
      <c r="A132" s="132">
        <v>1</v>
      </c>
      <c r="B132" s="2871" t="s">
        <v>66</v>
      </c>
      <c r="C132" s="2872"/>
      <c r="D132" s="191"/>
      <c r="E132" s="139"/>
      <c r="F132" s="139"/>
      <c r="G132" s="139"/>
      <c r="H132" s="139"/>
      <c r="I132" s="192"/>
    </row>
    <row r="133" spans="1:9" ht="21.75" hidden="1" customHeight="1">
      <c r="A133" s="132">
        <v>2</v>
      </c>
      <c r="B133" s="2871" t="s">
        <v>67</v>
      </c>
      <c r="C133" s="2872" t="s">
        <v>67</v>
      </c>
      <c r="D133" s="191"/>
      <c r="E133" s="139"/>
      <c r="F133" s="139"/>
      <c r="G133" s="139"/>
      <c r="H133" s="139"/>
      <c r="I133" s="192"/>
    </row>
    <row r="134" spans="1:9" ht="21.75" hidden="1" customHeight="1">
      <c r="A134" s="132">
        <v>3</v>
      </c>
      <c r="B134" s="2871" t="s">
        <v>69</v>
      </c>
      <c r="C134" s="2872" t="s">
        <v>69</v>
      </c>
      <c r="D134" s="191"/>
      <c r="E134" s="139"/>
      <c r="F134" s="139"/>
      <c r="G134" s="139"/>
      <c r="H134" s="139"/>
      <c r="I134" s="192"/>
    </row>
    <row r="135" spans="1:9" ht="21.75" hidden="1" customHeight="1">
      <c r="A135" s="132">
        <v>4</v>
      </c>
      <c r="B135" s="2871" t="s">
        <v>68</v>
      </c>
      <c r="C135" s="2872" t="s">
        <v>68</v>
      </c>
      <c r="D135" s="191"/>
      <c r="E135" s="139"/>
      <c r="F135" s="139"/>
      <c r="G135" s="139"/>
      <c r="H135" s="139"/>
      <c r="I135" s="192"/>
    </row>
    <row r="136" spans="1:9" ht="21.75" hidden="1" customHeight="1">
      <c r="A136" s="132">
        <v>5</v>
      </c>
      <c r="B136" s="2871" t="s">
        <v>70</v>
      </c>
      <c r="C136" s="2872" t="s">
        <v>70</v>
      </c>
      <c r="D136" s="191"/>
      <c r="E136" s="139"/>
      <c r="F136" s="139"/>
      <c r="G136" s="139"/>
      <c r="H136" s="139"/>
      <c r="I136" s="192"/>
    </row>
    <row r="137" spans="1:9" ht="21.75" hidden="1" customHeight="1">
      <c r="A137" s="132">
        <v>6</v>
      </c>
      <c r="B137" s="2871" t="s">
        <v>88</v>
      </c>
      <c r="C137" s="2872" t="s">
        <v>88</v>
      </c>
      <c r="D137" s="191"/>
      <c r="E137" s="139"/>
      <c r="F137" s="139"/>
      <c r="G137" s="139"/>
      <c r="H137" s="139"/>
      <c r="I137" s="192"/>
    </row>
    <row r="138" spans="1:9" ht="21.75" hidden="1" customHeight="1">
      <c r="A138" s="132">
        <v>7</v>
      </c>
      <c r="B138" s="2871" t="s">
        <v>71</v>
      </c>
      <c r="C138" s="2872" t="s">
        <v>71</v>
      </c>
      <c r="D138" s="191"/>
      <c r="E138" s="139"/>
      <c r="F138" s="139"/>
      <c r="G138" s="139"/>
      <c r="H138" s="139"/>
      <c r="I138" s="192"/>
    </row>
    <row r="139" spans="1:9" ht="21.75" hidden="1" customHeight="1">
      <c r="A139" s="132">
        <v>8</v>
      </c>
      <c r="B139" s="2871" t="s">
        <v>72</v>
      </c>
      <c r="C139" s="2872" t="s">
        <v>72</v>
      </c>
      <c r="D139" s="191"/>
      <c r="E139" s="139"/>
      <c r="F139" s="139"/>
      <c r="G139" s="139"/>
      <c r="H139" s="139"/>
      <c r="I139" s="192"/>
    </row>
    <row r="140" spans="1:9" ht="21.75" hidden="1" customHeight="1">
      <c r="A140" s="152"/>
      <c r="B140" s="153" t="s">
        <v>111</v>
      </c>
      <c r="C140" s="160"/>
      <c r="D140" s="193"/>
      <c r="E140" s="148"/>
      <c r="F140" s="148"/>
      <c r="G140" s="148"/>
      <c r="H140" s="148"/>
      <c r="I140" s="194"/>
    </row>
    <row r="141" spans="1:9" ht="21.75" hidden="1" customHeight="1">
      <c r="A141" s="154" t="s">
        <v>7</v>
      </c>
      <c r="B141" s="155" t="s">
        <v>93</v>
      </c>
      <c r="C141" s="156"/>
      <c r="D141" s="195"/>
      <c r="E141" s="151"/>
      <c r="F141" s="151"/>
      <c r="G141" s="151"/>
      <c r="H141" s="151"/>
      <c r="I141" s="196"/>
    </row>
    <row r="142" spans="1:9" ht="21.75" hidden="1" customHeight="1">
      <c r="A142" s="113">
        <v>1</v>
      </c>
      <c r="B142" s="3108" t="s">
        <v>52</v>
      </c>
      <c r="C142" s="3110"/>
      <c r="D142" s="191"/>
      <c r="E142" s="139"/>
      <c r="F142" s="139"/>
      <c r="G142" s="139"/>
      <c r="H142" s="139"/>
      <c r="I142" s="192"/>
    </row>
    <row r="143" spans="1:9" ht="21.75" hidden="1" customHeight="1">
      <c r="A143" s="113">
        <v>2</v>
      </c>
      <c r="B143" s="3108" t="s">
        <v>87</v>
      </c>
      <c r="C143" s="3110"/>
      <c r="D143" s="191"/>
      <c r="E143" s="139"/>
      <c r="F143" s="139"/>
      <c r="G143" s="139"/>
      <c r="H143" s="139"/>
      <c r="I143" s="192"/>
    </row>
    <row r="144" spans="1:9" ht="21.75" hidden="1" customHeight="1">
      <c r="A144" s="145"/>
      <c r="B144" s="145"/>
      <c r="C144" s="145"/>
      <c r="D144" s="193" t="s">
        <v>157</v>
      </c>
      <c r="E144" s="148"/>
      <c r="F144" s="148"/>
      <c r="G144" s="148"/>
      <c r="H144" s="148"/>
      <c r="I144" s="194"/>
    </row>
    <row r="145" spans="1:9" ht="21.75" hidden="1" customHeight="1">
      <c r="A145" s="145"/>
      <c r="B145" s="145"/>
      <c r="C145" s="145"/>
      <c r="D145" s="197">
        <v>0.25</v>
      </c>
      <c r="E145" s="143">
        <v>0.41666666666666669</v>
      </c>
      <c r="F145" s="143">
        <v>0.58333333333333337</v>
      </c>
      <c r="G145" s="143">
        <v>0.75</v>
      </c>
      <c r="H145" s="143">
        <v>0.91666666666666663</v>
      </c>
      <c r="I145" s="198">
        <v>8.3333333333333329E-2</v>
      </c>
    </row>
    <row r="146" spans="1:9" ht="21.75" hidden="1" customHeight="1">
      <c r="A146" s="3116">
        <v>1</v>
      </c>
      <c r="B146" s="2877" t="s">
        <v>132</v>
      </c>
      <c r="C146" s="129" t="s">
        <v>101</v>
      </c>
      <c r="D146" s="204"/>
      <c r="E146" s="161"/>
      <c r="F146" s="161"/>
      <c r="G146" s="161"/>
      <c r="H146" s="161"/>
      <c r="I146" s="205"/>
    </row>
    <row r="147" spans="1:9" ht="21.75" hidden="1" customHeight="1">
      <c r="A147" s="3149"/>
      <c r="B147" s="3122"/>
      <c r="C147" s="116" t="s">
        <v>102</v>
      </c>
      <c r="D147" s="199"/>
      <c r="E147" s="146"/>
      <c r="F147" s="146"/>
      <c r="G147" s="146"/>
      <c r="H147" s="146"/>
      <c r="I147" s="200"/>
    </row>
    <row r="148" spans="1:9" ht="21.75" hidden="1" customHeight="1">
      <c r="A148" s="3117"/>
      <c r="B148" s="3124"/>
      <c r="C148" s="116" t="s">
        <v>104</v>
      </c>
      <c r="D148" s="199"/>
      <c r="E148" s="146"/>
      <c r="F148" s="146"/>
      <c r="G148" s="146"/>
      <c r="H148" s="146"/>
      <c r="I148" s="200"/>
    </row>
    <row r="149" spans="1:9" ht="21.75" hidden="1" customHeight="1">
      <c r="A149" s="3116">
        <v>2</v>
      </c>
      <c r="B149" s="2877" t="s">
        <v>133</v>
      </c>
      <c r="C149" s="129" t="s">
        <v>101</v>
      </c>
      <c r="D149" s="199"/>
      <c r="E149" s="146"/>
      <c r="F149" s="146"/>
      <c r="G149" s="146"/>
      <c r="H149" s="146"/>
      <c r="I149" s="200"/>
    </row>
    <row r="150" spans="1:9" ht="21.75" hidden="1" customHeight="1">
      <c r="A150" s="3149"/>
      <c r="B150" s="3122"/>
      <c r="C150" s="116" t="s">
        <v>102</v>
      </c>
      <c r="D150" s="199"/>
      <c r="E150" s="146"/>
      <c r="F150" s="146"/>
      <c r="G150" s="146"/>
      <c r="H150" s="146"/>
      <c r="I150" s="200"/>
    </row>
    <row r="151" spans="1:9" ht="21.75" hidden="1" customHeight="1">
      <c r="A151" s="3117"/>
      <c r="B151" s="3124"/>
      <c r="C151" s="116" t="s">
        <v>104</v>
      </c>
      <c r="D151" s="199"/>
      <c r="E151" s="146"/>
      <c r="F151" s="146"/>
      <c r="G151" s="146"/>
      <c r="H151" s="146"/>
      <c r="I151" s="200"/>
    </row>
    <row r="152" spans="1:9" ht="21.75" hidden="1" customHeight="1">
      <c r="A152" s="3116">
        <v>3</v>
      </c>
      <c r="B152" s="3128" t="s">
        <v>134</v>
      </c>
      <c r="C152" s="129" t="s">
        <v>101</v>
      </c>
      <c r="D152" s="199"/>
      <c r="E152" s="146"/>
      <c r="F152" s="146"/>
      <c r="G152" s="146"/>
      <c r="H152" s="146"/>
      <c r="I152" s="200"/>
    </row>
    <row r="153" spans="1:9" ht="21.75" hidden="1" customHeight="1">
      <c r="A153" s="3117"/>
      <c r="B153" s="3129"/>
      <c r="C153" s="116" t="s">
        <v>105</v>
      </c>
      <c r="D153" s="199"/>
      <c r="E153" s="146"/>
      <c r="F153" s="146"/>
      <c r="G153" s="146"/>
      <c r="H153" s="146"/>
      <c r="I153" s="200"/>
    </row>
    <row r="154" spans="1:9" ht="21.75" hidden="1" customHeight="1">
      <c r="A154" s="3116">
        <v>4</v>
      </c>
      <c r="B154" s="3128" t="s">
        <v>135</v>
      </c>
      <c r="C154" s="129" t="s">
        <v>101</v>
      </c>
      <c r="D154" s="199"/>
      <c r="E154" s="146"/>
      <c r="F154" s="146"/>
      <c r="G154" s="146"/>
      <c r="H154" s="146"/>
      <c r="I154" s="200"/>
    </row>
    <row r="155" spans="1:9" ht="21.75" hidden="1" customHeight="1">
      <c r="A155" s="3117"/>
      <c r="B155" s="3129"/>
      <c r="C155" s="116" t="s">
        <v>105</v>
      </c>
      <c r="D155" s="199"/>
      <c r="E155" s="146"/>
      <c r="F155" s="146"/>
      <c r="G155" s="146"/>
      <c r="H155" s="146"/>
      <c r="I155" s="200"/>
    </row>
    <row r="156" spans="1:9" ht="21.75" hidden="1" customHeight="1">
      <c r="A156" s="113">
        <v>5</v>
      </c>
      <c r="B156" s="3108" t="s">
        <v>80</v>
      </c>
      <c r="C156" s="3110"/>
      <c r="D156" s="199"/>
      <c r="E156" s="146"/>
      <c r="F156" s="146"/>
      <c r="G156" s="146"/>
      <c r="H156" s="146"/>
      <c r="I156" s="200"/>
    </row>
    <row r="157" spans="1:9" ht="21.75" hidden="1" customHeight="1">
      <c r="A157" s="113">
        <v>6</v>
      </c>
      <c r="B157" s="3108" t="s">
        <v>58</v>
      </c>
      <c r="C157" s="3110"/>
      <c r="D157" s="199"/>
      <c r="E157" s="146"/>
      <c r="F157" s="146"/>
      <c r="G157" s="146"/>
      <c r="H157" s="146"/>
      <c r="I157" s="200"/>
    </row>
    <row r="158" spans="1:9" ht="21.75" hidden="1" customHeight="1">
      <c r="A158" s="3239">
        <v>7</v>
      </c>
      <c r="B158" s="2877" t="s">
        <v>150</v>
      </c>
      <c r="C158" s="2878"/>
      <c r="D158" s="199"/>
      <c r="E158" s="146"/>
      <c r="F158" s="146"/>
      <c r="G158" s="146"/>
      <c r="H158" s="146"/>
      <c r="I158" s="200"/>
    </row>
    <row r="159" spans="1:9" ht="21.75" hidden="1" customHeight="1">
      <c r="A159" s="3240"/>
      <c r="B159" s="2880"/>
      <c r="C159" s="2881"/>
      <c r="D159" s="199"/>
      <c r="E159" s="146"/>
      <c r="F159" s="146"/>
      <c r="G159" s="146"/>
      <c r="H159" s="146"/>
      <c r="I159" s="200"/>
    </row>
    <row r="160" spans="1:9" ht="21.75" hidden="1" customHeight="1">
      <c r="A160" s="113">
        <v>8</v>
      </c>
      <c r="B160" s="3108" t="s">
        <v>59</v>
      </c>
      <c r="C160" s="3110"/>
      <c r="D160" s="199"/>
      <c r="E160" s="146"/>
      <c r="F160" s="146"/>
      <c r="G160" s="146"/>
      <c r="H160" s="146"/>
      <c r="I160" s="200"/>
    </row>
    <row r="161" spans="1:9" ht="21.75" hidden="1" customHeight="1">
      <c r="A161" s="113">
        <v>9</v>
      </c>
      <c r="B161" s="3108" t="s">
        <v>60</v>
      </c>
      <c r="C161" s="3110"/>
      <c r="D161" s="199"/>
      <c r="E161" s="146"/>
      <c r="F161" s="146"/>
      <c r="G161" s="146"/>
      <c r="H161" s="146"/>
      <c r="I161" s="200"/>
    </row>
    <row r="162" spans="1:9" ht="21.75" hidden="1" customHeight="1">
      <c r="A162" s="113">
        <v>10</v>
      </c>
      <c r="B162" s="3108" t="s">
        <v>108</v>
      </c>
      <c r="C162" s="3110"/>
      <c r="D162" s="201"/>
      <c r="E162" s="150"/>
      <c r="F162" s="150"/>
      <c r="G162" s="150"/>
      <c r="H162" s="150"/>
      <c r="I162" s="202"/>
    </row>
    <row r="163" spans="1:9" ht="21.75" hidden="1" customHeight="1">
      <c r="D163" s="191"/>
      <c r="E163" s="139"/>
      <c r="F163" s="139"/>
      <c r="G163" s="139"/>
      <c r="H163" s="139"/>
      <c r="I163" s="192"/>
    </row>
    <row r="164" spans="1:9" s="139" customFormat="1" ht="32.25" hidden="1" customHeight="1">
      <c r="A164" s="171"/>
      <c r="B164" s="172" t="s">
        <v>128</v>
      </c>
      <c r="C164" s="173"/>
      <c r="D164" s="191"/>
      <c r="I164" s="192"/>
    </row>
    <row r="165" spans="1:9" ht="21.75" hidden="1" customHeight="1">
      <c r="A165" s="169" t="s">
        <v>7</v>
      </c>
      <c r="B165" s="157"/>
      <c r="C165" s="157"/>
      <c r="D165" s="193" t="s">
        <v>156</v>
      </c>
      <c r="E165" s="148"/>
      <c r="F165" s="148"/>
      <c r="G165" s="148"/>
      <c r="H165" s="148"/>
      <c r="I165" s="194"/>
    </row>
    <row r="166" spans="1:9" ht="21.75" hidden="1" customHeight="1">
      <c r="A166" s="170"/>
      <c r="B166" s="166"/>
      <c r="C166" s="166"/>
      <c r="D166" s="197">
        <v>0.25</v>
      </c>
      <c r="E166" s="143">
        <v>0.41666666666666669</v>
      </c>
      <c r="F166" s="143">
        <v>0.58333333333333337</v>
      </c>
      <c r="G166" s="143">
        <v>0.75</v>
      </c>
      <c r="H166" s="143">
        <v>0.91666666666666663</v>
      </c>
      <c r="I166" s="198">
        <v>8.3333333333333329E-2</v>
      </c>
    </row>
    <row r="167" spans="1:9" ht="21.75" hidden="1" customHeight="1">
      <c r="A167" s="3243">
        <v>1</v>
      </c>
      <c r="B167" s="3245" t="s">
        <v>139</v>
      </c>
      <c r="C167" s="167" t="s">
        <v>101</v>
      </c>
      <c r="D167" s="191">
        <f>'3.XT-C kh.mau HALO'!I6</f>
        <v>49.5</v>
      </c>
      <c r="E167" s="139">
        <f>'3.XT-C kh.mau HALO'!Q6</f>
        <v>51.92</v>
      </c>
      <c r="F167" s="139">
        <f>'3.XT-C kh.mau HALO'!Y6</f>
        <v>51.595500000000001</v>
      </c>
      <c r="G167" s="139">
        <f>'3.XT-C kh.mau HALO'!I47</f>
        <v>51</v>
      </c>
      <c r="H167" s="139">
        <f>'3.XT-C kh.mau HALO'!Q47</f>
        <v>50.5</v>
      </c>
      <c r="I167" s="192">
        <f>'3.XT-C kh.mau HALO'!Y47</f>
        <v>50</v>
      </c>
    </row>
    <row r="168" spans="1:9" ht="21.75" hidden="1" customHeight="1">
      <c r="A168" s="3243"/>
      <c r="B168" s="3246"/>
      <c r="C168" s="168" t="s">
        <v>102</v>
      </c>
      <c r="D168" s="191">
        <f>'3.XT-C kh.mau HALO'!I7</f>
        <v>0</v>
      </c>
      <c r="E168" s="139">
        <f>'3.XT-C kh.mau HALO'!Q7</f>
        <v>0</v>
      </c>
      <c r="F168" s="139">
        <f>'3.XT-C kh.mau HALO'!Y7</f>
        <v>0</v>
      </c>
      <c r="G168" s="139">
        <f>'3.XT-C kh.mau HALO'!I48</f>
        <v>0</v>
      </c>
      <c r="H168" s="139">
        <f>'3.XT-C kh.mau HALO'!Q48</f>
        <v>0</v>
      </c>
      <c r="I168" s="192">
        <f>'3.XT-C kh.mau HALO'!Y48</f>
        <v>0</v>
      </c>
    </row>
    <row r="169" spans="1:9" ht="21.75" hidden="1" customHeight="1">
      <c r="A169" s="3244"/>
      <c r="B169" s="3247"/>
      <c r="C169" s="138" t="s">
        <v>104</v>
      </c>
      <c r="D169" s="189" t="e">
        <f>'3.XT-C kh.mau HALO'!#REF!</f>
        <v>#REF!</v>
      </c>
      <c r="E169" s="140" t="e">
        <f>'3.XT-C kh.mau HALO'!#REF!</f>
        <v>#REF!</v>
      </c>
      <c r="F169" s="140" t="e">
        <f>'3.XT-C kh.mau HALO'!#REF!</f>
        <v>#REF!</v>
      </c>
      <c r="G169" s="140" t="e">
        <f>'3.XT-C kh.mau HALO'!#REF!</f>
        <v>#REF!</v>
      </c>
      <c r="H169" s="140" t="e">
        <f>'3.XT-C kh.mau HALO'!#REF!</f>
        <v>#REF!</v>
      </c>
      <c r="I169" s="190" t="e">
        <f>'3.XT-C kh.mau HALO'!#REF!</f>
        <v>#REF!</v>
      </c>
    </row>
    <row r="170" spans="1:9" ht="21.75" hidden="1" customHeight="1">
      <c r="A170" s="3189">
        <v>2</v>
      </c>
      <c r="B170" s="3241" t="s">
        <v>140</v>
      </c>
      <c r="C170" s="136" t="s">
        <v>101</v>
      </c>
      <c r="D170" s="191">
        <f>'3.XT-C kh.mau HALO'!I8</f>
        <v>50.297499999999999</v>
      </c>
      <c r="E170" s="139">
        <f>'3.XT-C kh.mau HALO'!Q8</f>
        <v>50.297499999999999</v>
      </c>
      <c r="F170" s="139">
        <f>'3.XT-C kh.mau HALO'!Y8</f>
        <v>50.297499999999999</v>
      </c>
      <c r="G170" s="139">
        <f>'3.XT-C kh.mau HALO'!I49</f>
        <v>50</v>
      </c>
      <c r="H170" s="139">
        <f>'3.XT-C kh.mau HALO'!Q49</f>
        <v>49.6</v>
      </c>
      <c r="I170" s="192">
        <f>'3.XT-C kh.mau HALO'!Y49</f>
        <v>51.271000000000001</v>
      </c>
    </row>
    <row r="171" spans="1:9" ht="21.75" hidden="1" customHeight="1">
      <c r="A171" s="3189"/>
      <c r="B171" s="3192"/>
      <c r="C171" s="134" t="s">
        <v>102</v>
      </c>
      <c r="D171" s="191">
        <f>'3.XT-C kh.mau HALO'!I9</f>
        <v>0</v>
      </c>
      <c r="E171" s="139">
        <f>'3.XT-C kh.mau HALO'!Q9</f>
        <v>0</v>
      </c>
      <c r="F171" s="139">
        <f>'3.XT-C kh.mau HALO'!Y9</f>
        <v>0</v>
      </c>
      <c r="G171" s="139">
        <f>'3.XT-C kh.mau HALO'!I50</f>
        <v>0</v>
      </c>
      <c r="H171" s="139">
        <f>'3.XT-C kh.mau HALO'!Q50</f>
        <v>0</v>
      </c>
      <c r="I171" s="192">
        <f>'3.XT-C kh.mau HALO'!Y50</f>
        <v>0</v>
      </c>
    </row>
    <row r="172" spans="1:9" ht="21.75" hidden="1" customHeight="1">
      <c r="A172" s="3167"/>
      <c r="B172" s="3242"/>
      <c r="C172" s="134" t="s">
        <v>104</v>
      </c>
      <c r="D172" s="191" t="e">
        <f>'3.XT-C kh.mau HALO'!#REF!</f>
        <v>#REF!</v>
      </c>
      <c r="E172" s="139" t="e">
        <f>'3.XT-C kh.mau HALO'!#REF!</f>
        <v>#REF!</v>
      </c>
      <c r="F172" s="139" t="e">
        <f>'3.XT-C kh.mau HALO'!#REF!</f>
        <v>#REF!</v>
      </c>
      <c r="G172" s="139" t="e">
        <f>'3.XT-C kh.mau HALO'!#REF!</f>
        <v>#REF!</v>
      </c>
      <c r="H172" s="139" t="e">
        <f>'3.XT-C kh.mau HALO'!#REF!</f>
        <v>#REF!</v>
      </c>
      <c r="I172" s="192" t="e">
        <f>'3.XT-C kh.mau HALO'!#REF!</f>
        <v>#REF!</v>
      </c>
    </row>
    <row r="173" spans="1:9" ht="21.75" hidden="1" customHeight="1">
      <c r="A173" s="3166">
        <v>3</v>
      </c>
      <c r="B173" s="3128" t="s">
        <v>141</v>
      </c>
      <c r="C173" s="133" t="s">
        <v>101</v>
      </c>
      <c r="D173" s="191">
        <f>'3.XT-C kh.mau HALO'!I10</f>
        <v>63.524999999999999</v>
      </c>
      <c r="E173" s="139">
        <f>'3.XT-C kh.mau HALO'!Q10</f>
        <v>63.293999999999997</v>
      </c>
      <c r="F173" s="139">
        <f>'3.XT-C kh.mau HALO'!Y10</f>
        <v>61.908000000000001</v>
      </c>
      <c r="G173" s="139">
        <f>'3.XT-C kh.mau HALO'!I51</f>
        <v>61.2</v>
      </c>
      <c r="H173" s="139">
        <f>'3.XT-C kh.mau HALO'!Q51</f>
        <v>60.5</v>
      </c>
      <c r="I173" s="192">
        <f>'3.XT-C kh.mau HALO'!Y51</f>
        <v>60</v>
      </c>
    </row>
    <row r="174" spans="1:9" ht="21.75" hidden="1" customHeight="1">
      <c r="A174" s="3167"/>
      <c r="B174" s="3129"/>
      <c r="C174" s="134" t="s">
        <v>105</v>
      </c>
      <c r="D174" s="191">
        <f>'3.XT-C kh.mau HALO'!I11</f>
        <v>0</v>
      </c>
      <c r="E174" s="139">
        <f>'3.XT-C kh.mau HALO'!Q11</f>
        <v>0</v>
      </c>
      <c r="F174" s="139">
        <f>'3.XT-C kh.mau HALO'!Y11</f>
        <v>0</v>
      </c>
      <c r="G174" s="139">
        <f>'3.XT-C kh.mau HALO'!I52</f>
        <v>0</v>
      </c>
      <c r="H174" s="139">
        <f>'3.XT-C kh.mau HALO'!Q52</f>
        <v>0</v>
      </c>
      <c r="I174" s="192">
        <f>'3.XT-C kh.mau HALO'!Y52</f>
        <v>0</v>
      </c>
    </row>
    <row r="175" spans="1:9" ht="21.75" hidden="1" customHeight="1">
      <c r="A175" s="3166">
        <v>4</v>
      </c>
      <c r="B175" s="3128" t="s">
        <v>142</v>
      </c>
      <c r="C175" s="133" t="s">
        <v>101</v>
      </c>
      <c r="D175" s="191">
        <f>'3.XT-C kh.mau HALO'!I12</f>
        <v>59.7</v>
      </c>
      <c r="E175" s="139">
        <f>'3.XT-C kh.mau HALO'!Q12</f>
        <v>63.063000000000002</v>
      </c>
      <c r="F175" s="139">
        <f>'3.XT-C kh.mau HALO'!Y12</f>
        <v>60.521999999999998</v>
      </c>
      <c r="G175" s="139">
        <f>'3.XT-C kh.mau HALO'!I53</f>
        <v>60.06</v>
      </c>
      <c r="H175" s="139">
        <f>'3.XT-C kh.mau HALO'!Q53</f>
        <v>60</v>
      </c>
      <c r="I175" s="192">
        <f>'3.XT-C kh.mau HALO'!Y53</f>
        <v>60</v>
      </c>
    </row>
    <row r="176" spans="1:9" ht="21.75" hidden="1" customHeight="1">
      <c r="A176" s="3167"/>
      <c r="B176" s="3129"/>
      <c r="C176" s="134" t="s">
        <v>105</v>
      </c>
      <c r="D176" s="191">
        <f>'3.XT-C kh.mau HALO'!I13</f>
        <v>0</v>
      </c>
      <c r="E176" s="139">
        <f>'3.XT-C kh.mau HALO'!Q13</f>
        <v>0</v>
      </c>
      <c r="F176" s="139">
        <f>'3.XT-C kh.mau HALO'!Y13</f>
        <v>0</v>
      </c>
      <c r="G176" s="139">
        <f>'3.XT-C kh.mau HALO'!I54</f>
        <v>0</v>
      </c>
      <c r="H176" s="139">
        <f>'3.XT-C kh.mau HALO'!Q54</f>
        <v>0</v>
      </c>
      <c r="I176" s="192">
        <f>'3.XT-C kh.mau HALO'!Y54</f>
        <v>0</v>
      </c>
    </row>
    <row r="177" spans="1:9" ht="21.75" hidden="1" customHeight="1">
      <c r="A177" s="3166">
        <v>5</v>
      </c>
      <c r="B177" s="3186" t="s">
        <v>114</v>
      </c>
      <c r="C177" s="135"/>
      <c r="D177" s="191">
        <f>'3.XT-C kh.mau HALO'!I14</f>
        <v>143.6</v>
      </c>
      <c r="E177" s="139">
        <f>'3.XT-C kh.mau HALO'!Q14</f>
        <v>144.80000000000001</v>
      </c>
      <c r="F177" s="139">
        <f>'3.XT-C kh.mau HALO'!Y14</f>
        <v>143.19999999999999</v>
      </c>
      <c r="G177" s="139">
        <f>'3.XT-C kh.mau HALO'!I55</f>
        <v>142.4</v>
      </c>
      <c r="H177" s="139">
        <f>'3.XT-C kh.mau HALO'!Q55</f>
        <v>142</v>
      </c>
      <c r="I177" s="192">
        <f>'3.XT-C kh.mau HALO'!Y55</f>
        <v>141.80000000000001</v>
      </c>
    </row>
    <row r="178" spans="1:9" ht="21.75" hidden="1" customHeight="1">
      <c r="A178" s="3167"/>
      <c r="B178" s="3187"/>
      <c r="C178" s="135"/>
      <c r="D178" s="191">
        <f>'3.XT-C kh.mau HALO'!I15</f>
        <v>8.58</v>
      </c>
      <c r="E178" s="139">
        <f>'3.XT-C kh.mau HALO'!Q15</f>
        <v>8.32</v>
      </c>
      <c r="F178" s="139">
        <f>'3.XT-C kh.mau HALO'!Y15</f>
        <v>8.3849999999999998</v>
      </c>
      <c r="G178" s="139">
        <f>'3.XT-C kh.mau HALO'!I56</f>
        <v>8.4500000000000011</v>
      </c>
      <c r="H178" s="139">
        <f>'3.XT-C kh.mau HALO'!Q56</f>
        <v>8.6</v>
      </c>
      <c r="I178" s="192">
        <f>'3.XT-C kh.mau HALO'!Y56</f>
        <v>8.4500000000000011</v>
      </c>
    </row>
    <row r="179" spans="1:9" ht="21.75" hidden="1" customHeight="1">
      <c r="A179" s="3166">
        <v>6</v>
      </c>
      <c r="B179" s="3177" t="s">
        <v>38</v>
      </c>
      <c r="C179" s="3178"/>
      <c r="D179" s="191">
        <f>'3.XT-C kh.mau HALO'!I16</f>
        <v>6.4533899999999997</v>
      </c>
      <c r="E179" s="139">
        <f>'3.XT-C kh.mau HALO'!Q16</f>
        <v>6.4322049999999997</v>
      </c>
      <c r="F179" s="139">
        <f>'3.XT-C kh.mau HALO'!Y16</f>
        <v>6.1568000000000005</v>
      </c>
      <c r="G179" s="139">
        <f>'3.XT-C kh.mau HALO'!I57</f>
        <v>6.1</v>
      </c>
      <c r="H179" s="139">
        <f>'3.XT-C kh.mau HALO'!Q57</f>
        <v>6</v>
      </c>
      <c r="I179" s="192">
        <f>'3.XT-C kh.mau HALO'!Y57</f>
        <v>5.9</v>
      </c>
    </row>
    <row r="180" spans="1:9" ht="21.75" hidden="1" customHeight="1">
      <c r="A180" s="3167"/>
      <c r="B180" s="3179"/>
      <c r="C180" s="3180"/>
      <c r="D180" s="191">
        <f>'3.XT-C kh.mau HALO'!I17</f>
        <v>2.2599999999999998</v>
      </c>
      <c r="E180" s="139">
        <f>'3.XT-C kh.mau HALO'!Q17</f>
        <v>2.2400000000000002</v>
      </c>
      <c r="F180" s="139">
        <f>'3.XT-C kh.mau HALO'!Y17</f>
        <v>2.25</v>
      </c>
      <c r="G180" s="139">
        <f>'3.XT-C kh.mau HALO'!I58</f>
        <v>2.23</v>
      </c>
      <c r="H180" s="139">
        <f>'3.XT-C kh.mau HALO'!Q58</f>
        <v>2.25</v>
      </c>
      <c r="I180" s="192">
        <f>'3.XT-C kh.mau HALO'!Y58</f>
        <v>2.2000000000000002</v>
      </c>
    </row>
    <row r="181" spans="1:9" ht="21.75" hidden="1" customHeight="1">
      <c r="A181" s="137">
        <v>7</v>
      </c>
      <c r="B181" s="2988" t="s">
        <v>36</v>
      </c>
      <c r="C181" s="2989"/>
      <c r="D181" s="191">
        <f>'3.XT-C kh.mau HALO'!I18</f>
        <v>0.46500000000000002</v>
      </c>
      <c r="E181" s="139">
        <f>'3.XT-C kh.mau HALO'!Q18</f>
        <v>0.46400000000000002</v>
      </c>
      <c r="F181" s="139">
        <f>'3.XT-C kh.mau HALO'!Y18</f>
        <v>0.46</v>
      </c>
      <c r="G181" s="139">
        <f>'3.XT-C kh.mau HALO'!I59</f>
        <v>0.45600000000000002</v>
      </c>
      <c r="H181" s="139">
        <f>'3.XT-C kh.mau HALO'!Q59</f>
        <v>0.45200000000000001</v>
      </c>
      <c r="I181" s="192">
        <f>'3.XT-C kh.mau HALO'!Y59</f>
        <v>0.45</v>
      </c>
    </row>
    <row r="182" spans="1:9" ht="21.75" hidden="1" customHeight="1">
      <c r="A182" s="137">
        <v>8</v>
      </c>
      <c r="B182" s="2988" t="s">
        <v>37</v>
      </c>
      <c r="C182" s="2989"/>
      <c r="D182" s="191">
        <f>'3.XT-C kh.mau HALO'!I19</f>
        <v>0.45168749999999996</v>
      </c>
      <c r="E182" s="139">
        <f>'3.XT-C kh.mau HALO'!Q19</f>
        <v>0.43799999999999994</v>
      </c>
      <c r="F182" s="139">
        <f>'3.XT-C kh.mau HALO'!Y19</f>
        <v>0.45800000000000002</v>
      </c>
      <c r="G182" s="139">
        <f>'3.XT-C kh.mau HALO'!I60</f>
        <v>0.45168749999999996</v>
      </c>
      <c r="H182" s="139">
        <f>'3.XT-C kh.mau HALO'!Q60</f>
        <v>0.45</v>
      </c>
      <c r="I182" s="192">
        <f>'3.XT-C kh.mau HALO'!Y60</f>
        <v>0.44256250000000003</v>
      </c>
    </row>
    <row r="183" spans="1:9" ht="21.75" hidden="1" customHeight="1">
      <c r="A183" s="137">
        <v>9</v>
      </c>
      <c r="B183" s="2991" t="s">
        <v>83</v>
      </c>
      <c r="C183" s="2992"/>
      <c r="D183" s="191">
        <f>'3.XT-C kh.mau HALO'!I20</f>
        <v>0.1323125</v>
      </c>
      <c r="E183" s="139">
        <f>'3.XT-C kh.mau HALO'!Q20</f>
        <v>0.159</v>
      </c>
      <c r="F183" s="139">
        <f>'3.XT-C kh.mau HALO'!Y20</f>
        <v>0.154</v>
      </c>
      <c r="G183" s="139">
        <f>'3.XT-C kh.mau HALO'!I61</f>
        <v>0.152</v>
      </c>
      <c r="H183" s="139">
        <f>'3.XT-C kh.mau HALO'!Q61</f>
        <v>0.15</v>
      </c>
      <c r="I183" s="192">
        <f>'3.XT-C kh.mau HALO'!Y61</f>
        <v>0.14599999999999999</v>
      </c>
    </row>
    <row r="184" spans="1:9" ht="21.75" hidden="1" customHeight="1">
      <c r="A184" s="137">
        <v>10</v>
      </c>
      <c r="B184" s="2991" t="s">
        <v>113</v>
      </c>
      <c r="C184" s="2992" t="s">
        <v>113</v>
      </c>
      <c r="D184" s="191">
        <f>'3.XT-C kh.mau HALO'!I21</f>
        <v>1.0500000000000001E-2</v>
      </c>
      <c r="E184" s="139">
        <f>'3.XT-C kh.mau HALO'!Q21</f>
        <v>1.0200000000000001E-2</v>
      </c>
      <c r="F184" s="139">
        <f>'3.XT-C kh.mau HALO'!Y21</f>
        <v>0.01</v>
      </c>
      <c r="G184" s="139">
        <f>'3.XT-C kh.mau HALO'!I62</f>
        <v>7.1820000000000009E-3</v>
      </c>
      <c r="H184" s="139">
        <f>'3.XT-C kh.mau HALO'!Q62</f>
        <v>0.01</v>
      </c>
      <c r="I184" s="192">
        <f>'3.XT-C kh.mau HALO'!Y62</f>
        <v>8.9999999999999993E-3</v>
      </c>
    </row>
    <row r="185" spans="1:9" ht="21.75" hidden="1" customHeight="1">
      <c r="A185" s="152"/>
      <c r="B185" s="153" t="s">
        <v>110</v>
      </c>
      <c r="C185" s="160"/>
      <c r="D185" s="193" t="s">
        <v>158</v>
      </c>
      <c r="E185" s="148"/>
      <c r="F185" s="148"/>
      <c r="G185" s="148"/>
      <c r="H185" s="148"/>
      <c r="I185" s="194"/>
    </row>
    <row r="186" spans="1:9" ht="21.75" hidden="1" customHeight="1">
      <c r="A186" s="154" t="s">
        <v>7</v>
      </c>
      <c r="B186" s="155" t="s">
        <v>62</v>
      </c>
      <c r="C186" s="156"/>
      <c r="D186" s="195">
        <v>0.25</v>
      </c>
      <c r="E186" s="151">
        <v>0.41666666666666669</v>
      </c>
      <c r="F186" s="151">
        <v>0.58333333333333337</v>
      </c>
      <c r="G186" s="151">
        <v>0.75</v>
      </c>
      <c r="H186" s="151">
        <v>0.91666666666666663</v>
      </c>
      <c r="I186" s="196">
        <v>8.3333333333333329E-2</v>
      </c>
    </row>
    <row r="187" spans="1:9" ht="21.75" hidden="1" customHeight="1">
      <c r="A187" s="137">
        <v>1</v>
      </c>
      <c r="B187" s="3013" t="s">
        <v>34</v>
      </c>
      <c r="C187" s="3014"/>
      <c r="D187" s="191">
        <f>'3.XT-C kh.mau HALO'!I26</f>
        <v>60</v>
      </c>
      <c r="E187" s="139">
        <f>'3.XT-C kh.mau HALO'!Q26</f>
        <v>60</v>
      </c>
      <c r="F187" s="139">
        <f>'3.XT-C kh.mau HALO'!Y26</f>
        <v>60</v>
      </c>
      <c r="G187" s="139">
        <f>'3.XT-C kh.mau HALO'!I67</f>
        <v>61</v>
      </c>
      <c r="H187" s="139">
        <f>'3.XT-C kh.mau HALO'!Q67</f>
        <v>61</v>
      </c>
      <c r="I187" s="192">
        <f>'3.XT-C kh.mau HALO'!Y67</f>
        <v>61</v>
      </c>
    </row>
    <row r="188" spans="1:9" ht="21.75" hidden="1" customHeight="1">
      <c r="A188" s="137">
        <v>2</v>
      </c>
      <c r="B188" s="3013" t="s">
        <v>35</v>
      </c>
      <c r="C188" s="3014"/>
      <c r="D188" s="191">
        <f>'3.XT-C kh.mau HALO'!I27</f>
        <v>61</v>
      </c>
      <c r="E188" s="139">
        <f>'3.XT-C kh.mau HALO'!Q27</f>
        <v>60</v>
      </c>
      <c r="F188" s="139">
        <f>'3.XT-C kh.mau HALO'!Y27</f>
        <v>61</v>
      </c>
      <c r="G188" s="139">
        <f>'3.XT-C kh.mau HALO'!I68</f>
        <v>61</v>
      </c>
      <c r="H188" s="139">
        <f>'3.XT-C kh.mau HALO'!Q68</f>
        <v>61</v>
      </c>
      <c r="I188" s="192">
        <f>'3.XT-C kh.mau HALO'!Y68</f>
        <v>61</v>
      </c>
    </row>
    <row r="189" spans="1:9" ht="21.75" hidden="1" customHeight="1">
      <c r="A189" s="137">
        <v>3</v>
      </c>
      <c r="B189" s="3013" t="s">
        <v>27</v>
      </c>
      <c r="C189" s="3014"/>
      <c r="D189" s="191">
        <f>'3.XT-C kh.mau HALO'!I28</f>
        <v>61</v>
      </c>
      <c r="E189" s="139">
        <f>'3.XT-C kh.mau HALO'!Q28</f>
        <v>60</v>
      </c>
      <c r="F189" s="139">
        <f>'3.XT-C kh.mau HALO'!Y28</f>
        <v>59</v>
      </c>
      <c r="G189" s="139">
        <f>'3.XT-C kh.mau HALO'!I69</f>
        <v>60</v>
      </c>
      <c r="H189" s="139">
        <f>'3.XT-C kh.mau HALO'!Q69</f>
        <v>61</v>
      </c>
      <c r="I189" s="192">
        <f>'3.XT-C kh.mau HALO'!Y69</f>
        <v>61</v>
      </c>
    </row>
    <row r="190" spans="1:9" ht="21.75" hidden="1" customHeight="1">
      <c r="A190" s="137">
        <v>4</v>
      </c>
      <c r="B190" s="3013" t="s">
        <v>28</v>
      </c>
      <c r="C190" s="3014"/>
      <c r="D190" s="191">
        <f>'3.XT-C kh.mau HALO'!I29</f>
        <v>62</v>
      </c>
      <c r="E190" s="139">
        <f>'3.XT-C kh.mau HALO'!Q29</f>
        <v>63</v>
      </c>
      <c r="F190" s="139">
        <f>'3.XT-C kh.mau HALO'!Y29</f>
        <v>63</v>
      </c>
      <c r="G190" s="139">
        <f>'3.XT-C kh.mau HALO'!I70</f>
        <v>62</v>
      </c>
      <c r="H190" s="139">
        <f>'3.XT-C kh.mau HALO'!Q70</f>
        <v>61</v>
      </c>
      <c r="I190" s="192">
        <f>'3.XT-C kh.mau HALO'!Y70</f>
        <v>61</v>
      </c>
    </row>
    <row r="191" spans="1:9" ht="21.75" hidden="1" customHeight="1">
      <c r="A191" s="137">
        <v>5</v>
      </c>
      <c r="B191" s="3013" t="s">
        <v>29</v>
      </c>
      <c r="C191" s="3014"/>
      <c r="D191" s="191">
        <f>'3.XT-C kh.mau HALO'!I30</f>
        <v>25</v>
      </c>
      <c r="E191" s="139">
        <f>'3.XT-C kh.mau HALO'!Q30</f>
        <v>26</v>
      </c>
      <c r="F191" s="139">
        <f>'3.XT-C kh.mau HALO'!Y30</f>
        <v>25</v>
      </c>
      <c r="G191" s="139">
        <f>'3.XT-C kh.mau HALO'!I71</f>
        <v>26</v>
      </c>
      <c r="H191" s="139">
        <f>'3.XT-C kh.mau HALO'!Q71</f>
        <v>26</v>
      </c>
      <c r="I191" s="192">
        <f>'3.XT-C kh.mau HALO'!Y71</f>
        <v>26</v>
      </c>
    </row>
    <row r="192" spans="1:9" ht="21.75" hidden="1" customHeight="1">
      <c r="A192" s="137">
        <v>6</v>
      </c>
      <c r="B192" s="3013" t="s">
        <v>30</v>
      </c>
      <c r="C192" s="3014"/>
      <c r="D192" s="191">
        <f>'3.XT-C kh.mau HALO'!I31</f>
        <v>34</v>
      </c>
      <c r="E192" s="139">
        <f>'3.XT-C kh.mau HALO'!Q31</f>
        <v>34</v>
      </c>
      <c r="F192" s="139">
        <f>'3.XT-C kh.mau HALO'!Y31</f>
        <v>34</v>
      </c>
      <c r="G192" s="139">
        <f>'3.XT-C kh.mau HALO'!I72</f>
        <v>34</v>
      </c>
      <c r="H192" s="139">
        <f>'3.XT-C kh.mau HALO'!Q72</f>
        <v>34</v>
      </c>
      <c r="I192" s="192">
        <f>'3.XT-C kh.mau HALO'!Y72</f>
        <v>34</v>
      </c>
    </row>
    <row r="193" spans="1:9" ht="21.75" hidden="1" customHeight="1">
      <c r="A193" s="137">
        <v>7</v>
      </c>
      <c r="B193" s="3013" t="s">
        <v>31</v>
      </c>
      <c r="C193" s="3014"/>
      <c r="D193" s="191">
        <f>'3.XT-C kh.mau HALO'!I32</f>
        <v>57</v>
      </c>
      <c r="E193" s="139">
        <f>'3.XT-C kh.mau HALO'!Q32</f>
        <v>62</v>
      </c>
      <c r="F193" s="139">
        <f>'3.XT-C kh.mau HALO'!Y32</f>
        <v>58</v>
      </c>
      <c r="G193" s="139">
        <f>'3.XT-C kh.mau HALO'!I73</f>
        <v>61</v>
      </c>
      <c r="H193" s="139">
        <f>'3.XT-C kh.mau HALO'!Q73</f>
        <v>61</v>
      </c>
      <c r="I193" s="192">
        <f>'3.XT-C kh.mau HALO'!Y73</f>
        <v>59</v>
      </c>
    </row>
    <row r="194" spans="1:9" ht="21.75" hidden="1" customHeight="1">
      <c r="A194" s="137">
        <v>8</v>
      </c>
      <c r="B194" s="3013" t="s">
        <v>32</v>
      </c>
      <c r="C194" s="3014"/>
      <c r="D194" s="191">
        <f>'3.XT-C kh.mau HALO'!K33</f>
        <v>94</v>
      </c>
      <c r="E194" s="139">
        <f>'3.XT-C kh.mau HALO'!S33</f>
        <v>92</v>
      </c>
      <c r="F194" s="139">
        <f>'3.XT-C kh.mau HALO'!AA33</f>
        <v>94</v>
      </c>
      <c r="G194" s="139">
        <f>'3.XT-C kh.mau HALO'!K74</f>
        <v>92</v>
      </c>
      <c r="H194" s="139">
        <f>'3.XT-C kh.mau HALO'!S74</f>
        <v>91</v>
      </c>
      <c r="I194" s="192">
        <f>'3.XT-C kh.mau HALO'!AA74</f>
        <v>92</v>
      </c>
    </row>
    <row r="195" spans="1:9" ht="21.75" hidden="1" customHeight="1">
      <c r="A195" s="152"/>
      <c r="B195" s="153" t="s">
        <v>111</v>
      </c>
      <c r="C195" s="160"/>
      <c r="D195" s="193" t="s">
        <v>159</v>
      </c>
      <c r="E195" s="148"/>
      <c r="F195" s="148"/>
      <c r="G195" s="148"/>
      <c r="H195" s="148"/>
      <c r="I195" s="194"/>
    </row>
    <row r="196" spans="1:9" ht="21.75" hidden="1" customHeight="1">
      <c r="A196" s="154" t="s">
        <v>7</v>
      </c>
      <c r="B196" s="155" t="s">
        <v>93</v>
      </c>
      <c r="C196" s="156"/>
      <c r="D196" s="195">
        <v>0.25</v>
      </c>
      <c r="E196" s="151">
        <v>0.41666666666666669</v>
      </c>
      <c r="F196" s="151">
        <v>0.58333333333333337</v>
      </c>
      <c r="G196" s="151">
        <v>0.75</v>
      </c>
      <c r="H196" s="151">
        <v>0.91666666666666663</v>
      </c>
      <c r="I196" s="196">
        <v>8.3333333333333329E-2</v>
      </c>
    </row>
    <row r="197" spans="1:9" ht="21.75" hidden="1" customHeight="1">
      <c r="A197" s="137">
        <v>1</v>
      </c>
      <c r="B197" s="3248" t="s">
        <v>116</v>
      </c>
      <c r="C197" s="3249"/>
      <c r="D197" s="191">
        <f>'3.XT-C kh.mau HALO'!I39</f>
        <v>48</v>
      </c>
      <c r="E197" s="139">
        <f>'3.XT-C kh.mau HALO'!Q39</f>
        <v>45</v>
      </c>
      <c r="F197" s="139">
        <f>'3.XT-C kh.mau HALO'!Y39</f>
        <v>47</v>
      </c>
      <c r="G197" s="139">
        <f>'3.XT-C kh.mau HALO'!I80</f>
        <v>48</v>
      </c>
      <c r="H197" s="139">
        <f>'3.XT-C kh.mau HALO'!Q80</f>
        <v>49</v>
      </c>
      <c r="I197" s="192">
        <f>'3.XT-C kh.mau HALO'!Y80</f>
        <v>50</v>
      </c>
    </row>
    <row r="198" spans="1:9" ht="21.75" hidden="1" customHeight="1">
      <c r="A198" s="137">
        <v>2</v>
      </c>
      <c r="B198" s="3248" t="s">
        <v>115</v>
      </c>
      <c r="C198" s="3249"/>
      <c r="D198" s="191">
        <f>'3.XT-C kh.mau HALO'!I40</f>
        <v>175</v>
      </c>
      <c r="E198" s="139">
        <f>'3.XT-C kh.mau HALO'!Q40</f>
        <v>178</v>
      </c>
      <c r="F198" s="139">
        <f>'3.XT-C kh.mau HALO'!Y40</f>
        <v>180</v>
      </c>
      <c r="G198" s="139">
        <f>'3.XT-C kh.mau HALO'!I81</f>
        <v>175</v>
      </c>
      <c r="H198" s="139">
        <f>'3.XT-C kh.mau HALO'!Q81</f>
        <v>175</v>
      </c>
      <c r="I198" s="192">
        <f>'3.XT-C kh.mau HALO'!Y81</f>
        <v>175</v>
      </c>
    </row>
    <row r="199" spans="1:9" ht="21.75" hidden="1" customHeight="1">
      <c r="A199" s="145"/>
      <c r="B199" s="145"/>
      <c r="C199" s="145"/>
      <c r="D199" s="193" t="s">
        <v>157</v>
      </c>
      <c r="E199" s="148"/>
      <c r="F199" s="148"/>
      <c r="G199" s="148"/>
      <c r="H199" s="148"/>
      <c r="I199" s="194"/>
    </row>
    <row r="200" spans="1:9" ht="21.75" hidden="1" customHeight="1">
      <c r="A200" s="145"/>
      <c r="B200" s="145"/>
      <c r="C200" s="145"/>
      <c r="D200" s="197">
        <v>0.25</v>
      </c>
      <c r="E200" s="143">
        <v>0.41666666666666669</v>
      </c>
      <c r="F200" s="143">
        <v>0.58333333333333337</v>
      </c>
      <c r="G200" s="143">
        <v>0.75</v>
      </c>
      <c r="H200" s="143">
        <v>0.91666666666666663</v>
      </c>
      <c r="I200" s="198">
        <v>8.3333333333333329E-2</v>
      </c>
    </row>
    <row r="201" spans="1:9" ht="21.75" hidden="1" customHeight="1">
      <c r="A201" s="3166">
        <v>1</v>
      </c>
      <c r="B201" s="3190" t="s">
        <v>139</v>
      </c>
      <c r="C201" s="133" t="s">
        <v>101</v>
      </c>
      <c r="D201" s="204">
        <f>'3.XT-C kh.mau HALO'!K6</f>
        <v>7.7584999999999997</v>
      </c>
      <c r="E201" s="161">
        <f>'3.XT-C kh.mau HALO'!S6</f>
        <v>0</v>
      </c>
      <c r="F201" s="161">
        <f>'3.XT-C kh.mau HALO'!AA6</f>
        <v>0</v>
      </c>
      <c r="G201" s="161">
        <f>'3.XT-C kh.mau HALO'!K47</f>
        <v>0</v>
      </c>
      <c r="H201" s="161">
        <f>'3.XT-C kh.mau HALO'!S47</f>
        <v>0</v>
      </c>
      <c r="I201" s="205">
        <f>'3.XT-C kh.mau HALO'!AA47</f>
        <v>0</v>
      </c>
    </row>
    <row r="202" spans="1:9" ht="21.75" hidden="1" customHeight="1">
      <c r="A202" s="3189"/>
      <c r="B202" s="3192"/>
      <c r="C202" s="134" t="s">
        <v>102</v>
      </c>
      <c r="D202" s="199">
        <f>'3.XT-C kh.mau HALO'!K7</f>
        <v>2.6378900000000001</v>
      </c>
      <c r="E202" s="146">
        <f>'3.XT-C kh.mau HALO'!S7</f>
        <v>0</v>
      </c>
      <c r="F202" s="146">
        <f>'3.XT-C kh.mau HALO'!AA7</f>
        <v>0</v>
      </c>
      <c r="G202" s="146">
        <f>'3.XT-C kh.mau HALO'!K48</f>
        <v>0</v>
      </c>
      <c r="H202" s="146">
        <f>'3.XT-C kh.mau HALO'!S48</f>
        <v>0</v>
      </c>
      <c r="I202" s="200">
        <f>'3.XT-C kh.mau HALO'!AA48</f>
        <v>0</v>
      </c>
    </row>
    <row r="203" spans="1:9" ht="21.75" hidden="1" customHeight="1">
      <c r="A203" s="3167"/>
      <c r="B203" s="3242"/>
      <c r="C203" s="134" t="s">
        <v>104</v>
      </c>
      <c r="D203" s="199" t="e">
        <f>'3.XT-C kh.mau HALO'!#REF!</f>
        <v>#REF!</v>
      </c>
      <c r="E203" s="146" t="e">
        <f>'3.XT-C kh.mau HALO'!#REF!</f>
        <v>#REF!</v>
      </c>
      <c r="F203" s="146" t="e">
        <f>'3.XT-C kh.mau HALO'!#REF!</f>
        <v>#REF!</v>
      </c>
      <c r="G203" s="146" t="e">
        <f>'3.XT-C kh.mau HALO'!#REF!</f>
        <v>#REF!</v>
      </c>
      <c r="H203" s="146" t="e">
        <f>'3.XT-C kh.mau HALO'!#REF!</f>
        <v>#REF!</v>
      </c>
      <c r="I203" s="200" t="e">
        <f>'3.XT-C kh.mau HALO'!#REF!</f>
        <v>#REF!</v>
      </c>
    </row>
    <row r="204" spans="1:9" ht="21.75" hidden="1" customHeight="1">
      <c r="A204" s="3166">
        <v>2</v>
      </c>
      <c r="B204" s="3190" t="s">
        <v>140</v>
      </c>
      <c r="C204" s="133" t="s">
        <v>101</v>
      </c>
      <c r="D204" s="199">
        <f>'3.XT-C kh.mau HALO'!K8</f>
        <v>0</v>
      </c>
      <c r="E204" s="146">
        <f>'3.XT-C kh.mau HALO'!S8</f>
        <v>0</v>
      </c>
      <c r="F204" s="146">
        <f>'3.XT-C kh.mau HALO'!AA8</f>
        <v>0</v>
      </c>
      <c r="G204" s="146">
        <f>'3.XT-C kh.mau HALO'!K49</f>
        <v>0</v>
      </c>
      <c r="H204" s="146">
        <f>'3.XT-C kh.mau HALO'!S49</f>
        <v>4.5899999999999839</v>
      </c>
      <c r="I204" s="200">
        <f>'3.XT-C kh.mau HALO'!AA49</f>
        <v>0</v>
      </c>
    </row>
    <row r="205" spans="1:9" ht="21.75" hidden="1" customHeight="1">
      <c r="A205" s="3189"/>
      <c r="B205" s="3192"/>
      <c r="C205" s="134" t="s">
        <v>102</v>
      </c>
      <c r="D205" s="199">
        <f>'3.XT-C kh.mau HALO'!K9</f>
        <v>0</v>
      </c>
      <c r="E205" s="146">
        <f>'3.XT-C kh.mau HALO'!S9</f>
        <v>0</v>
      </c>
      <c r="F205" s="146">
        <f>'3.XT-C kh.mau HALO'!AA9</f>
        <v>0</v>
      </c>
      <c r="G205" s="146">
        <f>'3.XT-C kh.mau HALO'!K50</f>
        <v>0</v>
      </c>
      <c r="H205" s="146">
        <f>'3.XT-C kh.mau HALO'!S50</f>
        <v>1.5605999999999944</v>
      </c>
      <c r="I205" s="200">
        <f>'3.XT-C kh.mau HALO'!AA50</f>
        <v>0</v>
      </c>
    </row>
    <row r="206" spans="1:9" ht="21.75" hidden="1" customHeight="1">
      <c r="A206" s="3167"/>
      <c r="B206" s="3242"/>
      <c r="C206" s="134" t="s">
        <v>104</v>
      </c>
      <c r="D206" s="199" t="e">
        <f>'3.XT-C kh.mau HALO'!#REF!</f>
        <v>#REF!</v>
      </c>
      <c r="E206" s="146" t="e">
        <f>'3.XT-C kh.mau HALO'!#REF!</f>
        <v>#REF!</v>
      </c>
      <c r="F206" s="146" t="e">
        <f>'3.XT-C kh.mau HALO'!#REF!</f>
        <v>#REF!</v>
      </c>
      <c r="G206" s="146" t="e">
        <f>'3.XT-C kh.mau HALO'!#REF!</f>
        <v>#REF!</v>
      </c>
      <c r="H206" s="146" t="e">
        <f>'3.XT-C kh.mau HALO'!#REF!</f>
        <v>#REF!</v>
      </c>
      <c r="I206" s="200" t="e">
        <f>'3.XT-C kh.mau HALO'!#REF!</f>
        <v>#REF!</v>
      </c>
    </row>
    <row r="207" spans="1:9" ht="21.75" hidden="1" customHeight="1">
      <c r="A207" s="3166">
        <v>3</v>
      </c>
      <c r="B207" s="3128" t="s">
        <v>141</v>
      </c>
      <c r="C207" s="133" t="s">
        <v>101</v>
      </c>
      <c r="D207" s="199">
        <f>'3.XT-C kh.mau HALO'!K10</f>
        <v>0</v>
      </c>
      <c r="E207" s="146">
        <f>'3.XT-C kh.mau HALO'!S10</f>
        <v>0</v>
      </c>
      <c r="F207" s="146">
        <f>'3.XT-C kh.mau HALO'!AA10</f>
        <v>0</v>
      </c>
      <c r="G207" s="146">
        <f>'3.XT-C kh.mau HALO'!K51</f>
        <v>0</v>
      </c>
      <c r="H207" s="146">
        <f>'3.XT-C kh.mau HALO'!S51</f>
        <v>0</v>
      </c>
      <c r="I207" s="200">
        <f>'3.XT-C kh.mau HALO'!AA51</f>
        <v>0</v>
      </c>
    </row>
    <row r="208" spans="1:9" ht="21.75" hidden="1" customHeight="1">
      <c r="A208" s="3167"/>
      <c r="B208" s="3129"/>
      <c r="C208" s="134" t="s">
        <v>105</v>
      </c>
      <c r="D208" s="199">
        <f>'3.XT-C kh.mau HALO'!K11</f>
        <v>0</v>
      </c>
      <c r="E208" s="146">
        <f>'3.XT-C kh.mau HALO'!S11</f>
        <v>0</v>
      </c>
      <c r="F208" s="146">
        <f>'3.XT-C kh.mau HALO'!AA11</f>
        <v>0</v>
      </c>
      <c r="G208" s="146">
        <f>'3.XT-C kh.mau HALO'!K52</f>
        <v>0</v>
      </c>
      <c r="H208" s="146">
        <f>'3.XT-C kh.mau HALO'!S52</f>
        <v>0</v>
      </c>
      <c r="I208" s="200">
        <f>'3.XT-C kh.mau HALO'!AA52</f>
        <v>0</v>
      </c>
    </row>
    <row r="209" spans="1:11" ht="21.75" hidden="1" customHeight="1">
      <c r="A209" s="3166">
        <v>4</v>
      </c>
      <c r="B209" s="3128" t="s">
        <v>142</v>
      </c>
      <c r="C209" s="133" t="s">
        <v>101</v>
      </c>
      <c r="D209" s="199">
        <f>'3.XT-C kh.mau HALO'!K12</f>
        <v>2.6003999999999756</v>
      </c>
      <c r="E209" s="146">
        <f>'3.XT-C kh.mau HALO'!S12</f>
        <v>0</v>
      </c>
      <c r="F209" s="146">
        <f>'3.XT-C kh.mau HALO'!AA12</f>
        <v>0</v>
      </c>
      <c r="G209" s="146">
        <f>'3.XT-C kh.mau HALO'!K53</f>
        <v>0</v>
      </c>
      <c r="H209" s="146">
        <f>'3.XT-C kh.mau HALO'!S53</f>
        <v>0</v>
      </c>
      <c r="I209" s="200">
        <f>'3.XT-C kh.mau HALO'!AA53</f>
        <v>0</v>
      </c>
    </row>
    <row r="210" spans="1:11" ht="21.75" hidden="1" customHeight="1">
      <c r="A210" s="3167"/>
      <c r="B210" s="3129"/>
      <c r="C210" s="134" t="s">
        <v>105</v>
      </c>
      <c r="D210" s="199">
        <f>'3.XT-C kh.mau HALO'!K13</f>
        <v>0.83212799999999221</v>
      </c>
      <c r="E210" s="146">
        <f>'3.XT-C kh.mau HALO'!S13</f>
        <v>0</v>
      </c>
      <c r="F210" s="146">
        <f>'3.XT-C kh.mau HALO'!AA13</f>
        <v>0</v>
      </c>
      <c r="G210" s="146">
        <f>'3.XT-C kh.mau HALO'!K54</f>
        <v>0</v>
      </c>
      <c r="H210" s="146">
        <f>'3.XT-C kh.mau HALO'!S54</f>
        <v>0</v>
      </c>
      <c r="I210" s="200">
        <f>'3.XT-C kh.mau HALO'!AA54</f>
        <v>0</v>
      </c>
    </row>
    <row r="211" spans="1:11" ht="21.75" hidden="1" customHeight="1">
      <c r="A211" s="3166">
        <v>5</v>
      </c>
      <c r="B211" s="3186" t="s">
        <v>114</v>
      </c>
      <c r="C211" s="135"/>
      <c r="D211" s="199">
        <f>'3.XT-C kh.mau HALO'!K14</f>
        <v>0</v>
      </c>
      <c r="E211" s="146">
        <f>'3.XT-C kh.mau HALO'!S14</f>
        <v>0</v>
      </c>
      <c r="F211" s="146">
        <f>'3.XT-C kh.mau HALO'!AA14</f>
        <v>0</v>
      </c>
      <c r="G211" s="146">
        <f>'3.XT-C kh.mau HALO'!K55</f>
        <v>0</v>
      </c>
      <c r="H211" s="146">
        <f>'3.XT-C kh.mau HALO'!S55</f>
        <v>0</v>
      </c>
      <c r="I211" s="200">
        <f>'3.XT-C kh.mau HALO'!AA55</f>
        <v>0</v>
      </c>
    </row>
    <row r="212" spans="1:11" ht="21.75" hidden="1" customHeight="1">
      <c r="A212" s="3167"/>
      <c r="B212" s="3187"/>
      <c r="C212" s="135"/>
      <c r="D212" s="199">
        <f>'3.XT-C kh.mau HALO'!K15</f>
        <v>0</v>
      </c>
      <c r="E212" s="146">
        <f>'3.XT-C kh.mau HALO'!S15</f>
        <v>9.5518799999999846</v>
      </c>
      <c r="F212" s="146">
        <f>'3.XT-C kh.mau HALO'!AA15</f>
        <v>6.1025900000000108</v>
      </c>
      <c r="G212" s="146">
        <f>'3.XT-C kh.mau HALO'!K56</f>
        <v>2.6532999999999434</v>
      </c>
      <c r="H212" s="146">
        <f>'3.XT-C kh.mau HALO'!S56</f>
        <v>0</v>
      </c>
      <c r="I212" s="200">
        <f>'3.XT-C kh.mau HALO'!AA56</f>
        <v>2.6532999999999434</v>
      </c>
    </row>
    <row r="213" spans="1:11" ht="21.75" hidden="1" customHeight="1">
      <c r="A213" s="3166">
        <v>6</v>
      </c>
      <c r="B213" s="3177" t="s">
        <v>38</v>
      </c>
      <c r="C213" s="3178"/>
      <c r="D213" s="199">
        <f>'3.XT-C kh.mau HALO'!K16</f>
        <v>0</v>
      </c>
      <c r="E213" s="146">
        <f>'3.XT-C kh.mau HALO'!S16</f>
        <v>0</v>
      </c>
      <c r="F213" s="146">
        <f>'3.XT-C kh.mau HALO'!AA16</f>
        <v>0</v>
      </c>
      <c r="G213" s="146">
        <f>'3.XT-C kh.mau HALO'!K57</f>
        <v>0</v>
      </c>
      <c r="H213" s="146">
        <f>'3.XT-C kh.mau HALO'!S57</f>
        <v>0</v>
      </c>
      <c r="I213" s="200">
        <f>'3.XT-C kh.mau HALO'!AA57</f>
        <v>3.3599999999999879</v>
      </c>
    </row>
    <row r="214" spans="1:11" ht="21.75" hidden="1" customHeight="1">
      <c r="A214" s="3167"/>
      <c r="B214" s="3179"/>
      <c r="C214" s="3180"/>
      <c r="D214" s="199">
        <f>'3.XT-C kh.mau HALO'!K17</f>
        <v>0</v>
      </c>
      <c r="E214" s="146">
        <f>'3.XT-C kh.mau HALO'!S17</f>
        <v>0</v>
      </c>
      <c r="F214" s="146">
        <f>'3.XT-C kh.mau HALO'!AA17</f>
        <v>0</v>
      </c>
      <c r="G214" s="146">
        <f>'3.XT-C kh.mau HALO'!K58</f>
        <v>0</v>
      </c>
      <c r="H214" s="146">
        <f>'3.XT-C kh.mau HALO'!S58</f>
        <v>0</v>
      </c>
      <c r="I214" s="200">
        <f>'3.XT-C kh.mau HALO'!AA58</f>
        <v>0</v>
      </c>
    </row>
    <row r="215" spans="1:11" ht="21.75" hidden="1" customHeight="1">
      <c r="A215" s="137">
        <v>7</v>
      </c>
      <c r="B215" s="2988" t="s">
        <v>36</v>
      </c>
      <c r="C215" s="2989"/>
      <c r="D215" s="199">
        <f>'3.XT-C kh.mau HALO'!K18</f>
        <v>0</v>
      </c>
      <c r="E215" s="146">
        <f>'3.XT-C kh.mau HALO'!S18</f>
        <v>0</v>
      </c>
      <c r="F215" s="146">
        <f>'3.XT-C kh.mau HALO'!AA18</f>
        <v>0</v>
      </c>
      <c r="G215" s="146">
        <f>'3.XT-C kh.mau HALO'!K59</f>
        <v>0</v>
      </c>
      <c r="H215" s="146">
        <f>'3.XT-C kh.mau HALO'!S59</f>
        <v>0</v>
      </c>
      <c r="I215" s="200">
        <f>'3.XT-C kh.mau HALO'!AA59</f>
        <v>0</v>
      </c>
    </row>
    <row r="216" spans="1:11" ht="21.75" hidden="1" customHeight="1">
      <c r="A216" s="137">
        <v>8</v>
      </c>
      <c r="B216" s="2988" t="s">
        <v>37</v>
      </c>
      <c r="C216" s="2989"/>
      <c r="D216" s="199">
        <f>'3.XT-C kh.mau HALO'!K19</f>
        <v>0</v>
      </c>
      <c r="E216" s="146">
        <f>'3.XT-C kh.mau HALO'!S19</f>
        <v>48.503076923077188</v>
      </c>
      <c r="F216" s="146">
        <f>'3.XT-C kh.mau HALO'!AA19</f>
        <v>0</v>
      </c>
      <c r="G216" s="146">
        <f>'3.XT-C kh.mau HALO'!K60</f>
        <v>0</v>
      </c>
      <c r="H216" s="146">
        <f>'3.XT-C kh.mau HALO'!S60</f>
        <v>0</v>
      </c>
      <c r="I216" s="200">
        <f>'3.XT-C kh.mau HALO'!AA60</f>
        <v>30.061802884615325</v>
      </c>
    </row>
    <row r="217" spans="1:11" ht="21.75" hidden="1" customHeight="1">
      <c r="A217" s="137">
        <v>9</v>
      </c>
      <c r="B217" s="2991" t="s">
        <v>83</v>
      </c>
      <c r="C217" s="2992"/>
      <c r="D217" s="199">
        <f>'3.XT-C kh.mau HALO'!K20</f>
        <v>19.724612068965513</v>
      </c>
      <c r="E217" s="146">
        <f>'3.XT-C kh.mau HALO'!S20</f>
        <v>0</v>
      </c>
      <c r="F217" s="146">
        <f>'3.XT-C kh.mau HALO'!AA20</f>
        <v>0</v>
      </c>
      <c r="G217" s="146">
        <f>'3.XT-C kh.mau HALO'!K61</f>
        <v>0</v>
      </c>
      <c r="H217" s="146">
        <f>'3.XT-C kh.mau HALO'!S61</f>
        <v>0</v>
      </c>
      <c r="I217" s="200">
        <f>'3.XT-C kh.mau HALO'!AA61</f>
        <v>4.460689655172418</v>
      </c>
    </row>
    <row r="218" spans="1:11" ht="21.75" hidden="1" customHeight="1">
      <c r="A218" s="137">
        <v>10</v>
      </c>
      <c r="B218" s="2991" t="s">
        <v>113</v>
      </c>
      <c r="C218" s="2992" t="s">
        <v>113</v>
      </c>
      <c r="D218" s="201">
        <f>'3.XT-C kh.mau HALO'!K21</f>
        <v>0</v>
      </c>
      <c r="E218" s="150">
        <f>'3.XT-C kh.mau HALO'!S21</f>
        <v>0</v>
      </c>
      <c r="F218" s="150">
        <f>'3.XT-C kh.mau HALO'!AA21</f>
        <v>0</v>
      </c>
      <c r="G218" s="150">
        <f>'3.XT-C kh.mau HALO'!K62</f>
        <v>8.0620927152317847</v>
      </c>
      <c r="H218" s="150">
        <f>'3.XT-C kh.mau HALO'!S62</f>
        <v>0</v>
      </c>
      <c r="I218" s="202">
        <f>'3.XT-C kh.mau HALO'!AA62</f>
        <v>2.8609271523178834</v>
      </c>
    </row>
    <row r="219" spans="1:11" ht="21.75" hidden="1" customHeight="1">
      <c r="D219" s="191"/>
      <c r="E219" s="139"/>
      <c r="F219" s="139"/>
      <c r="G219" s="139"/>
      <c r="H219" s="139"/>
      <c r="I219" s="192"/>
    </row>
    <row r="220" spans="1:11" ht="21.75" hidden="1" customHeight="1">
      <c r="B220" s="3219" t="s">
        <v>1597</v>
      </c>
      <c r="C220" s="3219"/>
      <c r="D220" s="2491">
        <f>'3.XT-C kh.mau JASCO '!I16</f>
        <v>12.1</v>
      </c>
      <c r="E220" s="2491">
        <f>'3.XT-C kh.mau JASCO '!Q16</f>
        <v>11.9</v>
      </c>
      <c r="F220" s="2491">
        <f>'3.XT-C kh.mau JASCO '!Y16</f>
        <v>12.3</v>
      </c>
      <c r="G220" s="2491">
        <f>'3.XT-C kh.mau JASCO '!I57</f>
        <v>12.2</v>
      </c>
      <c r="H220" s="2491">
        <f>'3.XT-C kh.mau JASCO '!Q57</f>
        <v>12.1</v>
      </c>
      <c r="I220" s="2491">
        <f>'3.XT-C kh.mau JASCO '!Y57</f>
        <v>12</v>
      </c>
    </row>
    <row r="221" spans="1:11" ht="21.75" hidden="1" customHeight="1">
      <c r="B221" s="3219" t="s">
        <v>121</v>
      </c>
      <c r="C221" s="3219"/>
      <c r="D221" s="2491">
        <f>'3.XT-C kh.mau JASCO '!I17</f>
        <v>2.12</v>
      </c>
      <c r="E221" s="2491">
        <f>'3.XT-C kh.mau JASCO '!Q17</f>
        <v>2.1</v>
      </c>
      <c r="F221" s="2491">
        <f>'3.XT-C kh.mau JASCO '!Y17</f>
        <v>2.0499999999999998</v>
      </c>
      <c r="G221" s="2491">
        <f>'3.XT-C kh.mau JASCO '!I58</f>
        <v>2.04</v>
      </c>
      <c r="H221" s="2491">
        <f>'3.XT-C kh.mau JASCO '!Q58</f>
        <v>2.02</v>
      </c>
      <c r="I221" s="2491">
        <f>'3.XT-C kh.mau JASCO '!Y58</f>
        <v>2.02</v>
      </c>
      <c r="K221" s="331" t="s">
        <v>360</v>
      </c>
    </row>
    <row r="222" spans="1:11" ht="21.75" hidden="1" customHeight="1">
      <c r="B222" s="3219" t="s">
        <v>1596</v>
      </c>
      <c r="C222" s="3219"/>
      <c r="D222" s="2491">
        <f>'3.XT-C kh.mau JASCO '!K16</f>
        <v>0</v>
      </c>
      <c r="E222" s="2491">
        <f>'3.XT-C kh.mau JASCO '!S16</f>
        <v>3.3599999999999879</v>
      </c>
      <c r="F222" s="2491">
        <f>'3.XT-C kh.mau JASCO '!AA16</f>
        <v>0</v>
      </c>
      <c r="G222" s="2491">
        <f>'3.XT-C kh.mau JASCO '!K57</f>
        <v>0</v>
      </c>
      <c r="H222" s="2491">
        <f>'3.XT-C kh.mau JASCO '!S57</f>
        <v>0</v>
      </c>
      <c r="I222" s="2491">
        <f>'3.XT-C kh.mau JASCO '!AA57</f>
        <v>0</v>
      </c>
    </row>
    <row r="223" spans="1:11" ht="21.75" hidden="1" customHeight="1">
      <c r="B223" s="3219" t="s">
        <v>158</v>
      </c>
      <c r="C223" s="3219"/>
      <c r="D223" s="2491">
        <f>'3.XT-C kh.mau JASCO '!I31</f>
        <v>39</v>
      </c>
      <c r="E223" s="2491">
        <f>'3.XT-C kh.mau JASCO '!Q31</f>
        <v>40</v>
      </c>
      <c r="F223" s="2491">
        <f>'3.XT-C kh.mau JASCO '!Y31</f>
        <v>40</v>
      </c>
      <c r="G223" s="2491">
        <f>'3.XT-C kh.mau JASCO '!I72</f>
        <v>38</v>
      </c>
      <c r="H223" s="2491">
        <f>'3.XT-C kh.mau JASCO '!Q72</f>
        <v>37</v>
      </c>
      <c r="I223" s="2491">
        <f>'3.XT-C kh.mau JASCO '!Y72</f>
        <v>38</v>
      </c>
    </row>
    <row r="224" spans="1:11" ht="21.75" customHeight="1" thickBot="1">
      <c r="D224" s="206"/>
      <c r="E224" s="207"/>
      <c r="F224" s="207"/>
      <c r="G224" s="207"/>
      <c r="H224" s="207"/>
      <c r="I224" s="208"/>
    </row>
  </sheetData>
  <mergeCells count="132">
    <mergeCell ref="B217:C217"/>
    <mergeCell ref="B218:C218"/>
    <mergeCell ref="A211:A212"/>
    <mergeCell ref="B211:B212"/>
    <mergeCell ref="A213:A214"/>
    <mergeCell ref="B213:C214"/>
    <mergeCell ref="B215:C215"/>
    <mergeCell ref="B216:C216"/>
    <mergeCell ref="A204:A206"/>
    <mergeCell ref="B204:B206"/>
    <mergeCell ref="A207:A208"/>
    <mergeCell ref="B207:B208"/>
    <mergeCell ref="A209:A210"/>
    <mergeCell ref="B209:B210"/>
    <mergeCell ref="B198:C198"/>
    <mergeCell ref="A201:A203"/>
    <mergeCell ref="B201:B203"/>
    <mergeCell ref="B197:C197"/>
    <mergeCell ref="B194:C194"/>
    <mergeCell ref="B193:C193"/>
    <mergeCell ref="B192:C192"/>
    <mergeCell ref="B191:C191"/>
    <mergeCell ref="B190:C190"/>
    <mergeCell ref="B189:C189"/>
    <mergeCell ref="B188:C188"/>
    <mergeCell ref="B187:C187"/>
    <mergeCell ref="B184:C184"/>
    <mergeCell ref="A179:A180"/>
    <mergeCell ref="B179:C180"/>
    <mergeCell ref="B181:C181"/>
    <mergeCell ref="B182:C182"/>
    <mergeCell ref="B183:C183"/>
    <mergeCell ref="A175:A176"/>
    <mergeCell ref="B175:B176"/>
    <mergeCell ref="A177:A178"/>
    <mergeCell ref="B177:B17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A149:A151"/>
    <mergeCell ref="B149:B151"/>
    <mergeCell ref="A152:A153"/>
    <mergeCell ref="B152:B153"/>
    <mergeCell ref="A154:A155"/>
    <mergeCell ref="B154:B155"/>
    <mergeCell ref="B139:C139"/>
    <mergeCell ref="B142:C142"/>
    <mergeCell ref="B143:C143"/>
    <mergeCell ref="A146:A148"/>
    <mergeCell ref="B146:B148"/>
    <mergeCell ref="B133:C133"/>
    <mergeCell ref="B134:C134"/>
    <mergeCell ref="B135:C135"/>
    <mergeCell ref="B136:C136"/>
    <mergeCell ref="B137:C137"/>
    <mergeCell ref="B138:C138"/>
    <mergeCell ref="B127:C127"/>
    <mergeCell ref="B128:C128"/>
    <mergeCell ref="B129:C129"/>
    <mergeCell ref="B132:C13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B20:C20"/>
    <mergeCell ref="A21:C21"/>
    <mergeCell ref="B22:C22"/>
    <mergeCell ref="B34:C34"/>
    <mergeCell ref="A31:C31"/>
    <mergeCell ref="B32:C32"/>
    <mergeCell ref="B29:C29"/>
    <mergeCell ref="B27:C27"/>
    <mergeCell ref="B25:C25"/>
    <mergeCell ref="B23:C23"/>
    <mergeCell ref="B220:C220"/>
    <mergeCell ref="B221:C221"/>
    <mergeCell ref="B222:C222"/>
    <mergeCell ref="B223:C223"/>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 ref="B33:C33"/>
    <mergeCell ref="B30:C30"/>
    <mergeCell ref="B28:C28"/>
    <mergeCell ref="B26:C26"/>
    <mergeCell ref="B24:C24"/>
  </mergeCells>
  <phoneticPr fontId="7" type="noConversion"/>
  <pageMargins left="0.7" right="0.7" top="0.75" bottom="0.75" header="0.3" footer="0.3"/>
  <pageSetup paperSize="9" orientation="portrait" verticalDpi="0" r:id="rId1"/>
  <drawing r:id="rId2"/>
</worksheet>
</file>

<file path=xl/worksheets/sheet28.xml><?xml version="1.0" encoding="utf-8"?>
<worksheet xmlns="http://schemas.openxmlformats.org/spreadsheetml/2006/main" xmlns:r="http://schemas.openxmlformats.org/officeDocument/2006/relationships">
  <sheetPr codeName="Sheet15">
    <tabColor rgb="FFFF0000"/>
  </sheetPr>
  <dimension ref="A1:I186"/>
  <sheetViews>
    <sheetView zoomScale="85" zoomScaleNormal="85" workbookViewId="0">
      <selection activeCell="D5" sqref="D5:I186"/>
    </sheetView>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2133" t="str">
        <f>MENU!$AC$9</f>
        <v>Thứ 3,</v>
      </c>
      <c r="C1" s="3250" t="str">
        <f>MENU!$AD$9</f>
        <v>2024/01/09</v>
      </c>
      <c r="D1" s="3251"/>
      <c r="E1" s="3251"/>
      <c r="F1" s="3251"/>
    </row>
    <row r="2" spans="1:9" ht="26.25" customHeight="1"/>
    <row r="3" spans="1:9" ht="36" customHeight="1">
      <c r="A3" s="162"/>
      <c r="B3" s="259" t="s">
        <v>216</v>
      </c>
      <c r="C3" s="163"/>
      <c r="D3" s="147" t="s">
        <v>156</v>
      </c>
      <c r="E3" s="148"/>
      <c r="F3" s="148"/>
      <c r="G3" s="148"/>
      <c r="H3" s="148"/>
      <c r="I3" s="149"/>
    </row>
    <row r="4" spans="1:9" ht="21.75" customHeight="1" thickBot="1">
      <c r="A4" s="183"/>
      <c r="B4" s="163"/>
      <c r="C4" s="184"/>
      <c r="D4" s="158">
        <v>0.25</v>
      </c>
      <c r="E4" s="158">
        <v>0.41666666666666669</v>
      </c>
      <c r="F4" s="158">
        <v>0.58333333333333337</v>
      </c>
      <c r="G4" s="158">
        <v>0.75</v>
      </c>
      <c r="H4" s="158">
        <v>0.91666666666666663</v>
      </c>
      <c r="I4" s="159">
        <v>8.3333333333333329E-2</v>
      </c>
    </row>
    <row r="5" spans="1:9" ht="27" customHeight="1">
      <c r="A5" s="3220">
        <v>1</v>
      </c>
      <c r="B5" s="3222" t="s">
        <v>132</v>
      </c>
      <c r="C5" s="182" t="s">
        <v>101</v>
      </c>
      <c r="D5" s="186">
        <f>'1. XL-1E TT'!I6</f>
        <v>0</v>
      </c>
      <c r="E5" s="187">
        <f>'1. XL-1E TT'!M6</f>
        <v>0</v>
      </c>
      <c r="F5" s="187">
        <f>'1. XL-1E TT'!Q6</f>
        <v>0</v>
      </c>
      <c r="G5" s="187">
        <f>'1. XL-1E TT(CA2)'!I6</f>
        <v>0</v>
      </c>
      <c r="H5" s="187">
        <f>'1. XL-1E TT(CA2)'!M6</f>
        <v>0</v>
      </c>
      <c r="I5" s="188">
        <f>'1. XL-1E TT(CA2)'!Q6</f>
        <v>0</v>
      </c>
    </row>
    <row r="6" spans="1:9" ht="27" hidden="1" customHeight="1">
      <c r="A6" s="3220"/>
      <c r="B6" s="3222"/>
      <c r="C6" s="182"/>
      <c r="D6" s="191"/>
      <c r="E6" s="139"/>
      <c r="F6" s="139"/>
      <c r="G6" s="139">
        <f>'1. XL-1E TT(CA2)'!I7</f>
        <v>0</v>
      </c>
      <c r="H6" s="139">
        <f>'1. XL-1E TT(CA2)'!M7</f>
        <v>0</v>
      </c>
      <c r="I6" s="192">
        <f>'1. XL-1E TT(CA2)'!Q7</f>
        <v>0</v>
      </c>
    </row>
    <row r="7" spans="1:9" ht="21.75" hidden="1" customHeight="1">
      <c r="A7" s="3221"/>
      <c r="B7" s="3223"/>
      <c r="C7" s="185" t="s">
        <v>129</v>
      </c>
      <c r="D7" s="191">
        <f>'1. XL-1E TT'!I8</f>
        <v>0</v>
      </c>
      <c r="E7" s="139">
        <f>'1. XL-1E TT'!M8</f>
        <v>0</v>
      </c>
      <c r="F7" s="139">
        <f>'1. XL-1E TT'!Q8</f>
        <v>0</v>
      </c>
      <c r="G7" s="139">
        <f>'1. XL-1E TT(CA2)'!I8</f>
        <v>0</v>
      </c>
      <c r="H7" s="139">
        <f>'1. XL-1E TT(CA2)'!M8</f>
        <v>0</v>
      </c>
      <c r="I7" s="192">
        <f>'1. XL-1E TT(CA2)'!Q8</f>
        <v>0</v>
      </c>
    </row>
    <row r="8" spans="1:9" ht="21.75" hidden="1" customHeight="1">
      <c r="A8" s="3120">
        <v>2</v>
      </c>
      <c r="B8" s="3224" t="s">
        <v>146</v>
      </c>
      <c r="C8" s="165" t="s">
        <v>101</v>
      </c>
      <c r="D8" s="191">
        <f>'1. XL-1E TT'!I9</f>
        <v>0</v>
      </c>
      <c r="E8" s="139">
        <f>'1. XL-1E TT'!M9</f>
        <v>0</v>
      </c>
      <c r="F8" s="139">
        <f>'1. XL-1E TT'!Q9</f>
        <v>0</v>
      </c>
      <c r="G8" s="139">
        <f>'1. XL-1E TT(CA2)'!I9</f>
        <v>0</v>
      </c>
      <c r="H8" s="139">
        <f>'1. XL-1E TT(CA2)'!M9</f>
        <v>0</v>
      </c>
      <c r="I8" s="192">
        <f>'1. XL-1E TT(CA2)'!Q9</f>
        <v>0</v>
      </c>
    </row>
    <row r="9" spans="1:9" ht="21.75" hidden="1" customHeight="1">
      <c r="A9" s="3120"/>
      <c r="B9" s="3224"/>
      <c r="C9" s="1602"/>
      <c r="D9" s="191"/>
      <c r="E9" s="139"/>
      <c r="F9" s="139"/>
      <c r="G9" s="139">
        <f>'1. XL-1E TT(CA2)'!I10</f>
        <v>0</v>
      </c>
      <c r="H9" s="139">
        <f>'1. XL-1E TT(CA2)'!M10</f>
        <v>0</v>
      </c>
      <c r="I9" s="192">
        <f>'1. XL-1E TT(CA2)'!Q10</f>
        <v>0</v>
      </c>
    </row>
    <row r="10" spans="1:9" ht="21.75" hidden="1" customHeight="1">
      <c r="A10" s="3119"/>
      <c r="B10" s="3225"/>
      <c r="C10" s="142" t="s">
        <v>129</v>
      </c>
      <c r="D10" s="191">
        <f>'1. XL-1E TT'!I11</f>
        <v>0</v>
      </c>
      <c r="E10" s="139">
        <f>'1. XL-1E TT'!M11</f>
        <v>0</v>
      </c>
      <c r="F10" s="139">
        <f>'1. XL-1E TT'!Q11</f>
        <v>0</v>
      </c>
      <c r="G10" s="139">
        <f>'1. XL-1E TT(CA2)'!I11</f>
        <v>0</v>
      </c>
      <c r="H10" s="139">
        <f>'1. XL-1E TT(CA2)'!M11</f>
        <v>0</v>
      </c>
      <c r="I10" s="192">
        <f>'1. XL-1E TT(CA2)'!Q11</f>
        <v>0</v>
      </c>
    </row>
    <row r="11" spans="1:9" ht="21.75" hidden="1" customHeight="1">
      <c r="A11" s="3118">
        <v>3</v>
      </c>
      <c r="B11" s="3229" t="s">
        <v>144</v>
      </c>
      <c r="C11" s="141" t="s">
        <v>101</v>
      </c>
      <c r="D11" s="191">
        <f>'1. XL-1E TT'!I12</f>
        <v>0</v>
      </c>
      <c r="E11" s="139">
        <f>'1. XL-1E TT'!M12</f>
        <v>0</v>
      </c>
      <c r="F11" s="139">
        <f>'1. XL-1E TT'!Q12</f>
        <v>0</v>
      </c>
      <c r="G11" s="139">
        <f>'1. XL-1E TT(CA2)'!I12</f>
        <v>0</v>
      </c>
      <c r="H11" s="139">
        <f>'1. XL-1E TT(CA2)'!M12</f>
        <v>0</v>
      </c>
      <c r="I11" s="192">
        <f>'1. XL-1E TT(CA2)'!Q12</f>
        <v>0</v>
      </c>
    </row>
    <row r="12" spans="1:9" ht="21.75" hidden="1" customHeight="1">
      <c r="A12" s="3119"/>
      <c r="B12" s="3225"/>
      <c r="C12" s="142" t="s">
        <v>129</v>
      </c>
      <c r="D12" s="191">
        <f>'1. XL-1E TT'!I13</f>
        <v>0</v>
      </c>
      <c r="E12" s="139">
        <f>'1. XL-1E TT'!M13</f>
        <v>0</v>
      </c>
      <c r="F12" s="139">
        <f>'1. XL-1E TT'!Q13</f>
        <v>0</v>
      </c>
      <c r="G12" s="139">
        <f>'1. XL-1E TT(CA2)'!I13</f>
        <v>0</v>
      </c>
      <c r="H12" s="139">
        <f>'1. XL-1E TT(CA2)'!M13</f>
        <v>0</v>
      </c>
      <c r="I12" s="192">
        <f>'1. XL-1E TT(CA2)'!Q13</f>
        <v>0</v>
      </c>
    </row>
    <row r="13" spans="1:9" ht="21.75" hidden="1" customHeight="1">
      <c r="A13" s="3118">
        <v>4</v>
      </c>
      <c r="B13" s="3229" t="s">
        <v>145</v>
      </c>
      <c r="C13" s="141" t="s">
        <v>101</v>
      </c>
      <c r="D13" s="191">
        <f>'1. XL-1E TT'!I14</f>
        <v>0</v>
      </c>
      <c r="E13" s="139">
        <f>'1. XL-1E TT'!M14</f>
        <v>0</v>
      </c>
      <c r="F13" s="139">
        <f>'1. XL-1E TT'!Q14</f>
        <v>0</v>
      </c>
      <c r="G13" s="139">
        <f>'1. XL-1E TT(CA2)'!I14</f>
        <v>0</v>
      </c>
      <c r="H13" s="139">
        <f>'1. XL-1E TT(CA2)'!M14</f>
        <v>0</v>
      </c>
      <c r="I13" s="192">
        <f>'1. XL-1E TT(CA2)'!Q14</f>
        <v>0</v>
      </c>
    </row>
    <row r="14" spans="1:9" ht="21.75" hidden="1" customHeight="1">
      <c r="A14" s="3119"/>
      <c r="B14" s="3225"/>
      <c r="C14" s="142" t="s">
        <v>129</v>
      </c>
      <c r="D14" s="191">
        <f>'1. XL-1E TT'!I15</f>
        <v>0</v>
      </c>
      <c r="E14" s="139">
        <f>'1. XL-1E TT'!M15</f>
        <v>0</v>
      </c>
      <c r="F14" s="139">
        <f>'1. XL-1E TT'!Q15</f>
        <v>0</v>
      </c>
      <c r="G14" s="139">
        <f>'1. XL-1E TT(CA2)'!I15</f>
        <v>0</v>
      </c>
      <c r="H14" s="139">
        <f>'1. XL-1E TT(CA2)'!M15</f>
        <v>0</v>
      </c>
      <c r="I14" s="192">
        <f>'1. XL-1E TT(CA2)'!Q15</f>
        <v>0</v>
      </c>
    </row>
    <row r="15" spans="1:9" ht="21.75" hidden="1" customHeight="1">
      <c r="A15" s="3118">
        <v>5</v>
      </c>
      <c r="B15" s="2961" t="s">
        <v>96</v>
      </c>
      <c r="C15" s="237" t="s">
        <v>95</v>
      </c>
      <c r="D15" s="191">
        <f>'1. XL-1E TT'!I16</f>
        <v>0</v>
      </c>
      <c r="E15" s="139">
        <f>'1. XL-1E TT'!M16</f>
        <v>0</v>
      </c>
      <c r="F15" s="139">
        <f>'1. XL-1E TT'!Q16</f>
        <v>0</v>
      </c>
      <c r="G15" s="139">
        <f>'1. XL-1E TT(CA2)'!I16</f>
        <v>0</v>
      </c>
      <c r="H15" s="139">
        <f>'1. XL-1E TT(CA2)'!M16</f>
        <v>0</v>
      </c>
      <c r="I15" s="192">
        <f>'1. XL-1E TT(CA2)'!Q16</f>
        <v>0</v>
      </c>
    </row>
    <row r="16" spans="1:9" ht="21.75" hidden="1" customHeight="1">
      <c r="A16" s="3119"/>
      <c r="B16" s="2962"/>
      <c r="C16" s="237" t="s">
        <v>58</v>
      </c>
      <c r="D16" s="191">
        <f>'1. XL-1E TT'!I17</f>
        <v>0</v>
      </c>
      <c r="E16" s="139">
        <f>'1. XL-1E TT'!M17</f>
        <v>0</v>
      </c>
      <c r="F16" s="139">
        <f>'1. XL-1E TT'!Q17</f>
        <v>0</v>
      </c>
      <c r="G16" s="139">
        <f>'1. XL-1E TT(CA2)'!I17</f>
        <v>0</v>
      </c>
      <c r="H16" s="139">
        <f>'1. XL-1E TT(CA2)'!M17</f>
        <v>0</v>
      </c>
      <c r="I16" s="192">
        <f>'1. XL-1E TT(CA2)'!Q17</f>
        <v>0</v>
      </c>
    </row>
    <row r="17" spans="1:9" ht="21.75" hidden="1" customHeight="1">
      <c r="A17" s="3118">
        <v>6</v>
      </c>
      <c r="B17" s="3226" t="s">
        <v>97</v>
      </c>
      <c r="C17" s="2936"/>
      <c r="D17" s="191">
        <f>'1. XL-1E TT'!I18</f>
        <v>0</v>
      </c>
      <c r="E17" s="139">
        <f>'1. XL-1E TT'!M18</f>
        <v>0</v>
      </c>
      <c r="F17" s="139">
        <f>'1. XL-1E TT'!Q18</f>
        <v>0</v>
      </c>
      <c r="G17" s="139">
        <f>'1. XL-1E TT(CA2)'!I18</f>
        <v>0</v>
      </c>
      <c r="H17" s="139">
        <f>'1. XL-1E TT(CA2)'!M18</f>
        <v>0</v>
      </c>
      <c r="I17" s="192">
        <f>'1. XL-1E TT(CA2)'!Q18</f>
        <v>0</v>
      </c>
    </row>
    <row r="18" spans="1:9" ht="21.75" hidden="1" customHeight="1">
      <c r="A18" s="3119"/>
      <c r="B18" s="3227"/>
      <c r="C18" s="3132"/>
      <c r="D18" s="191">
        <f>'1. XL-1E TT'!I19</f>
        <v>0</v>
      </c>
      <c r="E18" s="139">
        <f>'1. XL-1E TT'!M19</f>
        <v>0</v>
      </c>
      <c r="F18" s="139">
        <f>'1. XL-1E TT'!Q19</f>
        <v>0</v>
      </c>
      <c r="G18" s="139">
        <f>'1. XL-1E TT(CA2)'!I19</f>
        <v>0</v>
      </c>
      <c r="H18" s="139">
        <f>'1. XL-1E TT(CA2)'!M19</f>
        <v>0</v>
      </c>
      <c r="I18" s="192">
        <f>'1. XL-1E TT(CA2)'!Q19</f>
        <v>0</v>
      </c>
    </row>
    <row r="19" spans="1:9" ht="21.75" hidden="1" customHeight="1">
      <c r="A19" s="108">
        <v>7</v>
      </c>
      <c r="B19" s="2863" t="s">
        <v>59</v>
      </c>
      <c r="C19" s="3228"/>
      <c r="D19" s="191">
        <f>'1. XL-1E TT'!I20</f>
        <v>0</v>
      </c>
      <c r="E19" s="139">
        <f>'1. XL-1E TT'!M20</f>
        <v>0</v>
      </c>
      <c r="F19" s="139">
        <f>'1. XL-1E TT'!Q20</f>
        <v>0</v>
      </c>
      <c r="G19" s="139">
        <f>'1. XL-1E TT(CA2)'!I20</f>
        <v>0</v>
      </c>
      <c r="H19" s="139">
        <f>'1. XL-1E TT(CA2)'!M20</f>
        <v>0</v>
      </c>
      <c r="I19" s="192">
        <f>'1. XL-1E TT(CA2)'!Q20</f>
        <v>0</v>
      </c>
    </row>
    <row r="20" spans="1:9" ht="21.75" hidden="1" customHeight="1">
      <c r="A20" s="108">
        <v>8</v>
      </c>
      <c r="B20" s="2863" t="s">
        <v>60</v>
      </c>
      <c r="C20" s="3228"/>
      <c r="D20" s="191">
        <f>'1. XL-1E TT'!I21</f>
        <v>0</v>
      </c>
      <c r="E20" s="139">
        <f>'1. XL-1E TT'!M21</f>
        <v>0</v>
      </c>
      <c r="F20" s="139">
        <f>'1. XL-1E TT'!Q21</f>
        <v>0</v>
      </c>
      <c r="G20" s="139">
        <f>'1. XL-1E TT(CA2)'!I21</f>
        <v>0</v>
      </c>
      <c r="H20" s="139">
        <f>'1. XL-1E TT(CA2)'!M21</f>
        <v>0</v>
      </c>
      <c r="I20" s="192">
        <f>'1. XL-1E TT(CA2)'!Q21</f>
        <v>0</v>
      </c>
    </row>
    <row r="21" spans="1:9" ht="21.75" hidden="1" customHeight="1">
      <c r="A21" s="108">
        <v>9</v>
      </c>
      <c r="B21" s="2863" t="s">
        <v>61</v>
      </c>
      <c r="C21" s="3228"/>
      <c r="D21" s="191">
        <f>'1. XL-1E TT'!I22</f>
        <v>0</v>
      </c>
      <c r="E21" s="139">
        <f>'1. XL-1E TT'!M22</f>
        <v>0</v>
      </c>
      <c r="F21" s="139">
        <f>'1. XL-1E TT'!Q22</f>
        <v>0</v>
      </c>
      <c r="G21" s="139">
        <f>'1. XL-1E TT(CA2)'!I22</f>
        <v>0</v>
      </c>
      <c r="H21" s="139">
        <f>'1. XL-1E TT(CA2)'!M22</f>
        <v>0</v>
      </c>
      <c r="I21" s="192">
        <f>'1. XL-1E TT(CA2)'!Q22</f>
        <v>0</v>
      </c>
    </row>
    <row r="22" spans="1:9" ht="21.75" hidden="1" customHeight="1">
      <c r="A22" s="108">
        <v>10</v>
      </c>
      <c r="B22" s="2863" t="s">
        <v>98</v>
      </c>
      <c r="C22" s="3228"/>
      <c r="D22" s="189">
        <f>'1. XL-1E TT'!I23</f>
        <v>0</v>
      </c>
      <c r="E22" s="1605">
        <f>'1. XL-1E TT'!M23</f>
        <v>0</v>
      </c>
      <c r="F22" s="1605">
        <f>'1. XL-1E TT'!Q23</f>
        <v>0</v>
      </c>
      <c r="G22" s="1605">
        <f>'1. XL-1E TT(CA2)'!I23</f>
        <v>0</v>
      </c>
      <c r="H22" s="1605">
        <f>'1. XL-1E TT(CA2)'!M23</f>
        <v>0</v>
      </c>
      <c r="I22" s="190">
        <f>'1. XL-1E TT(CA2)'!Q23</f>
        <v>0</v>
      </c>
    </row>
    <row r="23" spans="1:9" ht="21.75" hidden="1" customHeight="1">
      <c r="A23" s="3230" t="s">
        <v>74</v>
      </c>
      <c r="B23" s="3230"/>
      <c r="C23" s="3231"/>
      <c r="D23" s="193" t="s">
        <v>158</v>
      </c>
      <c r="E23" s="148"/>
      <c r="F23" s="148"/>
      <c r="G23" s="148"/>
      <c r="H23" s="148"/>
      <c r="I23" s="194"/>
    </row>
    <row r="24" spans="1:9" ht="21.75" hidden="1" customHeight="1">
      <c r="A24" s="144" t="s">
        <v>7</v>
      </c>
      <c r="B24" s="3231" t="s">
        <v>62</v>
      </c>
      <c r="C24" s="3232"/>
      <c r="D24" s="195">
        <v>0.25</v>
      </c>
      <c r="E24" s="151">
        <v>0.41666666666666669</v>
      </c>
      <c r="F24" s="151">
        <v>0.58333333333333337</v>
      </c>
      <c r="G24" s="151">
        <v>0.75</v>
      </c>
      <c r="H24" s="151">
        <v>0.91666666666666663</v>
      </c>
      <c r="I24" s="196">
        <v>8.3333333333333329E-2</v>
      </c>
    </row>
    <row r="25" spans="1:9" ht="21.75" hidden="1" customHeight="1">
      <c r="A25" s="108">
        <v>1</v>
      </c>
      <c r="B25" s="2874" t="s">
        <v>66</v>
      </c>
      <c r="C25" s="2875"/>
      <c r="D25" s="191">
        <f>'1. XL-1E TT'!I28</f>
        <v>0</v>
      </c>
      <c r="E25" s="139">
        <f>'1. XL-1E TT'!M28</f>
        <v>0</v>
      </c>
      <c r="F25" s="139">
        <f>'1. XL-1E TT'!Q28</f>
        <v>0</v>
      </c>
      <c r="G25" s="139">
        <f>'1. XL-1E TT(CA2)'!I28</f>
        <v>0</v>
      </c>
      <c r="H25" s="139">
        <f>'1. XL-1E TT(CA2)'!M28</f>
        <v>0</v>
      </c>
      <c r="I25" s="192">
        <f>'1. XL-1E TT(CA2)'!Q28</f>
        <v>0</v>
      </c>
    </row>
    <row r="26" spans="1:9" ht="21.75" hidden="1" customHeight="1">
      <c r="A26" s="108">
        <v>2</v>
      </c>
      <c r="B26" s="2874" t="s">
        <v>67</v>
      </c>
      <c r="C26" s="2875" t="s">
        <v>67</v>
      </c>
      <c r="D26" s="191">
        <f>'1. XL-1E TT'!I29</f>
        <v>0</v>
      </c>
      <c r="E26" s="139">
        <f>'1. XL-1E TT'!M29</f>
        <v>0</v>
      </c>
      <c r="F26" s="139">
        <f>'1. XL-1E TT'!Q29</f>
        <v>0</v>
      </c>
      <c r="G26" s="139">
        <f>'1. XL-1E TT(CA2)'!I29</f>
        <v>0</v>
      </c>
      <c r="H26" s="139">
        <f>'1. XL-1E TT(CA2)'!M29</f>
        <v>0</v>
      </c>
      <c r="I26" s="192">
        <f>'1. XL-1E TT(CA2)'!Q29</f>
        <v>0</v>
      </c>
    </row>
    <row r="27" spans="1:9" ht="21.75" hidden="1" customHeight="1">
      <c r="A27" s="108">
        <v>3</v>
      </c>
      <c r="B27" s="2874" t="s">
        <v>69</v>
      </c>
      <c r="C27" s="2875" t="s">
        <v>69</v>
      </c>
      <c r="D27" s="191">
        <f>'1. XL-1E TT'!I30</f>
        <v>0</v>
      </c>
      <c r="E27" s="139">
        <f>'1. XL-1E TT'!M30</f>
        <v>0</v>
      </c>
      <c r="F27" s="139">
        <f>'1. XL-1E TT'!Q30</f>
        <v>0</v>
      </c>
      <c r="G27" s="139">
        <f>'1. XL-1E TT(CA2)'!I30</f>
        <v>0</v>
      </c>
      <c r="H27" s="139">
        <f>'1. XL-1E TT(CA2)'!M30</f>
        <v>0</v>
      </c>
      <c r="I27" s="192">
        <f>'1. XL-1E TT(CA2)'!Q30</f>
        <v>0</v>
      </c>
    </row>
    <row r="28" spans="1:9" ht="21.75" hidden="1" customHeight="1">
      <c r="A28" s="108">
        <v>4</v>
      </c>
      <c r="B28" s="2874" t="s">
        <v>68</v>
      </c>
      <c r="C28" s="2875" t="s">
        <v>68</v>
      </c>
      <c r="D28" s="191">
        <f>'1. XL-1E TT'!I31</f>
        <v>0</v>
      </c>
      <c r="E28" s="139">
        <f>'1. XL-1E TT'!M31</f>
        <v>0</v>
      </c>
      <c r="F28" s="139">
        <f>'1. XL-1E TT'!Q31</f>
        <v>0</v>
      </c>
      <c r="G28" s="139">
        <f>'1. XL-1E TT(CA2)'!I31</f>
        <v>0</v>
      </c>
      <c r="H28" s="139">
        <f>'1. XL-1E TT(CA2)'!M31</f>
        <v>0</v>
      </c>
      <c r="I28" s="192">
        <f>'1. XL-1E TT(CA2)'!Q31</f>
        <v>0</v>
      </c>
    </row>
    <row r="29" spans="1:9" ht="21.75" hidden="1" customHeight="1">
      <c r="A29" s="108">
        <v>5</v>
      </c>
      <c r="B29" s="2874" t="s">
        <v>70</v>
      </c>
      <c r="C29" s="2875" t="s">
        <v>70</v>
      </c>
      <c r="D29" s="191">
        <f>'1. XL-1E TT'!I32</f>
        <v>0</v>
      </c>
      <c r="E29" s="139">
        <f>'1. XL-1E TT'!M32</f>
        <v>0</v>
      </c>
      <c r="F29" s="139">
        <f>'1. XL-1E TT'!Q32</f>
        <v>0</v>
      </c>
      <c r="G29" s="139">
        <f>'1. XL-1E TT(CA2)'!I32</f>
        <v>0</v>
      </c>
      <c r="H29" s="139">
        <f>'1. XL-1E TT(CA2)'!M32</f>
        <v>0</v>
      </c>
      <c r="I29" s="192">
        <f>'1. XL-1E TT(CA2)'!Q32</f>
        <v>0</v>
      </c>
    </row>
    <row r="30" spans="1:9" ht="21.75" hidden="1" customHeight="1">
      <c r="A30" s="108">
        <v>6</v>
      </c>
      <c r="B30" s="2874" t="s">
        <v>85</v>
      </c>
      <c r="C30" s="2875" t="s">
        <v>85</v>
      </c>
      <c r="D30" s="191">
        <f>'1. XL-1E TT'!I33</f>
        <v>0</v>
      </c>
      <c r="E30" s="139">
        <f>'1. XL-1E TT'!M33</f>
        <v>0</v>
      </c>
      <c r="F30" s="139">
        <f>'1. XL-1E TT'!Q33</f>
        <v>0</v>
      </c>
      <c r="G30" s="139">
        <f>'1. XL-1E TT(CA2)'!I33</f>
        <v>0</v>
      </c>
      <c r="H30" s="139">
        <f>'1. XL-1E TT(CA2)'!M33</f>
        <v>0</v>
      </c>
      <c r="I30" s="192">
        <f>'1. XL-1E TT(CA2)'!Q33</f>
        <v>0</v>
      </c>
    </row>
    <row r="31" spans="1:9" ht="21.75" hidden="1" customHeight="1">
      <c r="A31" s="108">
        <v>7</v>
      </c>
      <c r="B31" s="2874" t="s">
        <v>71</v>
      </c>
      <c r="C31" s="2875" t="s">
        <v>71</v>
      </c>
      <c r="D31" s="191">
        <f>'1. XL-1E TT'!I34</f>
        <v>0</v>
      </c>
      <c r="E31" s="139">
        <f>'1. XL-1E TT'!M34</f>
        <v>0</v>
      </c>
      <c r="F31" s="139">
        <f>'1. XL-1E TT'!Q34</f>
        <v>0</v>
      </c>
      <c r="G31" s="139">
        <f>'1. XL-1E TT(CA2)'!I34</f>
        <v>0</v>
      </c>
      <c r="H31" s="139">
        <f>'1. XL-1E TT(CA2)'!M34</f>
        <v>0</v>
      </c>
      <c r="I31" s="192">
        <f>'1. XL-1E TT(CA2)'!Q34</f>
        <v>0</v>
      </c>
    </row>
    <row r="32" spans="1:9" ht="21.75" hidden="1" customHeight="1">
      <c r="A32" s="108">
        <v>8</v>
      </c>
      <c r="B32" s="2874" t="s">
        <v>72</v>
      </c>
      <c r="C32" s="2875" t="s">
        <v>72</v>
      </c>
      <c r="D32" s="191">
        <f>'1. XL-1E TT'!K35</f>
        <v>0</v>
      </c>
      <c r="E32" s="139">
        <f>'1. XL-1E TT'!O35</f>
        <v>0</v>
      </c>
      <c r="F32" s="139">
        <f>'1. XL-1E TT'!S35</f>
        <v>0</v>
      </c>
      <c r="G32" s="139">
        <f>'1. XL-1E TT(CA2)'!K35</f>
        <v>0</v>
      </c>
      <c r="H32" s="139">
        <f>'1. XL-1E TT(CA2)'!O35</f>
        <v>0</v>
      </c>
      <c r="I32" s="192">
        <f>'1. XL-1E TT(CA2)'!S35</f>
        <v>0</v>
      </c>
    </row>
    <row r="33" spans="1:9" ht="21.75" hidden="1" customHeight="1">
      <c r="A33" s="3230" t="s">
        <v>76</v>
      </c>
      <c r="B33" s="3230"/>
      <c r="C33" s="3231"/>
      <c r="D33" s="193" t="s">
        <v>159</v>
      </c>
      <c r="E33" s="148"/>
      <c r="F33" s="148"/>
      <c r="G33" s="148"/>
      <c r="H33" s="148"/>
      <c r="I33" s="194"/>
    </row>
    <row r="34" spans="1:9" ht="21.75" hidden="1" customHeight="1">
      <c r="A34" s="144" t="s">
        <v>7</v>
      </c>
      <c r="B34" s="3231" t="s">
        <v>93</v>
      </c>
      <c r="C34" s="3232"/>
      <c r="D34" s="197">
        <v>0.25</v>
      </c>
      <c r="E34" s="143">
        <v>0.41666666666666669</v>
      </c>
      <c r="F34" s="143">
        <v>0.58333333333333337</v>
      </c>
      <c r="G34" s="143">
        <v>0.75</v>
      </c>
      <c r="H34" s="143">
        <v>0.91666666666666663</v>
      </c>
      <c r="I34" s="198">
        <v>8.3333333333333329E-2</v>
      </c>
    </row>
    <row r="35" spans="1:9" ht="21.75" hidden="1" customHeight="1">
      <c r="A35" s="108">
        <v>1</v>
      </c>
      <c r="B35" s="2863" t="s">
        <v>99</v>
      </c>
      <c r="C35" s="2915"/>
      <c r="D35" s="191">
        <f>'1. XL-1E TT'!I38</f>
        <v>0</v>
      </c>
      <c r="E35" s="139">
        <f>'1. XL-1E TT'!M38</f>
        <v>0</v>
      </c>
      <c r="F35" s="139">
        <f>'1. XL-1E TT'!Q38</f>
        <v>0</v>
      </c>
      <c r="G35" s="1603">
        <f>'1. XL-1E TT(CA2)'!I38</f>
        <v>0</v>
      </c>
      <c r="H35" s="1603">
        <f>'1. XL-1E TT(CA2)'!M38</f>
        <v>0</v>
      </c>
      <c r="I35" s="1604">
        <f>'1. XL-1E TT(CA2)'!Q38</f>
        <v>0</v>
      </c>
    </row>
    <row r="36" spans="1:9" ht="21.75" hidden="1" customHeight="1">
      <c r="A36" s="108">
        <v>2</v>
      </c>
      <c r="B36" s="2863" t="s">
        <v>100</v>
      </c>
      <c r="C36" s="2915"/>
      <c r="D36" s="191">
        <f>'1. XL-1E TT'!I39</f>
        <v>0</v>
      </c>
      <c r="E36" s="139">
        <f>'1. XL-1E TT'!M39</f>
        <v>0</v>
      </c>
      <c r="F36" s="139">
        <f>'1. XL-1E TT'!Q39</f>
        <v>0</v>
      </c>
      <c r="G36" s="1603">
        <f>'1. XL-1E TT(CA2)'!I39</f>
        <v>0</v>
      </c>
      <c r="H36" s="1603">
        <f>'1. XL-1E TT(CA2)'!M39</f>
        <v>0</v>
      </c>
      <c r="I36" s="1604">
        <f>'1. XL-1E TT(CA2)'!Q39</f>
        <v>0</v>
      </c>
    </row>
    <row r="37" spans="1:9" ht="21.75" hidden="1" customHeight="1">
      <c r="A37" s="145"/>
      <c r="B37" s="145"/>
      <c r="C37" s="145"/>
      <c r="D37" s="193" t="s">
        <v>157</v>
      </c>
      <c r="E37" s="148"/>
      <c r="F37" s="148"/>
      <c r="G37" s="148"/>
      <c r="H37" s="148"/>
      <c r="I37" s="194"/>
    </row>
    <row r="38" spans="1:9" ht="21.75" hidden="1" customHeight="1">
      <c r="A38" s="145"/>
      <c r="B38" s="145"/>
      <c r="C38" s="145"/>
      <c r="D38" s="197">
        <v>0.25</v>
      </c>
      <c r="E38" s="143">
        <v>0.41666666666666669</v>
      </c>
      <c r="F38" s="143">
        <v>0.58333333333333337</v>
      </c>
      <c r="G38" s="143">
        <v>0.75</v>
      </c>
      <c r="H38" s="143">
        <v>0.91666666666666663</v>
      </c>
      <c r="I38" s="198">
        <v>8.3333333333333329E-2</v>
      </c>
    </row>
    <row r="39" spans="1:9" ht="21.75" hidden="1" customHeight="1">
      <c r="A39" s="3118">
        <v>1</v>
      </c>
      <c r="B39" s="3229" t="s">
        <v>132</v>
      </c>
      <c r="C39" s="141" t="s">
        <v>101</v>
      </c>
      <c r="D39" s="199">
        <f>'1. XL-1E TT'!K6</f>
        <v>0</v>
      </c>
      <c r="E39" s="146">
        <f>'1. XL-1E TT'!O6</f>
        <v>0</v>
      </c>
      <c r="F39" s="146">
        <f>'1. XL-1E TT'!S6</f>
        <v>0</v>
      </c>
      <c r="G39" s="146">
        <f>'1. XL-1E TT(CA2)'!K6</f>
        <v>0</v>
      </c>
      <c r="H39" s="146">
        <f>'1. XL-1E TT(CA2)'!O6</f>
        <v>0</v>
      </c>
      <c r="I39" s="200">
        <f>'1. XL-1E TT(CA2)'!S6</f>
        <v>0</v>
      </c>
    </row>
    <row r="40" spans="1:9" ht="21.75" hidden="1" customHeight="1">
      <c r="A40" s="3120"/>
      <c r="B40" s="3224"/>
      <c r="C40" s="141"/>
      <c r="D40" s="199"/>
      <c r="E40" s="146"/>
      <c r="F40" s="146"/>
      <c r="G40" s="146">
        <f>'1. XL-1E TT(CA2)'!K7</f>
        <v>0</v>
      </c>
      <c r="H40" s="146">
        <f>'1. XL-1E TT(CA2)'!O7</f>
        <v>0</v>
      </c>
      <c r="I40" s="200">
        <f>'1. XL-1E TT(CA2)'!S7</f>
        <v>0</v>
      </c>
    </row>
    <row r="41" spans="1:9" ht="21.75" hidden="1" customHeight="1">
      <c r="A41" s="3119"/>
      <c r="B41" s="3225"/>
      <c r="C41" s="142" t="s">
        <v>129</v>
      </c>
      <c r="D41" s="199">
        <f>'1. XL-1E TT'!K8</f>
        <v>0</v>
      </c>
      <c r="E41" s="146">
        <f>'1. XL-1E TT'!O8</f>
        <v>0</v>
      </c>
      <c r="F41" s="146">
        <f>'1. XL-1E TT'!S8</f>
        <v>0</v>
      </c>
      <c r="G41" s="146">
        <f>'1. XL-1E TT(CA2)'!K8</f>
        <v>0</v>
      </c>
      <c r="H41" s="146">
        <f>'1. XL-1E TT(CA2)'!O8</f>
        <v>0</v>
      </c>
      <c r="I41" s="200">
        <f>'1. XL-1E TT(CA2)'!S8</f>
        <v>0</v>
      </c>
    </row>
    <row r="42" spans="1:9" ht="21.75" hidden="1" customHeight="1">
      <c r="A42" s="3118">
        <v>2</v>
      </c>
      <c r="B42" s="3229" t="s">
        <v>146</v>
      </c>
      <c r="C42" s="141" t="s">
        <v>101</v>
      </c>
      <c r="D42" s="199">
        <f>'1. XL-1E TT'!K9</f>
        <v>0</v>
      </c>
      <c r="E42" s="146">
        <f>'1. XL-1E TT'!O9</f>
        <v>0</v>
      </c>
      <c r="F42" s="146">
        <f>'1. XL-1E TT'!S9</f>
        <v>0</v>
      </c>
      <c r="G42" s="146">
        <f>'1. XL-1E TT(CA2)'!K9</f>
        <v>0</v>
      </c>
      <c r="H42" s="146">
        <f>'1. XL-1E TT(CA2)'!O9</f>
        <v>0</v>
      </c>
      <c r="I42" s="200">
        <f>'1. XL-1E TT(CA2)'!S9</f>
        <v>0</v>
      </c>
    </row>
    <row r="43" spans="1:9" ht="21.75" hidden="1" customHeight="1">
      <c r="A43" s="3120"/>
      <c r="B43" s="3224"/>
      <c r="C43" s="141"/>
      <c r="D43" s="199"/>
      <c r="E43" s="146"/>
      <c r="F43" s="146"/>
      <c r="G43" s="146">
        <f>'1. XL-1E TT(CA2)'!K10</f>
        <v>0</v>
      </c>
      <c r="H43" s="146">
        <f>'1. XL-1E TT(CA2)'!O10</f>
        <v>0</v>
      </c>
      <c r="I43" s="200">
        <f>'1. XL-1E TT(CA2)'!S10</f>
        <v>0</v>
      </c>
    </row>
    <row r="44" spans="1:9" ht="21.75" hidden="1" customHeight="1">
      <c r="A44" s="3119"/>
      <c r="B44" s="3225"/>
      <c r="C44" s="142" t="s">
        <v>129</v>
      </c>
      <c r="D44" s="199">
        <f>'1. XL-1E TT'!K11</f>
        <v>0</v>
      </c>
      <c r="E44" s="146">
        <f>'1. XL-1E TT'!O11</f>
        <v>0</v>
      </c>
      <c r="F44" s="146">
        <f>'1. XL-1E TT'!S11</f>
        <v>0</v>
      </c>
      <c r="G44" s="146">
        <f>'1. XL-1E TT(CA2)'!K11</f>
        <v>0</v>
      </c>
      <c r="H44" s="146">
        <f>'1. XL-1E TT(CA2)'!O11</f>
        <v>0</v>
      </c>
      <c r="I44" s="200">
        <f>'1. XL-1E TT(CA2)'!S11</f>
        <v>0</v>
      </c>
    </row>
    <row r="45" spans="1:9" ht="21.75" hidden="1" customHeight="1">
      <c r="A45" s="3118">
        <v>3</v>
      </c>
      <c r="B45" s="3229" t="s">
        <v>144</v>
      </c>
      <c r="C45" s="141" t="s">
        <v>101</v>
      </c>
      <c r="D45" s="199">
        <f>'1. XL-1E TT'!K12</f>
        <v>0</v>
      </c>
      <c r="E45" s="146">
        <f>'1. XL-1E TT'!O12</f>
        <v>0</v>
      </c>
      <c r="F45" s="146">
        <f>'1. XL-1E TT'!S12</f>
        <v>0</v>
      </c>
      <c r="G45" s="146">
        <f>'1. XL-1E TT(CA2)'!K12</f>
        <v>0</v>
      </c>
      <c r="H45" s="146">
        <f>'1. XL-1E TT(CA2)'!O12</f>
        <v>0</v>
      </c>
      <c r="I45" s="200">
        <f>'1. XL-1E TT(CA2)'!S12</f>
        <v>0</v>
      </c>
    </row>
    <row r="46" spans="1:9" ht="21.75" hidden="1" customHeight="1">
      <c r="A46" s="3119"/>
      <c r="B46" s="3225"/>
      <c r="C46" s="142" t="s">
        <v>129</v>
      </c>
      <c r="D46" s="199">
        <f>'1. XL-1E TT'!K13</f>
        <v>0</v>
      </c>
      <c r="E46" s="146">
        <f>'1. XL-1E TT'!O13</f>
        <v>0</v>
      </c>
      <c r="F46" s="146">
        <f>'1. XL-1E TT'!S13</f>
        <v>0</v>
      </c>
      <c r="G46" s="146">
        <f>'1. XL-1E TT(CA2)'!K13</f>
        <v>0</v>
      </c>
      <c r="H46" s="146">
        <f>'1. XL-1E TT(CA2)'!O13</f>
        <v>0</v>
      </c>
      <c r="I46" s="200">
        <f>'1. XL-1E TT(CA2)'!S13</f>
        <v>0</v>
      </c>
    </row>
    <row r="47" spans="1:9" ht="21.75" hidden="1" customHeight="1">
      <c r="A47" s="3118">
        <v>4</v>
      </c>
      <c r="B47" s="3229" t="s">
        <v>145</v>
      </c>
      <c r="C47" s="141" t="s">
        <v>101</v>
      </c>
      <c r="D47" s="199">
        <f>'1. XL-1E TT'!K14</f>
        <v>0</v>
      </c>
      <c r="E47" s="146">
        <f>'1. XL-1E TT'!O14</f>
        <v>0</v>
      </c>
      <c r="F47" s="146">
        <f>'1. XL-1E TT'!S14</f>
        <v>0</v>
      </c>
      <c r="G47" s="146">
        <f>'1. XL-1E TT(CA2)'!K14</f>
        <v>0</v>
      </c>
      <c r="H47" s="146">
        <f>'1. XL-1E TT(CA2)'!O14</f>
        <v>0</v>
      </c>
      <c r="I47" s="200">
        <f>'1. XL-1E TT(CA2)'!S14</f>
        <v>0</v>
      </c>
    </row>
    <row r="48" spans="1:9" ht="21.75" hidden="1" customHeight="1">
      <c r="A48" s="3119"/>
      <c r="B48" s="3225"/>
      <c r="C48" s="142" t="s">
        <v>129</v>
      </c>
      <c r="D48" s="199">
        <f>'1. XL-1E TT'!K15</f>
        <v>0</v>
      </c>
      <c r="E48" s="146">
        <f>'1. XL-1E TT'!O15</f>
        <v>0</v>
      </c>
      <c r="F48" s="146">
        <f>'1. XL-1E TT'!S15</f>
        <v>0</v>
      </c>
      <c r="G48" s="146">
        <f>'1. XL-1E TT(CA2)'!K15</f>
        <v>0</v>
      </c>
      <c r="H48" s="146">
        <f>'1. XL-1E TT(CA2)'!O15</f>
        <v>0</v>
      </c>
      <c r="I48" s="200">
        <f>'1. XL-1E TT(CA2)'!S15</f>
        <v>0</v>
      </c>
    </row>
    <row r="49" spans="1:9" ht="21.75" hidden="1" customHeight="1">
      <c r="A49" s="3118">
        <v>5</v>
      </c>
      <c r="B49" s="2961" t="s">
        <v>96</v>
      </c>
      <c r="C49" s="237" t="s">
        <v>95</v>
      </c>
      <c r="D49" s="199">
        <f>'1. XL-1E TT'!K16</f>
        <v>0</v>
      </c>
      <c r="E49" s="146">
        <f>'1. XL-1E TT'!O16</f>
        <v>0</v>
      </c>
      <c r="F49" s="146">
        <f>'1. XL-1E TT'!S16</f>
        <v>0</v>
      </c>
      <c r="G49" s="146">
        <f>'1. XL-1E TT(CA2)'!K16</f>
        <v>0</v>
      </c>
      <c r="H49" s="146">
        <f>'1. XL-1E TT(CA2)'!O16</f>
        <v>0</v>
      </c>
      <c r="I49" s="200">
        <f>'1. XL-1E TT(CA2)'!S16</f>
        <v>0</v>
      </c>
    </row>
    <row r="50" spans="1:9" ht="21.75" hidden="1" customHeight="1">
      <c r="A50" s="3119"/>
      <c r="B50" s="2962"/>
      <c r="C50" s="237" t="s">
        <v>58</v>
      </c>
      <c r="D50" s="199">
        <f>'1. XL-1E TT'!K17</f>
        <v>0</v>
      </c>
      <c r="E50" s="146">
        <f>'1. XL-1E TT'!O17</f>
        <v>0</v>
      </c>
      <c r="F50" s="146">
        <f>'1. XL-1E TT'!S17</f>
        <v>0</v>
      </c>
      <c r="G50" s="146">
        <f>'1. XL-1E TT(CA2)'!K17</f>
        <v>0</v>
      </c>
      <c r="H50" s="146">
        <f>'1. XL-1E TT(CA2)'!O17</f>
        <v>0</v>
      </c>
      <c r="I50" s="200">
        <f>'1. XL-1E TT(CA2)'!S17</f>
        <v>0</v>
      </c>
    </row>
    <row r="51" spans="1:9" ht="21.75" hidden="1" customHeight="1">
      <c r="A51" s="3118">
        <v>6</v>
      </c>
      <c r="B51" s="3226" t="s">
        <v>97</v>
      </c>
      <c r="C51" s="2936"/>
      <c r="D51" s="199">
        <f>'1. XL-1E TT'!K18</f>
        <v>0</v>
      </c>
      <c r="E51" s="146">
        <f>'1. XL-1E TT'!O18</f>
        <v>0</v>
      </c>
      <c r="F51" s="146">
        <f>'1. XL-1E TT'!S18</f>
        <v>0</v>
      </c>
      <c r="G51" s="146">
        <f>'1. XL-1E TT(CA2)'!K18</f>
        <v>0</v>
      </c>
      <c r="H51" s="146">
        <f>'1. XL-1E TT(CA2)'!O18</f>
        <v>0</v>
      </c>
      <c r="I51" s="200">
        <f>'1. XL-1E TT(CA2)'!S18</f>
        <v>0</v>
      </c>
    </row>
    <row r="52" spans="1:9" ht="21.75" hidden="1" customHeight="1">
      <c r="A52" s="3119"/>
      <c r="B52" s="3227"/>
      <c r="C52" s="3132"/>
      <c r="D52" s="199">
        <f>'1. XL-1E TT'!K19</f>
        <v>0</v>
      </c>
      <c r="E52" s="146">
        <f>'1. XL-1E TT'!O19</f>
        <v>0</v>
      </c>
      <c r="F52" s="146">
        <f>'1. XL-1E TT'!S19</f>
        <v>0</v>
      </c>
      <c r="G52" s="146">
        <f>'1. XL-1E TT(CA2)'!K19</f>
        <v>0</v>
      </c>
      <c r="H52" s="146">
        <f>'1. XL-1E TT(CA2)'!O19</f>
        <v>0</v>
      </c>
      <c r="I52" s="200">
        <f>'1. XL-1E TT(CA2)'!S19</f>
        <v>0</v>
      </c>
    </row>
    <row r="53" spans="1:9" ht="21.75" hidden="1" customHeight="1">
      <c r="A53" s="108">
        <v>7</v>
      </c>
      <c r="B53" s="2863" t="s">
        <v>59</v>
      </c>
      <c r="C53" s="3228"/>
      <c r="D53" s="199">
        <f>'1. XL-1E TT'!K20</f>
        <v>0</v>
      </c>
      <c r="E53" s="146">
        <f>'1. XL-1E TT'!O20</f>
        <v>0</v>
      </c>
      <c r="F53" s="146">
        <f>'1. XL-1E TT'!S20</f>
        <v>0</v>
      </c>
      <c r="G53" s="146">
        <f>'1. XL-1E TT(CA2)'!K20</f>
        <v>0</v>
      </c>
      <c r="H53" s="146">
        <f>'1. XL-1E TT(CA2)'!O20</f>
        <v>0</v>
      </c>
      <c r="I53" s="200">
        <f>'1. XL-1E TT(CA2)'!S20</f>
        <v>0</v>
      </c>
    </row>
    <row r="54" spans="1:9" ht="21.75" hidden="1" customHeight="1">
      <c r="A54" s="108">
        <v>8</v>
      </c>
      <c r="B54" s="2863" t="s">
        <v>60</v>
      </c>
      <c r="C54" s="3228"/>
      <c r="D54" s="199">
        <f>'1. XL-1E TT'!K21</f>
        <v>0</v>
      </c>
      <c r="E54" s="146">
        <f>'1. XL-1E TT'!O21</f>
        <v>0</v>
      </c>
      <c r="F54" s="146">
        <f>'1. XL-1E TT'!S21</f>
        <v>0</v>
      </c>
      <c r="G54" s="146">
        <f>'1. XL-1E TT(CA2)'!K21</f>
        <v>0</v>
      </c>
      <c r="H54" s="146">
        <f>'1. XL-1E TT(CA2)'!O21</f>
        <v>0</v>
      </c>
      <c r="I54" s="200">
        <f>'1. XL-1E TT(CA2)'!S21</f>
        <v>0</v>
      </c>
    </row>
    <row r="55" spans="1:9" ht="21.75" hidden="1" customHeight="1">
      <c r="A55" s="108">
        <v>9</v>
      </c>
      <c r="B55" s="2863" t="s">
        <v>61</v>
      </c>
      <c r="C55" s="3228"/>
      <c r="D55" s="199">
        <f>'1. XL-1E TT'!K22</f>
        <v>0</v>
      </c>
      <c r="E55" s="146">
        <f>'1. XL-1E TT'!O22</f>
        <v>0</v>
      </c>
      <c r="F55" s="146">
        <f>'1. XL-1E TT'!S22</f>
        <v>0</v>
      </c>
      <c r="G55" s="146">
        <f>'1. XL-1E TT(CA2)'!K22</f>
        <v>0</v>
      </c>
      <c r="H55" s="146">
        <f>'1. XL-1E TT(CA2)'!O22</f>
        <v>0</v>
      </c>
      <c r="I55" s="200">
        <f>'1. XL-1E TT(CA2)'!S22</f>
        <v>0</v>
      </c>
    </row>
    <row r="56" spans="1:9" ht="21.75" hidden="1" customHeight="1">
      <c r="A56" s="108">
        <v>10</v>
      </c>
      <c r="B56" s="2863" t="s">
        <v>98</v>
      </c>
      <c r="C56" s="3228"/>
      <c r="D56" s="199">
        <f>'1. XL-1E TT'!K23</f>
        <v>0</v>
      </c>
      <c r="E56" s="146">
        <f>'1. XL-1E TT'!O23</f>
        <v>0</v>
      </c>
      <c r="F56" s="146">
        <f>'1. XL-1E TT'!S23</f>
        <v>0</v>
      </c>
      <c r="G56" s="146">
        <f>'1. XL-1E TT(CA2)'!K23</f>
        <v>0</v>
      </c>
      <c r="H56" s="146">
        <f>'1. XL-1E TT(CA2)'!O23</f>
        <v>0</v>
      </c>
      <c r="I56" s="200">
        <f>'1. XL-1E TT(CA2)'!S23</f>
        <v>0</v>
      </c>
    </row>
    <row r="57" spans="1:9" ht="21.75" hidden="1" customHeight="1">
      <c r="D57" s="191"/>
      <c r="E57" s="139"/>
      <c r="F57" s="139"/>
      <c r="G57" s="139"/>
      <c r="H57" s="139"/>
      <c r="I57" s="192"/>
    </row>
    <row r="58" spans="1:9" ht="21.75" hidden="1" customHeight="1">
      <c r="A58" s="179"/>
      <c r="B58" s="164" t="s">
        <v>215</v>
      </c>
      <c r="C58" s="175"/>
      <c r="D58" s="203"/>
      <c r="E58" s="176"/>
      <c r="F58" s="139"/>
      <c r="G58" s="139"/>
      <c r="H58" s="139"/>
      <c r="I58" s="192"/>
    </row>
    <row r="59" spans="1:9" ht="21.75" hidden="1" customHeight="1">
      <c r="A59" s="169" t="s">
        <v>7</v>
      </c>
      <c r="B59" s="157"/>
      <c r="C59" s="157"/>
      <c r="D59" s="193" t="s">
        <v>156</v>
      </c>
      <c r="E59" s="148"/>
      <c r="F59" s="148"/>
      <c r="G59" s="148"/>
      <c r="H59" s="148"/>
      <c r="I59" s="194"/>
    </row>
    <row r="60" spans="1:9" ht="21.75" hidden="1" customHeight="1">
      <c r="A60" s="170"/>
      <c r="B60" s="166"/>
      <c r="C60" s="166"/>
      <c r="D60" s="197">
        <v>0.25</v>
      </c>
      <c r="E60" s="143">
        <v>0.41666666666666669</v>
      </c>
      <c r="F60" s="143">
        <v>0.58333333333333337</v>
      </c>
      <c r="G60" s="143">
        <v>0.75</v>
      </c>
      <c r="H60" s="143">
        <v>0.91666666666666663</v>
      </c>
      <c r="I60" s="198">
        <v>8.3333333333333329E-2</v>
      </c>
    </row>
    <row r="61" spans="1:9" ht="21.75" hidden="1" customHeight="1">
      <c r="A61" s="249">
        <v>1</v>
      </c>
      <c r="B61" s="236" t="s">
        <v>132</v>
      </c>
      <c r="C61" s="250" t="s">
        <v>101</v>
      </c>
      <c r="D61" s="189">
        <f>'2. XL-1F TT '!I6</f>
        <v>70.092000000000013</v>
      </c>
      <c r="E61" s="140">
        <f>'2. XL-1F TT '!M6</f>
        <v>70.741</v>
      </c>
      <c r="F61" s="140">
        <f>'2. XL-1F TT '!Q6</f>
        <v>73.986000000000004</v>
      </c>
      <c r="G61" s="140">
        <f>'2. XL-1F TT(CA2)'!I6</f>
        <v>74.635000000000005</v>
      </c>
      <c r="H61" s="140">
        <f>'2. XL-1F TT(CA2)'!M6</f>
        <v>0</v>
      </c>
      <c r="I61" s="190">
        <f>'2. XL-1F TT(CA2)'!Q6</f>
        <v>72.688000000000002</v>
      </c>
    </row>
    <row r="62" spans="1:9" ht="21.75" hidden="1" customHeight="1">
      <c r="A62" s="221"/>
      <c r="B62" s="226"/>
      <c r="C62" s="235" t="s">
        <v>102</v>
      </c>
      <c r="D62" s="189">
        <f>'2. XL-1F TT '!I7</f>
        <v>0</v>
      </c>
      <c r="E62" s="140">
        <f>'2. XL-1F TT '!M7</f>
        <v>0</v>
      </c>
      <c r="F62" s="140">
        <f>'2. XL-1F TT '!Q7</f>
        <v>0</v>
      </c>
      <c r="G62" s="140">
        <f>'2. XL-1F TT(CA2)'!I7</f>
        <v>0</v>
      </c>
      <c r="H62" s="140">
        <f>'2. XL-1F TT(CA2)'!M7</f>
        <v>0</v>
      </c>
      <c r="I62" s="190">
        <f>'2. XL-1F TT(CA2)'!Q7</f>
        <v>0</v>
      </c>
    </row>
    <row r="63" spans="1:9" ht="21.75" hidden="1" customHeight="1">
      <c r="A63" s="220">
        <v>2</v>
      </c>
      <c r="B63" s="225" t="s">
        <v>133</v>
      </c>
      <c r="C63" s="227" t="s">
        <v>101</v>
      </c>
      <c r="D63" s="189">
        <f>'2. XL-1F TT '!I8</f>
        <v>74.310500000000005</v>
      </c>
      <c r="E63" s="140">
        <f>'2. XL-1F TT '!M8</f>
        <v>73.986000000000004</v>
      </c>
      <c r="F63" s="140">
        <f>'2. XL-1F TT '!Q8</f>
        <v>72.039000000000001</v>
      </c>
      <c r="G63" s="140">
        <f>'2. XL-1F TT(CA2)'!I8</f>
        <v>71.39</v>
      </c>
      <c r="H63" s="140">
        <f>'2. XL-1F TT(CA2)'!M8</f>
        <v>0</v>
      </c>
      <c r="I63" s="190">
        <f>'2. XL-1F TT(CA2)'!Q8</f>
        <v>71.39</v>
      </c>
    </row>
    <row r="64" spans="1:9" ht="21.75" hidden="1" customHeight="1">
      <c r="A64" s="221"/>
      <c r="B64" s="226"/>
      <c r="C64" s="228" t="s">
        <v>102</v>
      </c>
      <c r="D64" s="189">
        <f>'2. XL-1F TT '!I9</f>
        <v>0</v>
      </c>
      <c r="E64" s="140">
        <f>'2. XL-1F TT '!M9</f>
        <v>0</v>
      </c>
      <c r="F64" s="140">
        <f>'2. XL-1F TT '!Q9</f>
        <v>0</v>
      </c>
      <c r="G64" s="140">
        <f>'2. XL-1F TT(CA2)'!I9</f>
        <v>0</v>
      </c>
      <c r="H64" s="140">
        <f>'2. XL-1F TT(CA2)'!M9</f>
        <v>0</v>
      </c>
      <c r="I64" s="190">
        <f>'2. XL-1F TT(CA2)'!Q9</f>
        <v>0</v>
      </c>
    </row>
    <row r="65" spans="1:9" ht="21.75" hidden="1" customHeight="1">
      <c r="A65" s="220">
        <v>3</v>
      </c>
      <c r="B65" s="230" t="s">
        <v>134</v>
      </c>
      <c r="C65" s="227" t="s">
        <v>101</v>
      </c>
      <c r="D65" s="189">
        <f>'2. XL-1F TT '!I10</f>
        <v>56.594999999999999</v>
      </c>
      <c r="E65" s="140">
        <f>'2. XL-1F TT '!M10</f>
        <v>56.363999999999997</v>
      </c>
      <c r="F65" s="140">
        <f>'2. XL-1F TT '!Q10</f>
        <v>61.215000000000003</v>
      </c>
      <c r="G65" s="140">
        <f>'2. XL-1F TT(CA2)'!I10</f>
        <v>62.832000000000001</v>
      </c>
      <c r="H65" s="140">
        <f>'2. XL-1F TT(CA2)'!M10</f>
        <v>0</v>
      </c>
      <c r="I65" s="190">
        <f>'2. XL-1F TT(CA2)'!Q10</f>
        <v>60.521999999999998</v>
      </c>
    </row>
    <row r="66" spans="1:9" ht="21.75" hidden="1" customHeight="1">
      <c r="A66" s="222"/>
      <c r="B66" s="231"/>
      <c r="C66" s="228" t="s">
        <v>105</v>
      </c>
      <c r="D66" s="189">
        <f>'2. XL-1F TT '!I11</f>
        <v>0</v>
      </c>
      <c r="E66" s="140">
        <f>'2. XL-1F TT '!M11</f>
        <v>0</v>
      </c>
      <c r="F66" s="140">
        <f>'2. XL-1F TT '!Q11</f>
        <v>0</v>
      </c>
      <c r="G66" s="140">
        <f>'2. XL-1F TT(CA2)'!I11</f>
        <v>0</v>
      </c>
      <c r="H66" s="140">
        <f>'2. XL-1F TT(CA2)'!M11</f>
        <v>0</v>
      </c>
      <c r="I66" s="190">
        <f>'2. XL-1F TT(CA2)'!Q11</f>
        <v>0</v>
      </c>
    </row>
    <row r="67" spans="1:9" ht="21.75" hidden="1" customHeight="1">
      <c r="A67" s="220">
        <v>4</v>
      </c>
      <c r="B67" s="230" t="s">
        <v>135</v>
      </c>
      <c r="C67" s="227" t="s">
        <v>101</v>
      </c>
      <c r="D67" s="189">
        <f>'2. XL-1F TT '!I12</f>
        <v>56.826000000000008</v>
      </c>
      <c r="E67" s="140">
        <f>'2. XL-1F TT '!M12</f>
        <v>58.211999999999996</v>
      </c>
      <c r="F67" s="140">
        <f>'2. XL-1F TT '!Q12</f>
        <v>64.218000000000004</v>
      </c>
      <c r="G67" s="140">
        <f>'2. XL-1F TT(CA2)'!I12</f>
        <v>61.908000000000001</v>
      </c>
      <c r="H67" s="140">
        <f>'2. XL-1F TT(CA2)'!M12</f>
        <v>0</v>
      </c>
      <c r="I67" s="190">
        <f>'2. XL-1F TT(CA2)'!Q12</f>
        <v>58.673999999999999</v>
      </c>
    </row>
    <row r="68" spans="1:9" ht="21.75" hidden="1" customHeight="1">
      <c r="A68" s="222"/>
      <c r="B68" s="231"/>
      <c r="C68" s="228" t="s">
        <v>105</v>
      </c>
      <c r="D68" s="189">
        <f>'2. XL-1F TT '!I13</f>
        <v>0</v>
      </c>
      <c r="E68" s="140">
        <f>'2. XL-1F TT '!M13</f>
        <v>0</v>
      </c>
      <c r="F68" s="140">
        <f>'2. XL-1F TT '!Q13</f>
        <v>0</v>
      </c>
      <c r="G68" s="140">
        <f>'2. XL-1F TT(CA2)'!I13</f>
        <v>0</v>
      </c>
      <c r="H68" s="140">
        <f>'2. XL-1F TT(CA2)'!M13</f>
        <v>0</v>
      </c>
      <c r="I68" s="190">
        <f>'2. XL-1F TT(CA2)'!Q13</f>
        <v>0</v>
      </c>
    </row>
    <row r="69" spans="1:9" ht="21.75" hidden="1" customHeight="1">
      <c r="A69" s="223">
        <v>5</v>
      </c>
      <c r="B69" s="228" t="s">
        <v>80</v>
      </c>
      <c r="C69" s="229"/>
      <c r="D69" s="189">
        <f>'2. XL-1F TT '!I14</f>
        <v>144.4</v>
      </c>
      <c r="E69" s="140">
        <f>'2. XL-1F TT '!M14</f>
        <v>145.6</v>
      </c>
      <c r="F69" s="140">
        <f>'2. XL-1F TT '!Q14</f>
        <v>145.6</v>
      </c>
      <c r="G69" s="140">
        <f>'2. XL-1F TT(CA2)'!I14</f>
        <v>145.6</v>
      </c>
      <c r="H69" s="140">
        <f>'2. XL-1F TT(CA2)'!M14</f>
        <v>0</v>
      </c>
      <c r="I69" s="190">
        <f>'2. XL-1F TT(CA2)'!Q14</f>
        <v>146.4</v>
      </c>
    </row>
    <row r="70" spans="1:9" ht="21.75" hidden="1" customHeight="1">
      <c r="A70" s="223">
        <v>6</v>
      </c>
      <c r="B70" s="228" t="s">
        <v>58</v>
      </c>
      <c r="C70" s="229"/>
      <c r="D70" s="189">
        <f>'2. XL-1F TT '!I15</f>
        <v>11.57</v>
      </c>
      <c r="E70" s="140">
        <f>'2. XL-1F TT '!M15</f>
        <v>11.18</v>
      </c>
      <c r="F70" s="140">
        <f>'2. XL-1F TT '!Q15</f>
        <v>11.18</v>
      </c>
      <c r="G70" s="140">
        <f>'2. XL-1F TT(CA2)'!I15</f>
        <v>11.18</v>
      </c>
      <c r="H70" s="140">
        <f>'2. XL-1F TT(CA2)'!M15</f>
        <v>0</v>
      </c>
      <c r="I70" s="190">
        <f>'2. XL-1F TT(CA2)'!Q15</f>
        <v>10.920000000000002</v>
      </c>
    </row>
    <row r="71" spans="1:9" ht="21.75" hidden="1" customHeight="1">
      <c r="A71" s="232">
        <v>7</v>
      </c>
      <c r="B71" s="225" t="s">
        <v>107</v>
      </c>
      <c r="C71" s="234"/>
      <c r="D71" s="189">
        <f>'2. XL-1F TT '!I16</f>
        <v>6.96183</v>
      </c>
      <c r="E71" s="140">
        <f>'2. XL-1F TT '!M16</f>
        <v>7.0042</v>
      </c>
      <c r="F71" s="140">
        <f>'2. XL-1F TT '!Q16</f>
        <v>6.6652399999999998</v>
      </c>
      <c r="G71" s="140">
        <f>'2. XL-1F TT(CA2)'!I16</f>
        <v>6.9194600000000008</v>
      </c>
      <c r="H71" s="140">
        <f>'2. XL-1F TT(CA2)'!M16</f>
        <v>0</v>
      </c>
      <c r="I71" s="190">
        <f>'2. XL-1F TT(CA2)'!Q16</f>
        <v>7.5126400000000002</v>
      </c>
    </row>
    <row r="72" spans="1:9" ht="21.75" hidden="1" customHeight="1">
      <c r="A72" s="233"/>
      <c r="B72" s="235"/>
      <c r="C72" s="236"/>
      <c r="D72" s="189">
        <f>'2. XL-1F TT '!I17</f>
        <v>2.5</v>
      </c>
      <c r="E72" s="140">
        <f>'2. XL-1F TT '!M17</f>
        <v>2.2999999999999998</v>
      </c>
      <c r="F72" s="140">
        <f>'2. XL-1F TT '!Q17</f>
        <v>2.2999999999999998</v>
      </c>
      <c r="G72" s="140">
        <f>'2. XL-1F TT(CA2)'!I17</f>
        <v>2.2000000000000002</v>
      </c>
      <c r="H72" s="140">
        <f>'2. XL-1F TT(CA2)'!M17</f>
        <v>0</v>
      </c>
      <c r="I72" s="190">
        <f>'2. XL-1F TT(CA2)'!Q17</f>
        <v>2.2000000000000002</v>
      </c>
    </row>
    <row r="73" spans="1:9" ht="21.75" hidden="1" customHeight="1">
      <c r="A73" s="223">
        <v>8</v>
      </c>
      <c r="B73" s="228" t="s">
        <v>59</v>
      </c>
      <c r="C73" s="229"/>
      <c r="D73" s="189">
        <f>'2. XL-1F TT '!I18</f>
        <v>0.43343749999999998</v>
      </c>
      <c r="E73" s="140">
        <f>'2. XL-1F TT '!M18</f>
        <v>0.45624999999999999</v>
      </c>
      <c r="F73" s="140">
        <f>'2. XL-1F TT '!Q18</f>
        <v>0.47335937500000008</v>
      </c>
      <c r="G73" s="140">
        <f>'2. XL-1F TT(CA2)'!I18</f>
        <v>0.45624999999999999</v>
      </c>
      <c r="H73" s="140">
        <f>'2. XL-1F TT(CA2)'!M18</f>
        <v>0</v>
      </c>
      <c r="I73" s="190">
        <f>'2. XL-1F TT(CA2)'!Q18</f>
        <v>0.43343749999999998</v>
      </c>
    </row>
    <row r="74" spans="1:9" ht="21.75" hidden="1" customHeight="1">
      <c r="A74" s="223">
        <v>9</v>
      </c>
      <c r="B74" s="228" t="s">
        <v>60</v>
      </c>
      <c r="C74" s="229"/>
      <c r="D74" s="189">
        <f>'2. XL-1F TT '!I19</f>
        <v>0</v>
      </c>
      <c r="E74" s="140">
        <f>'2. XL-1F TT '!M19</f>
        <v>0</v>
      </c>
      <c r="F74" s="140">
        <f>'2. XL-1F TT '!Q19</f>
        <v>0</v>
      </c>
      <c r="G74" s="140">
        <f>'2. XL-1F TT(CA2)'!I19</f>
        <v>0</v>
      </c>
      <c r="H74" s="140">
        <f>'2. XL-1F TT(CA2)'!M19</f>
        <v>0</v>
      </c>
      <c r="I74" s="190">
        <f>'2. XL-1F TT(CA2)'!Q19</f>
        <v>0</v>
      </c>
    </row>
    <row r="75" spans="1:9" ht="21.75" hidden="1" customHeight="1">
      <c r="A75" s="223">
        <v>11</v>
      </c>
      <c r="B75" s="228" t="s">
        <v>109</v>
      </c>
      <c r="C75" s="229"/>
      <c r="D75" s="189">
        <f>'2. XL-1F TT '!I20</f>
        <v>0</v>
      </c>
      <c r="E75" s="140">
        <f>'2. XL-1F TT '!M20</f>
        <v>0</v>
      </c>
      <c r="F75" s="140">
        <f>'2. XL-1F TT '!Q20</f>
        <v>0</v>
      </c>
      <c r="G75" s="140">
        <f>'2. XL-1F TT(CA2)'!I20</f>
        <v>0</v>
      </c>
      <c r="H75" s="140">
        <f>'2. XL-1F TT(CA2)'!M20</f>
        <v>0</v>
      </c>
      <c r="I75" s="190">
        <f>'2. XL-1F TT(CA2)'!Q20</f>
        <v>0</v>
      </c>
    </row>
    <row r="76" spans="1:9" ht="21.75" hidden="1" customHeight="1">
      <c r="A76" s="223">
        <v>12</v>
      </c>
      <c r="B76" s="228" t="s">
        <v>108</v>
      </c>
      <c r="C76" s="229"/>
      <c r="D76" s="189">
        <f>'2. XL-1F TT '!I21</f>
        <v>1.1844E-2</v>
      </c>
      <c r="E76" s="140">
        <f>'2. XL-1F TT '!M21</f>
        <v>1.0584E-2</v>
      </c>
      <c r="F76" s="140">
        <f>'2. XL-1F TT '!Q21</f>
        <v>1.0331999999999999E-2</v>
      </c>
      <c r="G76" s="140">
        <f>'2. XL-1F TT(CA2)'!I21</f>
        <v>1.2348000000000001E-2</v>
      </c>
      <c r="H76" s="140">
        <f>'2. XL-1F TT(CA2)'!M21</f>
        <v>0</v>
      </c>
      <c r="I76" s="190">
        <f>'2. XL-1F TT(CA2)'!Q21</f>
        <v>9.4500000000000001E-3</v>
      </c>
    </row>
    <row r="77" spans="1:9" ht="21.75" hidden="1" customHeight="1">
      <c r="A77" s="152"/>
      <c r="B77" s="153" t="s">
        <v>110</v>
      </c>
      <c r="C77" s="160"/>
      <c r="D77" s="193" t="s">
        <v>158</v>
      </c>
      <c r="E77" s="148"/>
      <c r="F77" s="148"/>
      <c r="G77" s="148"/>
      <c r="H77" s="148"/>
      <c r="I77" s="194"/>
    </row>
    <row r="78" spans="1:9" ht="21.75" hidden="1" customHeight="1">
      <c r="A78" s="154" t="s">
        <v>7</v>
      </c>
      <c r="B78" s="155" t="s">
        <v>62</v>
      </c>
      <c r="C78" s="156"/>
      <c r="D78" s="195">
        <v>0.25</v>
      </c>
      <c r="E78" s="151">
        <v>0.41666666666666669</v>
      </c>
      <c r="F78" s="151">
        <v>0.58333333333333337</v>
      </c>
      <c r="G78" s="151">
        <v>0.75</v>
      </c>
      <c r="H78" s="151">
        <v>0.91666666666666663</v>
      </c>
      <c r="I78" s="196">
        <v>8.3333333333333329E-2</v>
      </c>
    </row>
    <row r="79" spans="1:9" ht="21.75" hidden="1" customHeight="1">
      <c r="A79" s="224">
        <v>1</v>
      </c>
      <c r="B79" s="240" t="s">
        <v>66</v>
      </c>
      <c r="C79" s="241"/>
      <c r="D79" s="191">
        <f>'2. XL-1F TT '!I26</f>
        <v>58</v>
      </c>
      <c r="E79" s="139">
        <f>'2. XL-1F TT '!M26</f>
        <v>58</v>
      </c>
      <c r="F79" s="139">
        <f>'2. XL-1F TT '!Q26</f>
        <v>54</v>
      </c>
      <c r="G79" s="139">
        <f>'2. XL-1F TT(CA2)'!I26</f>
        <v>54</v>
      </c>
      <c r="H79" s="139">
        <f>'2. XL-1F TT(CA2)'!M26</f>
        <v>0</v>
      </c>
      <c r="I79" s="192">
        <f>'2. XL-1F TT(CA2)'!Q26</f>
        <v>54</v>
      </c>
    </row>
    <row r="80" spans="1:9" ht="21.75" hidden="1" customHeight="1">
      <c r="A80" s="224">
        <v>2</v>
      </c>
      <c r="B80" s="240" t="s">
        <v>67</v>
      </c>
      <c r="C80" s="241" t="s">
        <v>67</v>
      </c>
      <c r="D80" s="191">
        <f>'2. XL-1F TT '!I27</f>
        <v>59</v>
      </c>
      <c r="E80" s="139">
        <f>'2. XL-1F TT '!M27</f>
        <v>60</v>
      </c>
      <c r="F80" s="139">
        <f>'2. XL-1F TT '!Q27</f>
        <v>59</v>
      </c>
      <c r="G80" s="139">
        <f>'2. XL-1F TT(CA2)'!I27</f>
        <v>62</v>
      </c>
      <c r="H80" s="139">
        <f>'2. XL-1F TT(CA2)'!M27</f>
        <v>0</v>
      </c>
      <c r="I80" s="192">
        <f>'2. XL-1F TT(CA2)'!Q27</f>
        <v>62</v>
      </c>
    </row>
    <row r="81" spans="1:9" ht="21.75" hidden="1" customHeight="1">
      <c r="A81" s="224">
        <v>3</v>
      </c>
      <c r="B81" s="240" t="s">
        <v>69</v>
      </c>
      <c r="C81" s="241" t="s">
        <v>69</v>
      </c>
      <c r="D81" s="191">
        <f>'2. XL-1F TT '!I28</f>
        <v>53</v>
      </c>
      <c r="E81" s="139">
        <f>'2. XL-1F TT '!M28</f>
        <v>52</v>
      </c>
      <c r="F81" s="139">
        <f>'2. XL-1F TT '!Q28</f>
        <v>54</v>
      </c>
      <c r="G81" s="139">
        <f>'2. XL-1F TT(CA2)'!I28</f>
        <v>53</v>
      </c>
      <c r="H81" s="139">
        <f>'2. XL-1F TT(CA2)'!M28</f>
        <v>0</v>
      </c>
      <c r="I81" s="192">
        <f>'2. XL-1F TT(CA2)'!Q28</f>
        <v>53</v>
      </c>
    </row>
    <row r="82" spans="1:9" ht="21.75" hidden="1" customHeight="1">
      <c r="A82" s="224">
        <v>4</v>
      </c>
      <c r="B82" s="240" t="s">
        <v>68</v>
      </c>
      <c r="C82" s="241" t="s">
        <v>68</v>
      </c>
      <c r="D82" s="191">
        <f>'2. XL-1F TT '!I29</f>
        <v>51</v>
      </c>
      <c r="E82" s="139">
        <f>'2. XL-1F TT '!M29</f>
        <v>50</v>
      </c>
      <c r="F82" s="139">
        <f>'2. XL-1F TT '!Q29</f>
        <v>54</v>
      </c>
      <c r="G82" s="139">
        <f>'2. XL-1F TT(CA2)'!I29</f>
        <v>51</v>
      </c>
      <c r="H82" s="139">
        <f>'2. XL-1F TT(CA2)'!M29</f>
        <v>0</v>
      </c>
      <c r="I82" s="192">
        <f>'2. XL-1F TT(CA2)'!Q29</f>
        <v>49</v>
      </c>
    </row>
    <row r="83" spans="1:9" ht="21.75" hidden="1" customHeight="1">
      <c r="A83" s="224">
        <v>5</v>
      </c>
      <c r="B83" s="240" t="s">
        <v>70</v>
      </c>
      <c r="C83" s="241" t="s">
        <v>70</v>
      </c>
      <c r="D83" s="191">
        <f>'2. XL-1F TT '!I30</f>
        <v>32</v>
      </c>
      <c r="E83" s="139">
        <f>'2. XL-1F TT '!M30</f>
        <v>32</v>
      </c>
      <c r="F83" s="139">
        <f>'2. XL-1F TT '!Q30</f>
        <v>29</v>
      </c>
      <c r="G83" s="139">
        <f>'2. XL-1F TT(CA2)'!I30</f>
        <v>32</v>
      </c>
      <c r="H83" s="139">
        <f>'2. XL-1F TT(CA2)'!M30</f>
        <v>0</v>
      </c>
      <c r="I83" s="192">
        <f>'2. XL-1F TT(CA2)'!Q30</f>
        <v>31</v>
      </c>
    </row>
    <row r="84" spans="1:9" ht="21.75" hidden="1" customHeight="1">
      <c r="A84" s="224">
        <v>6</v>
      </c>
      <c r="B84" s="240" t="s">
        <v>88</v>
      </c>
      <c r="C84" s="241" t="s">
        <v>88</v>
      </c>
      <c r="D84" s="191">
        <f>'2. XL-1F TT '!I31</f>
        <v>33</v>
      </c>
      <c r="E84" s="139">
        <f>'2. XL-1F TT '!M31</f>
        <v>33</v>
      </c>
      <c r="F84" s="139">
        <f>'2. XL-1F TT '!Q31</f>
        <v>34</v>
      </c>
      <c r="G84" s="139">
        <f>'2. XL-1F TT(CA2)'!I31</f>
        <v>34</v>
      </c>
      <c r="H84" s="139">
        <f>'2. XL-1F TT(CA2)'!M31</f>
        <v>0</v>
      </c>
      <c r="I84" s="192">
        <f>'2. XL-1F TT(CA2)'!Q31</f>
        <v>34</v>
      </c>
    </row>
    <row r="85" spans="1:9" ht="21.75" hidden="1" customHeight="1">
      <c r="A85" s="224">
        <v>7</v>
      </c>
      <c r="B85" s="240" t="s">
        <v>71</v>
      </c>
      <c r="C85" s="241" t="s">
        <v>71</v>
      </c>
      <c r="D85" s="191">
        <f>'2. XL-1F TT '!I32</f>
        <v>52</v>
      </c>
      <c r="E85" s="139">
        <f>'2. XL-1F TT '!M32</f>
        <v>55</v>
      </c>
      <c r="F85" s="139">
        <f>'2. XL-1F TT '!Q32</f>
        <v>57</v>
      </c>
      <c r="G85" s="139">
        <f>'2. XL-1F TT(CA2)'!I32</f>
        <v>55</v>
      </c>
      <c r="H85" s="139">
        <f>'2. XL-1F TT(CA2)'!M32</f>
        <v>0</v>
      </c>
      <c r="I85" s="192">
        <f>'2. XL-1F TT(CA2)'!Q32</f>
        <v>52</v>
      </c>
    </row>
    <row r="86" spans="1:9" ht="21.75" hidden="1" customHeight="1">
      <c r="A86" s="224">
        <v>8</v>
      </c>
      <c r="B86" s="238" t="s">
        <v>72</v>
      </c>
      <c r="C86" s="239" t="s">
        <v>72</v>
      </c>
      <c r="D86" s="191">
        <f>'2. XL-1F TT '!K33</f>
        <v>84</v>
      </c>
      <c r="E86" s="139">
        <f>'2. XL-1F TT '!O33</f>
        <v>89</v>
      </c>
      <c r="F86" s="139">
        <f>'2. XL-1F TT '!S33</f>
        <v>93</v>
      </c>
      <c r="G86" s="139">
        <f>'2. XL-1F TT(CA2)'!K33</f>
        <v>90</v>
      </c>
      <c r="H86" s="139">
        <f>'2. XL-1F TT(CA2)'!O33</f>
        <v>0</v>
      </c>
      <c r="I86" s="192">
        <f>'2. XL-1F TT(CA2)'!S33</f>
        <v>90</v>
      </c>
    </row>
    <row r="87" spans="1:9" ht="21.75" hidden="1" customHeight="1">
      <c r="A87" s="152"/>
      <c r="B87" s="153" t="s">
        <v>111</v>
      </c>
      <c r="C87" s="160"/>
      <c r="D87" s="193" t="s">
        <v>159</v>
      </c>
      <c r="E87" s="148"/>
      <c r="F87" s="148"/>
      <c r="G87" s="148"/>
      <c r="H87" s="148"/>
      <c r="I87" s="194"/>
    </row>
    <row r="88" spans="1:9" ht="21.75" hidden="1" customHeight="1">
      <c r="A88" s="154" t="s">
        <v>7</v>
      </c>
      <c r="B88" s="155" t="s">
        <v>93</v>
      </c>
      <c r="C88" s="156"/>
      <c r="D88" s="195">
        <v>0.25</v>
      </c>
      <c r="E88" s="151">
        <v>0.41666666666666669</v>
      </c>
      <c r="F88" s="151">
        <v>0.58333333333333337</v>
      </c>
      <c r="G88" s="151">
        <v>0.75</v>
      </c>
      <c r="H88" s="151">
        <v>0.91666666666666663</v>
      </c>
      <c r="I88" s="196">
        <v>8.3333333333333329E-2</v>
      </c>
    </row>
    <row r="89" spans="1:9" ht="21.75" hidden="1" customHeight="1">
      <c r="A89" s="223">
        <v>1</v>
      </c>
      <c r="B89" s="228" t="s">
        <v>52</v>
      </c>
      <c r="C89" s="229"/>
      <c r="D89" s="191">
        <f>'2. XL-1F TT '!I36</f>
        <v>120</v>
      </c>
      <c r="E89" s="139">
        <f>'2. XL-1F TT '!M36</f>
        <v>122</v>
      </c>
      <c r="F89" s="139">
        <f>'2. XL-1F TT '!Q36</f>
        <v>115</v>
      </c>
      <c r="G89" s="1603">
        <f>'2. XL-1F TT(CA2)'!I36</f>
        <v>115</v>
      </c>
      <c r="H89" s="1603">
        <f>'2. XL-1F TT(CA2)'!M36</f>
        <v>0</v>
      </c>
      <c r="I89" s="1604">
        <f>'2. XL-1F TT(CA2)'!Q36</f>
        <v>115</v>
      </c>
    </row>
    <row r="90" spans="1:9" ht="21.75" hidden="1" customHeight="1">
      <c r="A90" s="223">
        <v>2</v>
      </c>
      <c r="B90" s="228" t="s">
        <v>87</v>
      </c>
      <c r="C90" s="229"/>
      <c r="D90" s="191">
        <f>'2. XL-1F TT '!I37</f>
        <v>38</v>
      </c>
      <c r="E90" s="139">
        <f>'2. XL-1F TT '!M37</f>
        <v>40</v>
      </c>
      <c r="F90" s="139">
        <f>'2. XL-1F TT '!Q37</f>
        <v>40</v>
      </c>
      <c r="G90" s="1603">
        <f>'2. XL-1F TT(CA2)'!I37</f>
        <v>42</v>
      </c>
      <c r="H90" s="1603">
        <f>'2. XL-1F TT(CA2)'!M37</f>
        <v>0</v>
      </c>
      <c r="I90" s="1604">
        <f>'2. XL-1F TT(CA2)'!Q37</f>
        <v>40</v>
      </c>
    </row>
    <row r="91" spans="1:9" ht="21.75" hidden="1" customHeight="1">
      <c r="A91" s="145"/>
      <c r="B91" s="145"/>
      <c r="C91" s="145"/>
      <c r="D91" s="193" t="s">
        <v>157</v>
      </c>
      <c r="E91" s="148"/>
      <c r="F91" s="148"/>
      <c r="G91" s="148"/>
      <c r="H91" s="148"/>
      <c r="I91" s="194"/>
    </row>
    <row r="92" spans="1:9" ht="21.75" hidden="1" customHeight="1">
      <c r="A92" s="145"/>
      <c r="B92" s="145"/>
      <c r="C92" s="145"/>
      <c r="D92" s="197">
        <v>0.25</v>
      </c>
      <c r="E92" s="143">
        <v>0.41666666666666669</v>
      </c>
      <c r="F92" s="143">
        <v>0.58333333333333337</v>
      </c>
      <c r="G92" s="143">
        <v>0.75</v>
      </c>
      <c r="H92" s="143">
        <v>0.91666666666666663</v>
      </c>
      <c r="I92" s="198">
        <v>8.3333333333333329E-2</v>
      </c>
    </row>
    <row r="93" spans="1:9" ht="21.75" hidden="1" customHeight="1">
      <c r="A93" s="220">
        <v>1</v>
      </c>
      <c r="B93" s="225" t="s">
        <v>132</v>
      </c>
      <c r="C93" s="227" t="s">
        <v>101</v>
      </c>
      <c r="D93" s="199">
        <f>'2. XL-1F TT '!K6</f>
        <v>0</v>
      </c>
      <c r="E93" s="146">
        <f>'2. XL-1F TT '!O6</f>
        <v>0</v>
      </c>
      <c r="F93" s="146">
        <f>'2. XL-1F TT '!S6</f>
        <v>0</v>
      </c>
      <c r="G93" s="146">
        <f>'2. XL-1F TT(CA2)'!K6</f>
        <v>0</v>
      </c>
      <c r="H93" s="146">
        <f>'2. XL-1F TT(CA2)'!O6</f>
        <v>0</v>
      </c>
      <c r="I93" s="200">
        <f>'2. XL-1F TT(CA2)'!S6</f>
        <v>0</v>
      </c>
    </row>
    <row r="94" spans="1:9" ht="21.75" hidden="1" customHeight="1">
      <c r="A94" s="221"/>
      <c r="B94" s="226"/>
      <c r="C94" s="228" t="s">
        <v>102</v>
      </c>
      <c r="D94" s="199">
        <f>'2. XL-1F TT '!K7</f>
        <v>0</v>
      </c>
      <c r="E94" s="146">
        <f>'2. XL-1F TT '!O7</f>
        <v>0</v>
      </c>
      <c r="F94" s="146">
        <f>'2. XL-1F TT '!S7</f>
        <v>0</v>
      </c>
      <c r="G94" s="146">
        <f>'2. XL-1F TT(CA2)'!K7</f>
        <v>0</v>
      </c>
      <c r="H94" s="146">
        <f>'2. XL-1F TT(CA2)'!O7</f>
        <v>0</v>
      </c>
      <c r="I94" s="200">
        <f>'2. XL-1F TT(CA2)'!S7</f>
        <v>0</v>
      </c>
    </row>
    <row r="95" spans="1:9" ht="21.75" hidden="1" customHeight="1">
      <c r="A95" s="220">
        <v>2</v>
      </c>
      <c r="B95" s="225" t="s">
        <v>133</v>
      </c>
      <c r="C95" s="227" t="s">
        <v>101</v>
      </c>
      <c r="D95" s="199">
        <f>'2. XL-1F TT '!K8</f>
        <v>0</v>
      </c>
      <c r="E95" s="146">
        <f>'2. XL-1F TT '!O8</f>
        <v>0</v>
      </c>
      <c r="F95" s="146">
        <f>'2. XL-1F TT '!S8</f>
        <v>0</v>
      </c>
      <c r="G95" s="146">
        <f>'2. XL-1F TT(CA2)'!K8</f>
        <v>0</v>
      </c>
      <c r="H95" s="146">
        <f>'2. XL-1F TT(CA2)'!O8</f>
        <v>0</v>
      </c>
      <c r="I95" s="200">
        <f>'2. XL-1F TT(CA2)'!S8</f>
        <v>0</v>
      </c>
    </row>
    <row r="96" spans="1:9" ht="21.75" hidden="1" customHeight="1">
      <c r="A96" s="221"/>
      <c r="B96" s="226"/>
      <c r="C96" s="228" t="s">
        <v>102</v>
      </c>
      <c r="D96" s="199">
        <f>'2. XL-1F TT '!K9</f>
        <v>0</v>
      </c>
      <c r="E96" s="146">
        <f>'2. XL-1F TT '!O9</f>
        <v>0</v>
      </c>
      <c r="F96" s="146">
        <f>'2. XL-1F TT '!S9</f>
        <v>0</v>
      </c>
      <c r="G96" s="146">
        <f>'2. XL-1F TT(CA2)'!K9</f>
        <v>0</v>
      </c>
      <c r="H96" s="146">
        <f>'2. XL-1F TT(CA2)'!O9</f>
        <v>0</v>
      </c>
      <c r="I96" s="200">
        <f>'2. XL-1F TT(CA2)'!S9</f>
        <v>0</v>
      </c>
    </row>
    <row r="97" spans="1:9" ht="21.75" hidden="1" customHeight="1">
      <c r="A97" s="220">
        <v>3</v>
      </c>
      <c r="B97" s="230" t="s">
        <v>134</v>
      </c>
      <c r="C97" s="227" t="s">
        <v>101</v>
      </c>
      <c r="D97" s="199">
        <f>'2. XL-1F TT '!K10</f>
        <v>3.9361800000000011</v>
      </c>
      <c r="E97" s="146">
        <f>'2. XL-1F TT '!O10</f>
        <v>4.2032160000000029</v>
      </c>
      <c r="F97" s="146">
        <f>'2. XL-1F TT '!S10</f>
        <v>0</v>
      </c>
      <c r="G97" s="146">
        <f>'2. XL-1F TT(CA2)'!K10</f>
        <v>0</v>
      </c>
      <c r="H97" s="146">
        <f>'2. XL-1F TT(CA2)'!O10</f>
        <v>0</v>
      </c>
      <c r="I97" s="200">
        <f>'2. XL-1F TT(CA2)'!S10</f>
        <v>0</v>
      </c>
    </row>
    <row r="98" spans="1:9" ht="21.75" hidden="1" customHeight="1">
      <c r="A98" s="222"/>
      <c r="B98" s="231"/>
      <c r="C98" s="228" t="s">
        <v>105</v>
      </c>
      <c r="D98" s="199">
        <f>'2. XL-1F TT '!K11</f>
        <v>1.1021304000000003</v>
      </c>
      <c r="E98" s="146">
        <f>'2. XL-1F TT '!O11</f>
        <v>1.1769004800000007</v>
      </c>
      <c r="F98" s="146">
        <f>'2. XL-1F TT '!S11</f>
        <v>0</v>
      </c>
      <c r="G98" s="146">
        <f>'2. XL-1F TT(CA2)'!K11</f>
        <v>0</v>
      </c>
      <c r="H98" s="146">
        <f>'2. XL-1F TT(CA2)'!O11</f>
        <v>0</v>
      </c>
      <c r="I98" s="200">
        <f>'2. XL-1F TT(CA2)'!S11</f>
        <v>0</v>
      </c>
    </row>
    <row r="99" spans="1:9" ht="21.75" hidden="1" customHeight="1">
      <c r="A99" s="220">
        <v>4</v>
      </c>
      <c r="B99" s="230" t="s">
        <v>135</v>
      </c>
      <c r="C99" s="227" t="s">
        <v>101</v>
      </c>
      <c r="D99" s="199">
        <f>'2. XL-1F TT '!K12</f>
        <v>4.6308659999999895</v>
      </c>
      <c r="E99" s="146">
        <f>'2. XL-1F TT '!O12</f>
        <v>2.6086920000000053</v>
      </c>
      <c r="F99" s="146">
        <f>'2. XL-1F TT '!S12</f>
        <v>0</v>
      </c>
      <c r="G99" s="146">
        <f>'2. XL-1F TT(CA2)'!K12</f>
        <v>0</v>
      </c>
      <c r="H99" s="146">
        <f>'2. XL-1F TT(CA2)'!O12</f>
        <v>0</v>
      </c>
      <c r="I99" s="200">
        <f>'2. XL-1F TT(CA2)'!S12</f>
        <v>1.9346340000000006</v>
      </c>
    </row>
    <row r="100" spans="1:9" ht="21.75" hidden="1" customHeight="1">
      <c r="A100" s="222"/>
      <c r="B100" s="231"/>
      <c r="C100" s="228" t="s">
        <v>105</v>
      </c>
      <c r="D100" s="199">
        <f>'2. XL-1F TT '!K13</f>
        <v>1.2966424799999972</v>
      </c>
      <c r="E100" s="146">
        <f>'2. XL-1F TT '!O13</f>
        <v>0.73043376000000149</v>
      </c>
      <c r="F100" s="146">
        <f>'2. XL-1F TT '!S13</f>
        <v>0</v>
      </c>
      <c r="G100" s="146">
        <f>'2. XL-1F TT(CA2)'!K13</f>
        <v>0</v>
      </c>
      <c r="H100" s="146">
        <f>'2. XL-1F TT(CA2)'!O13</f>
        <v>0</v>
      </c>
      <c r="I100" s="200">
        <f>'2. XL-1F TT(CA2)'!S13</f>
        <v>0.54169752000000015</v>
      </c>
    </row>
    <row r="101" spans="1:9" ht="21.75" hidden="1" customHeight="1">
      <c r="A101" s="223">
        <v>5</v>
      </c>
      <c r="B101" s="228" t="s">
        <v>80</v>
      </c>
      <c r="C101" s="229"/>
      <c r="D101" s="199">
        <f>'2. XL-1F TT '!K14</f>
        <v>0</v>
      </c>
      <c r="E101" s="146">
        <f>'2. XL-1F TT '!O14</f>
        <v>0</v>
      </c>
      <c r="F101" s="146">
        <f>'2. XL-1F TT '!S14</f>
        <v>0</v>
      </c>
      <c r="G101" s="146">
        <f>'2. XL-1F TT(CA2)'!K14</f>
        <v>0</v>
      </c>
      <c r="H101" s="146">
        <f>'2. XL-1F TT(CA2)'!O14</f>
        <v>0</v>
      </c>
      <c r="I101" s="200">
        <f>'2. XL-1F TT(CA2)'!S14</f>
        <v>0</v>
      </c>
    </row>
    <row r="102" spans="1:9" ht="21.75" hidden="1" customHeight="1">
      <c r="A102" s="223">
        <v>6</v>
      </c>
      <c r="B102" s="228" t="s">
        <v>58</v>
      </c>
      <c r="C102" s="229"/>
      <c r="D102" s="199">
        <f>'2. XL-1F TT '!K15</f>
        <v>0</v>
      </c>
      <c r="E102" s="146">
        <f>'2. XL-1F TT '!O15</f>
        <v>0</v>
      </c>
      <c r="F102" s="146">
        <f>'2. XL-1F TT '!S15</f>
        <v>0</v>
      </c>
      <c r="G102" s="146">
        <f>'2. XL-1F TT(CA2)'!K15</f>
        <v>0</v>
      </c>
      <c r="H102" s="146">
        <f>'2. XL-1F TT(CA2)'!O15</f>
        <v>0</v>
      </c>
      <c r="I102" s="200">
        <f>'2. XL-1F TT(CA2)'!S15</f>
        <v>0</v>
      </c>
    </row>
    <row r="103" spans="1:9" ht="21.75" hidden="1" customHeight="1">
      <c r="A103" s="232">
        <v>7</v>
      </c>
      <c r="B103" s="225" t="s">
        <v>107</v>
      </c>
      <c r="C103" s="234"/>
      <c r="D103" s="199">
        <f>'2. XL-1F TT '!K16</f>
        <v>0.21947750000000021</v>
      </c>
      <c r="E103" s="146">
        <f>'2. XL-1F TT '!O16</f>
        <v>0</v>
      </c>
      <c r="F103" s="146">
        <f>'2. XL-1F TT '!S16</f>
        <v>1.9248700000000012</v>
      </c>
      <c r="G103" s="146">
        <f>'2. XL-1F TT(CA2)'!K16</f>
        <v>0.46310499999999521</v>
      </c>
      <c r="H103" s="146">
        <f>'2. XL-1F TT(CA2)'!O16</f>
        <v>0</v>
      </c>
      <c r="I103" s="200">
        <f>'2. XL-1F TT(CA2)'!S16</f>
        <v>0</v>
      </c>
    </row>
    <row r="104" spans="1:9" ht="21.75" hidden="1" customHeight="1">
      <c r="A104" s="233"/>
      <c r="B104" s="235"/>
      <c r="C104" s="236"/>
      <c r="D104" s="199">
        <f>'2. XL-1F TT '!K17</f>
        <v>0</v>
      </c>
      <c r="E104" s="146">
        <f>'2. XL-1F TT '!O17</f>
        <v>0</v>
      </c>
      <c r="F104" s="146">
        <f>'2. XL-1F TT '!S17</f>
        <v>0</v>
      </c>
      <c r="G104" s="146">
        <f>'2. XL-1F TT(CA2)'!K17</f>
        <v>0</v>
      </c>
      <c r="H104" s="146">
        <f>'2. XL-1F TT(CA2)'!O17</f>
        <v>0</v>
      </c>
      <c r="I104" s="200">
        <f>'2. XL-1F TT(CA2)'!S17</f>
        <v>0</v>
      </c>
    </row>
    <row r="105" spans="1:9" ht="21.75" hidden="1" customHeight="1">
      <c r="A105" s="223">
        <v>8</v>
      </c>
      <c r="B105" s="228" t="s">
        <v>59</v>
      </c>
      <c r="C105" s="229"/>
      <c r="D105" s="199">
        <f>'2. XL-1F TT '!K18</f>
        <v>35.145625000000074</v>
      </c>
      <c r="E105" s="146">
        <f>'2. XL-1F TT '!O18</f>
        <v>0</v>
      </c>
      <c r="F105" s="146">
        <f>'2. XL-1F TT '!S18</f>
        <v>0</v>
      </c>
      <c r="G105" s="146">
        <f>'2. XL-1F TT(CA2)'!K18</f>
        <v>0</v>
      </c>
      <c r="H105" s="146">
        <f>'2. XL-1F TT(CA2)'!O18</f>
        <v>0</v>
      </c>
      <c r="I105" s="200">
        <f>'2. XL-1F TT(CA2)'!S18</f>
        <v>35.145625000000074</v>
      </c>
    </row>
    <row r="106" spans="1:9" ht="21.75" hidden="1" customHeight="1">
      <c r="A106" s="223">
        <v>9</v>
      </c>
      <c r="B106" s="228" t="s">
        <v>60</v>
      </c>
      <c r="C106" s="229"/>
      <c r="D106" s="199">
        <f>'2. XL-1F TT '!K19</f>
        <v>0</v>
      </c>
      <c r="E106" s="146">
        <f>'2. XL-1F TT '!O19</f>
        <v>0</v>
      </c>
      <c r="F106" s="146">
        <f>'2. XL-1F TT '!S19</f>
        <v>0</v>
      </c>
      <c r="G106" s="146">
        <f>'2. XL-1F TT(CA2)'!K19</f>
        <v>0</v>
      </c>
      <c r="H106" s="146">
        <f>'2. XL-1F TT(CA2)'!O19</f>
        <v>0</v>
      </c>
      <c r="I106" s="200">
        <f>'2. XL-1F TT(CA2)'!S19</f>
        <v>0</v>
      </c>
    </row>
    <row r="107" spans="1:9" ht="21.75" hidden="1" customHeight="1">
      <c r="A107" s="223">
        <v>11</v>
      </c>
      <c r="B107" s="228" t="s">
        <v>109</v>
      </c>
      <c r="C107" s="229"/>
      <c r="D107" s="199">
        <f>'2. XL-1F TT '!K20</f>
        <v>0</v>
      </c>
      <c r="E107" s="146">
        <f>'2. XL-1F TT '!O20</f>
        <v>0</v>
      </c>
      <c r="F107" s="146">
        <f>'2. XL-1F TT '!S20</f>
        <v>0</v>
      </c>
      <c r="G107" s="146">
        <f>'2. XL-1F TT(CA2)'!K20</f>
        <v>0</v>
      </c>
      <c r="H107" s="146">
        <f>'2. XL-1F TT(CA2)'!O20</f>
        <v>0</v>
      </c>
      <c r="I107" s="200">
        <f>'2. XL-1F TT(CA2)'!S20</f>
        <v>0</v>
      </c>
    </row>
    <row r="108" spans="1:9" ht="21.75" hidden="1" customHeight="1">
      <c r="A108" s="223">
        <v>12</v>
      </c>
      <c r="B108" s="228" t="s">
        <v>108</v>
      </c>
      <c r="C108" s="229"/>
      <c r="D108" s="199">
        <f>'2. XL-1F TT '!K21</f>
        <v>0</v>
      </c>
      <c r="E108" s="146">
        <f>'2. XL-1F TT '!O21</f>
        <v>0</v>
      </c>
      <c r="F108" s="146">
        <f>'2. XL-1F TT '!S21</f>
        <v>0</v>
      </c>
      <c r="G108" s="146">
        <f>'2. XL-1F TT(CA2)'!K21</f>
        <v>0</v>
      </c>
      <c r="H108" s="146">
        <f>'2. XL-1F TT(CA2)'!O21</f>
        <v>0</v>
      </c>
      <c r="I108" s="200">
        <f>'2. XL-1F TT(CA2)'!S21</f>
        <v>0.29699439633214475</v>
      </c>
    </row>
    <row r="109" spans="1:9" ht="21.75" hidden="1" customHeight="1">
      <c r="D109" s="191"/>
      <c r="E109" s="139"/>
      <c r="F109" s="139"/>
      <c r="G109" s="139"/>
      <c r="H109" s="139"/>
      <c r="I109" s="192"/>
    </row>
    <row r="110" spans="1:9" ht="21.75" hidden="1" customHeight="1">
      <c r="D110" s="191"/>
      <c r="E110" s="139"/>
      <c r="F110" s="139"/>
      <c r="G110" s="139"/>
      <c r="H110" s="139"/>
      <c r="I110" s="192"/>
    </row>
    <row r="111" spans="1:9" s="139" customFormat="1" ht="32.25" hidden="1" customHeight="1">
      <c r="A111" s="171"/>
      <c r="B111" s="172" t="s">
        <v>128</v>
      </c>
      <c r="C111" s="173"/>
      <c r="D111" s="191"/>
      <c r="I111" s="192"/>
    </row>
    <row r="112" spans="1:9" ht="21.75" hidden="1" customHeight="1">
      <c r="A112" s="169" t="s">
        <v>7</v>
      </c>
      <c r="B112" s="157"/>
      <c r="C112" s="157"/>
      <c r="D112" s="193" t="s">
        <v>156</v>
      </c>
      <c r="E112" s="148"/>
      <c r="F112" s="148"/>
      <c r="G112" s="148"/>
      <c r="H112" s="148"/>
      <c r="I112" s="194"/>
    </row>
    <row r="113" spans="1:9" ht="21.75" hidden="1" customHeight="1">
      <c r="A113" s="170"/>
      <c r="B113" s="166"/>
      <c r="C113" s="166"/>
      <c r="D113" s="197">
        <v>0.25</v>
      </c>
      <c r="E113" s="143">
        <v>0.41666666666666669</v>
      </c>
      <c r="F113" s="143">
        <v>0.58333333333333337</v>
      </c>
      <c r="G113" s="143">
        <v>0.75</v>
      </c>
      <c r="H113" s="143">
        <v>0.91666666666666663</v>
      </c>
      <c r="I113" s="198">
        <v>8.3333333333333329E-2</v>
      </c>
    </row>
    <row r="114" spans="1:9" ht="21.75" hidden="1" customHeight="1">
      <c r="A114" s="3243">
        <v>1</v>
      </c>
      <c r="B114" s="3245" t="s">
        <v>139</v>
      </c>
      <c r="C114" s="248" t="s">
        <v>101</v>
      </c>
      <c r="D114" s="191">
        <f>'3.XT-C TT'!I6</f>
        <v>52.569000000000003</v>
      </c>
      <c r="E114" s="139">
        <f>'3.XT-C TT'!M6</f>
        <v>51.92</v>
      </c>
      <c r="F114" s="139">
        <f>'3.XT-C TT'!Q6</f>
        <v>51.595500000000001</v>
      </c>
      <c r="G114" s="139">
        <f>'3.XT-C TT(CA2)'!I6</f>
        <v>51.92</v>
      </c>
      <c r="H114" s="139">
        <f>'3.XT-C TT(CA2)'!M6</f>
        <v>0</v>
      </c>
      <c r="I114" s="192">
        <f>'3.XT-C TT(CA2)'!Q6</f>
        <v>51.92</v>
      </c>
    </row>
    <row r="115" spans="1:9" ht="21.75" hidden="1" customHeight="1">
      <c r="A115" s="3243"/>
      <c r="B115" s="3246"/>
      <c r="C115" s="247" t="s">
        <v>102</v>
      </c>
      <c r="D115" s="191">
        <f>'3.XT-C TT'!I7</f>
        <v>0</v>
      </c>
      <c r="E115" s="139">
        <f>'3.XT-C TT'!M7</f>
        <v>0</v>
      </c>
      <c r="F115" s="139">
        <f>'3.XT-C TT'!Q7</f>
        <v>0</v>
      </c>
      <c r="G115" s="139">
        <f>'3.XT-C TT(CA2)'!I7</f>
        <v>0</v>
      </c>
      <c r="H115" s="139">
        <f>'3.XT-C TT(CA2)'!M7</f>
        <v>0</v>
      </c>
      <c r="I115" s="192">
        <f>'3.XT-C TT(CA2)'!Q7</f>
        <v>0</v>
      </c>
    </row>
    <row r="116" spans="1:9" ht="21.75" hidden="1" customHeight="1">
      <c r="A116" s="3189">
        <v>2</v>
      </c>
      <c r="B116" s="3241" t="s">
        <v>140</v>
      </c>
      <c r="C116" s="245" t="s">
        <v>101</v>
      </c>
      <c r="D116" s="191">
        <f>'3.XT-C TT'!I8</f>
        <v>50.297499999999999</v>
      </c>
      <c r="E116" s="139">
        <f>'3.XT-C TT'!M8</f>
        <v>50.297499999999999</v>
      </c>
      <c r="F116" s="139">
        <f>'3.XT-C TT'!Q8</f>
        <v>50.297499999999999</v>
      </c>
      <c r="G116" s="139">
        <f>'3.XT-C TT(CA2)'!I8</f>
        <v>50.622</v>
      </c>
      <c r="H116" s="139">
        <f>'3.XT-C TT(CA2)'!M8</f>
        <v>0</v>
      </c>
      <c r="I116" s="192">
        <f>'3.XT-C TT(CA2)'!Q8</f>
        <v>51.271000000000001</v>
      </c>
    </row>
    <row r="117" spans="1:9" ht="21.75" hidden="1" customHeight="1">
      <c r="A117" s="3189"/>
      <c r="B117" s="3192"/>
      <c r="C117" s="243" t="s">
        <v>102</v>
      </c>
      <c r="D117" s="191">
        <f>'3.XT-C TT'!I9</f>
        <v>0</v>
      </c>
      <c r="E117" s="139">
        <f>'3.XT-C TT'!M9</f>
        <v>0</v>
      </c>
      <c r="F117" s="139">
        <f>'3.XT-C TT'!Q9</f>
        <v>0</v>
      </c>
      <c r="G117" s="139">
        <f>'3.XT-C TT(CA2)'!I9</f>
        <v>0</v>
      </c>
      <c r="H117" s="139">
        <f>'3.XT-C TT(CA2)'!M9</f>
        <v>0</v>
      </c>
      <c r="I117" s="192">
        <f>'3.XT-C TT(CA2)'!Q9</f>
        <v>0</v>
      </c>
    </row>
    <row r="118" spans="1:9" ht="21.75" hidden="1" customHeight="1">
      <c r="A118" s="3166">
        <v>3</v>
      </c>
      <c r="B118" s="3128" t="s">
        <v>141</v>
      </c>
      <c r="C118" s="242" t="s">
        <v>101</v>
      </c>
      <c r="D118" s="191">
        <f>'3.XT-C TT'!I10</f>
        <v>63.524999999999999</v>
      </c>
      <c r="E118" s="139">
        <f>'3.XT-C TT'!M10</f>
        <v>63.293999999999997</v>
      </c>
      <c r="F118" s="139">
        <f>'3.XT-C TT'!Q10</f>
        <v>61.908000000000001</v>
      </c>
      <c r="G118" s="139">
        <f>'3.XT-C TT(CA2)'!I10</f>
        <v>61.908000000000001</v>
      </c>
      <c r="H118" s="139">
        <f>'3.XT-C TT(CA2)'!M10</f>
        <v>0</v>
      </c>
      <c r="I118" s="192">
        <f>'3.XT-C TT(CA2)'!Q10</f>
        <v>61.446000000000005</v>
      </c>
    </row>
    <row r="119" spans="1:9" ht="21.75" hidden="1" customHeight="1">
      <c r="A119" s="3167"/>
      <c r="B119" s="3129"/>
      <c r="C119" s="243" t="s">
        <v>105</v>
      </c>
      <c r="D119" s="191">
        <f>'3.XT-C TT'!I11</f>
        <v>0</v>
      </c>
      <c r="E119" s="139">
        <f>'3.XT-C TT'!M11</f>
        <v>0</v>
      </c>
      <c r="F119" s="139">
        <f>'3.XT-C TT'!Q11</f>
        <v>0</v>
      </c>
      <c r="G119" s="139">
        <f>'3.XT-C TT(CA2)'!I11</f>
        <v>0</v>
      </c>
      <c r="H119" s="139">
        <f>'3.XT-C TT(CA2)'!M11</f>
        <v>0</v>
      </c>
      <c r="I119" s="192">
        <f>'3.XT-C TT(CA2)'!Q11</f>
        <v>0</v>
      </c>
    </row>
    <row r="120" spans="1:9" ht="21.75" hidden="1" customHeight="1">
      <c r="A120" s="3166">
        <v>4</v>
      </c>
      <c r="B120" s="3128" t="s">
        <v>142</v>
      </c>
      <c r="C120" s="242" t="s">
        <v>101</v>
      </c>
      <c r="D120" s="191">
        <f>'3.XT-C TT'!I12</f>
        <v>61.677</v>
      </c>
      <c r="E120" s="139">
        <f>'3.XT-C TT'!M12</f>
        <v>63.063000000000002</v>
      </c>
      <c r="F120" s="139">
        <f>'3.XT-C TT'!Q12</f>
        <v>60.521999999999998</v>
      </c>
      <c r="G120" s="139">
        <f>'3.XT-C TT(CA2)'!I12</f>
        <v>60.06</v>
      </c>
      <c r="H120" s="139">
        <f>'3.XT-C TT(CA2)'!M12</f>
        <v>0</v>
      </c>
      <c r="I120" s="192">
        <f>'3.XT-C TT(CA2)'!Q12</f>
        <v>60.06</v>
      </c>
    </row>
    <row r="121" spans="1:9" ht="21.75" hidden="1" customHeight="1">
      <c r="A121" s="3167"/>
      <c r="B121" s="3129"/>
      <c r="C121" s="243" t="s">
        <v>105</v>
      </c>
      <c r="D121" s="191">
        <f>'3.XT-C TT'!I13</f>
        <v>0</v>
      </c>
      <c r="E121" s="139">
        <f>'3.XT-C TT'!M13</f>
        <v>0</v>
      </c>
      <c r="F121" s="139">
        <f>'3.XT-C TT'!Q13</f>
        <v>0</v>
      </c>
      <c r="G121" s="139">
        <f>'3.XT-C TT(CA2)'!I13</f>
        <v>0</v>
      </c>
      <c r="H121" s="139">
        <f>'3.XT-C TT(CA2)'!M13</f>
        <v>0</v>
      </c>
      <c r="I121" s="192">
        <f>'3.XT-C TT(CA2)'!Q13</f>
        <v>0</v>
      </c>
    </row>
    <row r="122" spans="1:9" ht="21.75" hidden="1" customHeight="1">
      <c r="A122" s="3166">
        <v>5</v>
      </c>
      <c r="B122" s="3186" t="s">
        <v>114</v>
      </c>
      <c r="C122" s="244"/>
      <c r="D122" s="191">
        <f>'3.XT-C TT'!I14</f>
        <v>143.6</v>
      </c>
      <c r="E122" s="139">
        <f>'3.XT-C TT'!M14</f>
        <v>144.80000000000001</v>
      </c>
      <c r="F122" s="139">
        <f>'3.XT-C TT'!Q14</f>
        <v>143.19999999999999</v>
      </c>
      <c r="G122" s="139">
        <f>'3.XT-C TT(CA2)'!I14</f>
        <v>142.4</v>
      </c>
      <c r="H122" s="139">
        <f>'3.XT-C TT(CA2)'!M14</f>
        <v>0</v>
      </c>
      <c r="I122" s="192">
        <f>'3.XT-C TT(CA2)'!Q14</f>
        <v>142.4</v>
      </c>
    </row>
    <row r="123" spans="1:9" ht="21.75" hidden="1" customHeight="1">
      <c r="A123" s="3167"/>
      <c r="B123" s="3187"/>
      <c r="C123" s="244"/>
      <c r="D123" s="191">
        <f>'3.XT-C TT'!I15</f>
        <v>8.58</v>
      </c>
      <c r="E123" s="139">
        <f>'3.XT-C TT'!M15</f>
        <v>8.32</v>
      </c>
      <c r="F123" s="139">
        <f>'3.XT-C TT'!Q15</f>
        <v>8.3849999999999998</v>
      </c>
      <c r="G123" s="139">
        <f>'3.XT-C TT(CA2)'!I15</f>
        <v>8.4500000000000011</v>
      </c>
      <c r="H123" s="139">
        <f>'3.XT-C TT(CA2)'!M15</f>
        <v>0</v>
      </c>
      <c r="I123" s="192">
        <f>'3.XT-C TT(CA2)'!Q15</f>
        <v>8.4500000000000011</v>
      </c>
    </row>
    <row r="124" spans="1:9" ht="21.75" hidden="1" customHeight="1">
      <c r="A124" s="3166">
        <v>6</v>
      </c>
      <c r="B124" s="3177" t="s">
        <v>38</v>
      </c>
      <c r="C124" s="3178"/>
      <c r="D124" s="191">
        <f>'3.XT-C TT'!I16</f>
        <v>6.4533899999999997</v>
      </c>
      <c r="E124" s="139">
        <f>'3.XT-C TT'!M16</f>
        <v>6.4322049999999997</v>
      </c>
      <c r="F124" s="139">
        <f>'3.XT-C TT'!Q16</f>
        <v>6.1568000000000005</v>
      </c>
      <c r="G124" s="139">
        <f>'3.XT-C TT(CA2)'!I16</f>
        <v>6.7076100000000007</v>
      </c>
      <c r="H124" s="139">
        <f>'3.XT-C TT(CA2)'!M16</f>
        <v>0</v>
      </c>
      <c r="I124" s="192">
        <f>'3.XT-C TT(CA2)'!Q16</f>
        <v>6.5381299999999998</v>
      </c>
    </row>
    <row r="125" spans="1:9" ht="21.75" hidden="1" customHeight="1">
      <c r="A125" s="3167"/>
      <c r="B125" s="3179"/>
      <c r="C125" s="3180"/>
      <c r="D125" s="191">
        <f>'3.XT-C TT'!I17</f>
        <v>2.2999999999999998</v>
      </c>
      <c r="E125" s="139">
        <f>'3.XT-C TT'!M17</f>
        <v>2.2400000000000002</v>
      </c>
      <c r="F125" s="139">
        <f>'3.XT-C TT'!Q17</f>
        <v>2.2999999999999998</v>
      </c>
      <c r="G125" s="139">
        <f>'3.XT-C TT(CA2)'!I17</f>
        <v>2.2000000000000002</v>
      </c>
      <c r="H125" s="139">
        <f>'3.XT-C TT(CA2)'!M17</f>
        <v>0</v>
      </c>
      <c r="I125" s="192">
        <f>'3.XT-C TT(CA2)'!Q17</f>
        <v>2.2000000000000002</v>
      </c>
    </row>
    <row r="126" spans="1:9" ht="21.75" hidden="1" customHeight="1">
      <c r="A126" s="246">
        <v>7</v>
      </c>
      <c r="B126" s="2988" t="s">
        <v>36</v>
      </c>
      <c r="C126" s="2989"/>
      <c r="D126" s="191">
        <f>'3.XT-C TT'!I18</f>
        <v>0.49731250000000005</v>
      </c>
      <c r="E126" s="139">
        <f>'3.XT-C TT'!M18</f>
        <v>0.4881875</v>
      </c>
      <c r="F126" s="139">
        <f>'3.XT-C TT'!Q18</f>
        <v>0.47906250000000006</v>
      </c>
      <c r="G126" s="139">
        <f>'3.XT-C TT(CA2)'!I18</f>
        <v>0.49731250000000005</v>
      </c>
      <c r="H126" s="139">
        <f>'3.XT-C TT(CA2)'!M18</f>
        <v>0</v>
      </c>
      <c r="I126" s="192">
        <f>'3.XT-C TT(CA2)'!Q18</f>
        <v>0.4881875</v>
      </c>
    </row>
    <row r="127" spans="1:9" ht="21.75" hidden="1" customHeight="1">
      <c r="A127" s="246">
        <v>8</v>
      </c>
      <c r="B127" s="2988" t="s">
        <v>37</v>
      </c>
      <c r="C127" s="2989"/>
      <c r="D127" s="191">
        <f>'3.XT-C TT'!I20</f>
        <v>0.45168749999999996</v>
      </c>
      <c r="E127" s="139">
        <f>'3.XT-C TT'!M20</f>
        <v>0.43799999999999994</v>
      </c>
      <c r="F127" s="139">
        <f>'3.XT-C TT'!Q20</f>
        <v>0.43343749999999998</v>
      </c>
      <c r="G127" s="139">
        <f>'3.XT-C TT(CA2)'!I20</f>
        <v>0.45168749999999996</v>
      </c>
      <c r="H127" s="139">
        <f>'3.XT-C TT(CA2)'!M20</f>
        <v>0</v>
      </c>
      <c r="I127" s="192">
        <f>'3.XT-C TT(CA2)'!Q20</f>
        <v>0.44256250000000003</v>
      </c>
    </row>
    <row r="128" spans="1:9" ht="21.75" hidden="1" customHeight="1">
      <c r="A128" s="246">
        <v>9</v>
      </c>
      <c r="B128" s="2991" t="s">
        <v>83</v>
      </c>
      <c r="C128" s="2992"/>
      <c r="D128" s="191">
        <f>'3.XT-C TT'!I21</f>
        <v>0.1323125</v>
      </c>
      <c r="E128" s="139">
        <f>'3.XT-C TT'!M21</f>
        <v>0.12775</v>
      </c>
      <c r="F128" s="139">
        <f>'3.XT-C TT'!Q21</f>
        <v>0.1323125</v>
      </c>
      <c r="G128" s="139">
        <f>'3.XT-C TT(CA2)'!I21</f>
        <v>0.1323125</v>
      </c>
      <c r="H128" s="139">
        <f>'3.XT-C TT(CA2)'!M21</f>
        <v>0</v>
      </c>
      <c r="I128" s="192">
        <f>'3.XT-C TT(CA2)'!Q21</f>
        <v>0.1323125</v>
      </c>
    </row>
    <row r="129" spans="1:9" ht="21.75" hidden="1" customHeight="1">
      <c r="A129" s="246">
        <v>10</v>
      </c>
      <c r="B129" s="2991" t="s">
        <v>113</v>
      </c>
      <c r="C129" s="2992" t="s">
        <v>113</v>
      </c>
      <c r="D129" s="191">
        <f>'3.XT-C TT'!I22</f>
        <v>7.5599999999999999E-3</v>
      </c>
      <c r="E129" s="139">
        <f>'3.XT-C TT'!M22</f>
        <v>7.5599999999999999E-3</v>
      </c>
      <c r="F129" s="139">
        <f>'3.XT-C TT'!Q22</f>
        <v>7.4340000000000005E-3</v>
      </c>
      <c r="G129" s="139">
        <f>'3.XT-C TT(CA2)'!I22</f>
        <v>7.1820000000000009E-3</v>
      </c>
      <c r="H129" s="139">
        <f>'3.XT-C TT(CA2)'!M22</f>
        <v>0</v>
      </c>
      <c r="I129" s="192">
        <f>'3.XT-C TT(CA2)'!Q22</f>
        <v>6.9300000000000004E-3</v>
      </c>
    </row>
    <row r="130" spans="1:9" ht="21.75" hidden="1" customHeight="1">
      <c r="A130" s="152"/>
      <c r="B130" s="153" t="s">
        <v>110</v>
      </c>
      <c r="C130" s="160"/>
      <c r="D130" s="193" t="s">
        <v>158</v>
      </c>
      <c r="E130" s="148"/>
      <c r="F130" s="148"/>
      <c r="G130" s="148"/>
      <c r="H130" s="148"/>
      <c r="I130" s="194"/>
    </row>
    <row r="131" spans="1:9" ht="21.75" hidden="1" customHeight="1">
      <c r="A131" s="154" t="s">
        <v>7</v>
      </c>
      <c r="B131" s="155" t="s">
        <v>62</v>
      </c>
      <c r="C131" s="156"/>
      <c r="D131" s="195">
        <v>0.25</v>
      </c>
      <c r="E131" s="151">
        <v>0.41666666666666669</v>
      </c>
      <c r="F131" s="151">
        <v>0.58333333333333337</v>
      </c>
      <c r="G131" s="151">
        <v>0.75</v>
      </c>
      <c r="H131" s="151">
        <v>0.91666666666666663</v>
      </c>
      <c r="I131" s="196">
        <v>8.3333333333333329E-2</v>
      </c>
    </row>
    <row r="132" spans="1:9" ht="21.75" hidden="1" customHeight="1">
      <c r="A132" s="246">
        <v>1</v>
      </c>
      <c r="B132" s="3013" t="s">
        <v>34</v>
      </c>
      <c r="C132" s="3014"/>
      <c r="D132" s="191">
        <f>'3.XT-C TT'!I29</f>
        <v>60</v>
      </c>
      <c r="E132" s="139">
        <f>'3.XT-C TT'!M29</f>
        <v>60</v>
      </c>
      <c r="F132" s="139">
        <f>'3.XT-C TT'!Q29</f>
        <v>60</v>
      </c>
      <c r="G132" s="139">
        <f>'3.XT-C TT(CA2)'!I29</f>
        <v>61</v>
      </c>
      <c r="H132" s="139">
        <f>'3.XT-C TT(CA2)'!M29</f>
        <v>0</v>
      </c>
      <c r="I132" s="192">
        <f>'3.XT-C TT(CA2)'!Q29</f>
        <v>61</v>
      </c>
    </row>
    <row r="133" spans="1:9" ht="21.75" hidden="1" customHeight="1">
      <c r="A133" s="246">
        <v>2</v>
      </c>
      <c r="B133" s="3013" t="s">
        <v>35</v>
      </c>
      <c r="C133" s="3014"/>
      <c r="D133" s="191">
        <f>'3.XT-C TT'!I30</f>
        <v>61</v>
      </c>
      <c r="E133" s="139">
        <f>'3.XT-C TT'!M30</f>
        <v>60</v>
      </c>
      <c r="F133" s="139">
        <f>'3.XT-C TT'!Q30</f>
        <v>61</v>
      </c>
      <c r="G133" s="139">
        <f>'3.XT-C TT(CA2)'!I30</f>
        <v>61</v>
      </c>
      <c r="H133" s="139">
        <f>'3.XT-C TT(CA2)'!M30</f>
        <v>0</v>
      </c>
      <c r="I133" s="192">
        <f>'3.XT-C TT(CA2)'!Q30</f>
        <v>61</v>
      </c>
    </row>
    <row r="134" spans="1:9" ht="21.75" hidden="1" customHeight="1">
      <c r="A134" s="246">
        <v>3</v>
      </c>
      <c r="B134" s="3013" t="s">
        <v>27</v>
      </c>
      <c r="C134" s="3014"/>
      <c r="D134" s="191">
        <f>'3.XT-C TT'!I31</f>
        <v>61</v>
      </c>
      <c r="E134" s="139">
        <f>'3.XT-C TT'!M31</f>
        <v>60</v>
      </c>
      <c r="F134" s="139">
        <f>'3.XT-C TT'!Q31</f>
        <v>59</v>
      </c>
      <c r="G134" s="139">
        <f>'3.XT-C TT(CA2)'!I31</f>
        <v>60</v>
      </c>
      <c r="H134" s="139">
        <f>'3.XT-C TT(CA2)'!M31</f>
        <v>0</v>
      </c>
      <c r="I134" s="192">
        <f>'3.XT-C TT(CA2)'!Q31</f>
        <v>61</v>
      </c>
    </row>
    <row r="135" spans="1:9" ht="21.75" hidden="1" customHeight="1">
      <c r="A135" s="246">
        <v>4</v>
      </c>
      <c r="B135" s="3013" t="s">
        <v>28</v>
      </c>
      <c r="C135" s="3014"/>
      <c r="D135" s="191">
        <f>'3.XT-C TT'!I32</f>
        <v>62</v>
      </c>
      <c r="E135" s="139">
        <f>'3.XT-C TT'!M32</f>
        <v>63</v>
      </c>
      <c r="F135" s="139">
        <f>'3.XT-C TT'!Q32</f>
        <v>63</v>
      </c>
      <c r="G135" s="139">
        <f>'3.XT-C TT(CA2)'!I32</f>
        <v>62</v>
      </c>
      <c r="H135" s="139">
        <f>'3.XT-C TT(CA2)'!M32</f>
        <v>0</v>
      </c>
      <c r="I135" s="192">
        <f>'3.XT-C TT(CA2)'!Q32</f>
        <v>61</v>
      </c>
    </row>
    <row r="136" spans="1:9" ht="21.75" hidden="1" customHeight="1">
      <c r="A136" s="246">
        <v>5</v>
      </c>
      <c r="B136" s="3013" t="s">
        <v>29</v>
      </c>
      <c r="C136" s="3014"/>
      <c r="D136" s="191">
        <f>'3.XT-C TT'!I33</f>
        <v>25</v>
      </c>
      <c r="E136" s="139">
        <f>'3.XT-C TT'!M33</f>
        <v>26</v>
      </c>
      <c r="F136" s="139">
        <f>'3.XT-C TT'!Q33</f>
        <v>25</v>
      </c>
      <c r="G136" s="139">
        <f>'3.XT-C TT(CA2)'!I33</f>
        <v>26</v>
      </c>
      <c r="H136" s="139">
        <f>'3.XT-C TT(CA2)'!M33</f>
        <v>0</v>
      </c>
      <c r="I136" s="192">
        <f>'3.XT-C TT(CA2)'!Q33</f>
        <v>26</v>
      </c>
    </row>
    <row r="137" spans="1:9" ht="21.75" hidden="1" customHeight="1">
      <c r="A137" s="246">
        <v>6</v>
      </c>
      <c r="B137" s="3013" t="s">
        <v>30</v>
      </c>
      <c r="C137" s="3014"/>
      <c r="D137" s="191">
        <f>'3.XT-C TT'!I34</f>
        <v>34</v>
      </c>
      <c r="E137" s="139">
        <f>'3.XT-C TT'!M34</f>
        <v>34</v>
      </c>
      <c r="F137" s="139">
        <f>'3.XT-C TT'!Q34</f>
        <v>34</v>
      </c>
      <c r="G137" s="139">
        <f>'3.XT-C TT(CA2)'!I34</f>
        <v>34</v>
      </c>
      <c r="H137" s="139">
        <f>'3.XT-C TT(CA2)'!M34</f>
        <v>0</v>
      </c>
      <c r="I137" s="192">
        <f>'3.XT-C TT(CA2)'!Q34</f>
        <v>34</v>
      </c>
    </row>
    <row r="138" spans="1:9" ht="21.75" hidden="1" customHeight="1">
      <c r="A138" s="246">
        <v>7</v>
      </c>
      <c r="B138" s="3013" t="s">
        <v>31</v>
      </c>
      <c r="C138" s="3014"/>
      <c r="D138" s="191">
        <f>'3.XT-C TT'!I35</f>
        <v>56</v>
      </c>
      <c r="E138" s="139">
        <f>'3.XT-C TT'!M35</f>
        <v>62</v>
      </c>
      <c r="F138" s="139">
        <f>'3.XT-C TT'!Q35</f>
        <v>58</v>
      </c>
      <c r="G138" s="139">
        <f>'3.XT-C TT(CA2)'!I35</f>
        <v>61</v>
      </c>
      <c r="H138" s="139">
        <f>'3.XT-C TT(CA2)'!M35</f>
        <v>0</v>
      </c>
      <c r="I138" s="192">
        <f>'3.XT-C TT(CA2)'!Q35</f>
        <v>59</v>
      </c>
    </row>
    <row r="139" spans="1:9" ht="21.75" hidden="1" customHeight="1">
      <c r="A139" s="246">
        <v>8</v>
      </c>
      <c r="B139" s="3013" t="s">
        <v>32</v>
      </c>
      <c r="C139" s="3014"/>
      <c r="D139" s="191">
        <f>'3.XT-C TT'!K36</f>
        <v>94</v>
      </c>
      <c r="E139" s="139">
        <f>'3.XT-C TT'!O36</f>
        <v>92</v>
      </c>
      <c r="F139" s="139">
        <f>'3.XT-C TT'!S36</f>
        <v>94</v>
      </c>
      <c r="G139" s="139">
        <f>'3.XT-C TT(CA2)'!K36</f>
        <v>92</v>
      </c>
      <c r="H139" s="139">
        <f>'3.XT-C TT(CA2)'!O36</f>
        <v>0</v>
      </c>
      <c r="I139" s="192">
        <f>'3.XT-C TT(CA2)'!S36</f>
        <v>92</v>
      </c>
    </row>
    <row r="140" spans="1:9" ht="21.75" hidden="1" customHeight="1">
      <c r="A140" s="152"/>
      <c r="B140" s="153" t="s">
        <v>111</v>
      </c>
      <c r="C140" s="160"/>
      <c r="D140" s="193" t="s">
        <v>159</v>
      </c>
      <c r="E140" s="148"/>
      <c r="F140" s="148"/>
      <c r="G140" s="148"/>
      <c r="H140" s="148"/>
      <c r="I140" s="194"/>
    </row>
    <row r="141" spans="1:9" ht="21.75" hidden="1" customHeight="1">
      <c r="A141" s="154" t="s">
        <v>7</v>
      </c>
      <c r="B141" s="155" t="s">
        <v>93</v>
      </c>
      <c r="C141" s="156"/>
      <c r="D141" s="195">
        <v>0.25</v>
      </c>
      <c r="E141" s="151">
        <v>0.41666666666666669</v>
      </c>
      <c r="F141" s="151">
        <v>0.58333333333333337</v>
      </c>
      <c r="G141" s="151">
        <v>0.75</v>
      </c>
      <c r="H141" s="151">
        <v>0.91666666666666663</v>
      </c>
      <c r="I141" s="196">
        <v>8.3333333333333329E-2</v>
      </c>
    </row>
    <row r="142" spans="1:9" ht="21.75" hidden="1" customHeight="1">
      <c r="A142" s="246">
        <v>1</v>
      </c>
      <c r="B142" s="3248" t="s">
        <v>116</v>
      </c>
      <c r="C142" s="3249"/>
      <c r="D142" s="191">
        <f>'3.XT-C TT'!I43</f>
        <v>50</v>
      </c>
      <c r="E142" s="139">
        <f>'3.XT-C TT'!M43</f>
        <v>48</v>
      </c>
      <c r="F142" s="139">
        <f>'3.XT-C TT'!Q43</f>
        <v>50</v>
      </c>
      <c r="G142" s="1603">
        <f>'3.XT-C TT(CA2)'!I43</f>
        <v>48</v>
      </c>
      <c r="H142" s="1603">
        <f>'3.XT-C TT(CA2)'!M43</f>
        <v>0</v>
      </c>
      <c r="I142" s="1604">
        <f>'3.XT-C TT(CA2)'!Q43</f>
        <v>50</v>
      </c>
    </row>
    <row r="143" spans="1:9" ht="21.75" hidden="1" customHeight="1">
      <c r="A143" s="246">
        <v>2</v>
      </c>
      <c r="B143" s="3248" t="s">
        <v>115</v>
      </c>
      <c r="C143" s="3249"/>
      <c r="D143" s="191">
        <f>'3.XT-C TT'!I44</f>
        <v>175</v>
      </c>
      <c r="E143" s="139">
        <f>'3.XT-C TT'!M44</f>
        <v>178</v>
      </c>
      <c r="F143" s="139">
        <f>'3.XT-C TT'!Q44</f>
        <v>180</v>
      </c>
      <c r="G143" s="1603">
        <f>'3.XT-C TT(CA2)'!I44</f>
        <v>175</v>
      </c>
      <c r="H143" s="1603">
        <f>'3.XT-C TT(CA2)'!M44</f>
        <v>0</v>
      </c>
      <c r="I143" s="1604">
        <f>'3.XT-C TT(CA2)'!Q44</f>
        <v>175</v>
      </c>
    </row>
    <row r="144" spans="1:9" ht="21.75" hidden="1" customHeight="1">
      <c r="A144" s="145"/>
      <c r="B144" s="145"/>
      <c r="C144" s="145"/>
      <c r="D144" s="193" t="s">
        <v>157</v>
      </c>
      <c r="E144" s="148"/>
      <c r="F144" s="148"/>
      <c r="G144" s="148"/>
      <c r="H144" s="148"/>
      <c r="I144" s="194"/>
    </row>
    <row r="145" spans="1:9" ht="21.75" hidden="1" customHeight="1">
      <c r="A145" s="145"/>
      <c r="B145" s="145"/>
      <c r="C145" s="145"/>
      <c r="D145" s="197">
        <v>0.25</v>
      </c>
      <c r="E145" s="143">
        <v>0.41666666666666669</v>
      </c>
      <c r="F145" s="143">
        <v>0.58333333333333337</v>
      </c>
      <c r="G145" s="143">
        <v>0.75</v>
      </c>
      <c r="H145" s="143">
        <v>0.91666666666666663</v>
      </c>
      <c r="I145" s="198">
        <v>8.3333333333333329E-2</v>
      </c>
    </row>
    <row r="146" spans="1:9" ht="21.75" hidden="1" customHeight="1">
      <c r="A146" s="3166">
        <v>1</v>
      </c>
      <c r="B146" s="3190" t="s">
        <v>139</v>
      </c>
      <c r="C146" s="242" t="s">
        <v>101</v>
      </c>
      <c r="D146" s="204">
        <f>'3.XT-C TT'!K6</f>
        <v>0</v>
      </c>
      <c r="E146" s="161">
        <f>'3.XT-C TT'!O6</f>
        <v>0</v>
      </c>
      <c r="F146" s="161">
        <f>'3.XT-C TT'!S6</f>
        <v>0</v>
      </c>
      <c r="G146" s="161">
        <f>'3.XT-C TT(CA2)'!K6</f>
        <v>0</v>
      </c>
      <c r="H146" s="161">
        <f>'3.XT-C TT(CA2)'!O6</f>
        <v>0</v>
      </c>
      <c r="I146" s="205">
        <f>'3.XT-C TT(CA2)'!S6</f>
        <v>0</v>
      </c>
    </row>
    <row r="147" spans="1:9" ht="21.75" hidden="1" customHeight="1">
      <c r="A147" s="3189"/>
      <c r="B147" s="3192"/>
      <c r="C147" s="243" t="s">
        <v>102</v>
      </c>
      <c r="D147" s="204">
        <f>'3.XT-C TT'!K7</f>
        <v>0</v>
      </c>
      <c r="E147" s="161">
        <f>'3.XT-C TT'!O7</f>
        <v>0</v>
      </c>
      <c r="F147" s="161">
        <f>'3.XT-C TT'!S7</f>
        <v>0</v>
      </c>
      <c r="G147" s="161">
        <f>'3.XT-C TT(CA2)'!K7</f>
        <v>0</v>
      </c>
      <c r="H147" s="161">
        <f>'3.XT-C TT(CA2)'!O7</f>
        <v>0</v>
      </c>
      <c r="I147" s="205">
        <f>'3.XT-C TT(CA2)'!S7</f>
        <v>0</v>
      </c>
    </row>
    <row r="148" spans="1:9" ht="21.75" hidden="1" customHeight="1">
      <c r="A148" s="3166">
        <v>2</v>
      </c>
      <c r="B148" s="3190" t="s">
        <v>140</v>
      </c>
      <c r="C148" s="242" t="s">
        <v>101</v>
      </c>
      <c r="D148" s="204">
        <f>'3.XT-C TT'!K8</f>
        <v>0</v>
      </c>
      <c r="E148" s="161">
        <f>'3.XT-C TT'!O8</f>
        <v>0</v>
      </c>
      <c r="F148" s="161">
        <f>'3.XT-C TT'!S8</f>
        <v>0</v>
      </c>
      <c r="G148" s="161">
        <f>'3.XT-C TT(CA2)'!K8</f>
        <v>0</v>
      </c>
      <c r="H148" s="161">
        <f>'3.XT-C TT(CA2)'!O8</f>
        <v>0</v>
      </c>
      <c r="I148" s="205">
        <f>'3.XT-C TT(CA2)'!S8</f>
        <v>0</v>
      </c>
    </row>
    <row r="149" spans="1:9" ht="21.75" hidden="1" customHeight="1">
      <c r="A149" s="3189"/>
      <c r="B149" s="3192"/>
      <c r="C149" s="243" t="s">
        <v>102</v>
      </c>
      <c r="D149" s="204">
        <f>'3.XT-C TT'!K9</f>
        <v>0</v>
      </c>
      <c r="E149" s="161">
        <f>'3.XT-C TT'!O9</f>
        <v>0</v>
      </c>
      <c r="F149" s="161">
        <f>'3.XT-C TT'!S9</f>
        <v>0</v>
      </c>
      <c r="G149" s="161">
        <f>'3.XT-C TT(CA2)'!K9</f>
        <v>0</v>
      </c>
      <c r="H149" s="161">
        <f>'3.XT-C TT(CA2)'!O9</f>
        <v>0</v>
      </c>
      <c r="I149" s="205">
        <f>'3.XT-C TT(CA2)'!S9</f>
        <v>0</v>
      </c>
    </row>
    <row r="150" spans="1:9" ht="21.75" hidden="1" customHeight="1">
      <c r="A150" s="3166">
        <v>3</v>
      </c>
      <c r="B150" s="3128" t="s">
        <v>141</v>
      </c>
      <c r="C150" s="242" t="s">
        <v>101</v>
      </c>
      <c r="D150" s="204">
        <f>'3.XT-C TT'!K10</f>
        <v>0</v>
      </c>
      <c r="E150" s="161">
        <f>'3.XT-C TT'!O10</f>
        <v>0</v>
      </c>
      <c r="F150" s="161">
        <f>'3.XT-C TT'!S10</f>
        <v>0</v>
      </c>
      <c r="G150" s="161">
        <f>'3.XT-C TT(CA2)'!K10</f>
        <v>0</v>
      </c>
      <c r="H150" s="161">
        <f>'3.XT-C TT(CA2)'!O10</f>
        <v>0</v>
      </c>
      <c r="I150" s="205">
        <f>'3.XT-C TT(CA2)'!S10</f>
        <v>0</v>
      </c>
    </row>
    <row r="151" spans="1:9" ht="21.75" hidden="1" customHeight="1">
      <c r="A151" s="3167"/>
      <c r="B151" s="3129"/>
      <c r="C151" s="243" t="s">
        <v>105</v>
      </c>
      <c r="D151" s="204">
        <f>'3.XT-C TT'!K11</f>
        <v>0</v>
      </c>
      <c r="E151" s="161">
        <f>'3.XT-C TT'!O11</f>
        <v>0</v>
      </c>
      <c r="F151" s="161">
        <f>'3.XT-C TT'!S11</f>
        <v>0</v>
      </c>
      <c r="G151" s="161">
        <f>'3.XT-C TT(CA2)'!K11</f>
        <v>0</v>
      </c>
      <c r="H151" s="161">
        <f>'3.XT-C TT(CA2)'!O11</f>
        <v>0</v>
      </c>
      <c r="I151" s="205">
        <f>'3.XT-C TT(CA2)'!S11</f>
        <v>0</v>
      </c>
    </row>
    <row r="152" spans="1:9" ht="21.75" hidden="1" customHeight="1">
      <c r="A152" s="3166">
        <v>4</v>
      </c>
      <c r="B152" s="3128" t="s">
        <v>142</v>
      </c>
      <c r="C152" s="242" t="s">
        <v>101</v>
      </c>
      <c r="D152" s="204">
        <f>'3.XT-C TT'!K12</f>
        <v>0</v>
      </c>
      <c r="E152" s="161">
        <f>'3.XT-C TT'!O12</f>
        <v>0</v>
      </c>
      <c r="F152" s="161">
        <f>'3.XT-C TT'!S12</f>
        <v>0</v>
      </c>
      <c r="G152" s="161">
        <f>'3.XT-C TT(CA2)'!K12</f>
        <v>0</v>
      </c>
      <c r="H152" s="161">
        <f>'3.XT-C TT(CA2)'!O12</f>
        <v>0</v>
      </c>
      <c r="I152" s="205">
        <f>'3.XT-C TT(CA2)'!S12</f>
        <v>0</v>
      </c>
    </row>
    <row r="153" spans="1:9" ht="21.75" hidden="1" customHeight="1">
      <c r="A153" s="3167"/>
      <c r="B153" s="3129"/>
      <c r="C153" s="243" t="s">
        <v>105</v>
      </c>
      <c r="D153" s="204">
        <f>'3.XT-C TT'!K13</f>
        <v>0</v>
      </c>
      <c r="E153" s="161">
        <f>'3.XT-C TT'!O13</f>
        <v>0</v>
      </c>
      <c r="F153" s="161">
        <f>'3.XT-C TT'!S13</f>
        <v>0</v>
      </c>
      <c r="G153" s="161">
        <f>'3.XT-C TT(CA2)'!K13</f>
        <v>0</v>
      </c>
      <c r="H153" s="161">
        <f>'3.XT-C TT(CA2)'!O13</f>
        <v>0</v>
      </c>
      <c r="I153" s="205">
        <f>'3.XT-C TT(CA2)'!S13</f>
        <v>0</v>
      </c>
    </row>
    <row r="154" spans="1:9" ht="21.75" hidden="1" customHeight="1">
      <c r="A154" s="3166">
        <v>5</v>
      </c>
      <c r="B154" s="3186" t="s">
        <v>114</v>
      </c>
      <c r="C154" s="244"/>
      <c r="D154" s="204">
        <f>'3.XT-C TT'!K14</f>
        <v>0</v>
      </c>
      <c r="E154" s="161">
        <f>'3.XT-C TT'!O14</f>
        <v>0</v>
      </c>
      <c r="F154" s="161">
        <f>'3.XT-C TT'!S14</f>
        <v>0</v>
      </c>
      <c r="G154" s="161">
        <f>'3.XT-C TT(CA2)'!K14</f>
        <v>0</v>
      </c>
      <c r="H154" s="161">
        <f>'3.XT-C TT(CA2)'!O14</f>
        <v>0</v>
      </c>
      <c r="I154" s="205">
        <f>'3.XT-C TT(CA2)'!S14</f>
        <v>0</v>
      </c>
    </row>
    <row r="155" spans="1:9" ht="21.75" hidden="1" customHeight="1">
      <c r="A155" s="3167"/>
      <c r="B155" s="3187"/>
      <c r="C155" s="244"/>
      <c r="D155" s="204">
        <f>'3.XT-C TT'!K15</f>
        <v>0</v>
      </c>
      <c r="E155" s="161">
        <f>'3.XT-C TT'!O15</f>
        <v>9.5518799999999846</v>
      </c>
      <c r="F155" s="161">
        <f>'3.XT-C TT'!S15</f>
        <v>6.1025900000000108</v>
      </c>
      <c r="G155" s="161">
        <f>'3.XT-C TT(CA2)'!K15</f>
        <v>2.6532999999999434</v>
      </c>
      <c r="H155" s="161">
        <f>'3.XT-C TT(CA2)'!O15</f>
        <v>0</v>
      </c>
      <c r="I155" s="205">
        <f>'3.XT-C TT(CA2)'!S15</f>
        <v>2.6532999999999434</v>
      </c>
    </row>
    <row r="156" spans="1:9" ht="21.75" hidden="1" customHeight="1">
      <c r="A156" s="3166">
        <v>6</v>
      </c>
      <c r="B156" s="3177" t="s">
        <v>38</v>
      </c>
      <c r="C156" s="3178"/>
      <c r="D156" s="204">
        <f>'3.XT-C TT'!K16</f>
        <v>0</v>
      </c>
      <c r="E156" s="161">
        <f>'3.XT-C TT'!O16</f>
        <v>0</v>
      </c>
      <c r="F156" s="161">
        <f>'3.XT-C TT'!S16</f>
        <v>0</v>
      </c>
      <c r="G156" s="161">
        <f>'3.XT-C TT(CA2)'!K16</f>
        <v>0</v>
      </c>
      <c r="H156" s="161">
        <f>'3.XT-C TT(CA2)'!O16</f>
        <v>0</v>
      </c>
      <c r="I156" s="205">
        <f>'3.XT-C TT(CA2)'!S16</f>
        <v>0</v>
      </c>
    </row>
    <row r="157" spans="1:9" ht="21.75" hidden="1" customHeight="1">
      <c r="A157" s="3167"/>
      <c r="B157" s="3179"/>
      <c r="C157" s="3180"/>
      <c r="D157" s="204">
        <f>'3.XT-C TT'!K17</f>
        <v>0</v>
      </c>
      <c r="E157" s="161">
        <f>'3.XT-C TT'!O17</f>
        <v>0</v>
      </c>
      <c r="F157" s="161">
        <f>'3.XT-C TT'!S17</f>
        <v>0</v>
      </c>
      <c r="G157" s="161">
        <f>'3.XT-C TT(CA2)'!K17</f>
        <v>0</v>
      </c>
      <c r="H157" s="161">
        <f>'3.XT-C TT(CA2)'!O17</f>
        <v>0</v>
      </c>
      <c r="I157" s="205">
        <f>'3.XT-C TT(CA2)'!S17</f>
        <v>0</v>
      </c>
    </row>
    <row r="158" spans="1:9" ht="21.75" hidden="1" customHeight="1">
      <c r="A158" s="246">
        <v>7</v>
      </c>
      <c r="B158" s="2988" t="s">
        <v>36</v>
      </c>
      <c r="C158" s="2989"/>
      <c r="D158" s="204">
        <f>'3.XT-C TT'!K18</f>
        <v>0</v>
      </c>
      <c r="E158" s="161">
        <f>'3.XT-C TT'!O18</f>
        <v>0</v>
      </c>
      <c r="F158" s="161">
        <f>'3.XT-C TT'!S18</f>
        <v>0</v>
      </c>
      <c r="G158" s="161">
        <f>'3.XT-C TT(CA2)'!K18</f>
        <v>0</v>
      </c>
      <c r="H158" s="161">
        <f>'3.XT-C TT(CA2)'!O18</f>
        <v>0</v>
      </c>
      <c r="I158" s="205">
        <f>'3.XT-C TT(CA2)'!S18</f>
        <v>0</v>
      </c>
    </row>
    <row r="159" spans="1:9" ht="21.75" hidden="1" customHeight="1">
      <c r="A159" s="246">
        <v>8</v>
      </c>
      <c r="B159" s="2988" t="s">
        <v>37</v>
      </c>
      <c r="C159" s="2989"/>
      <c r="D159" s="204">
        <f>'3.XT-C TT'!K20</f>
        <v>0</v>
      </c>
      <c r="E159" s="161">
        <f>'3.XT-C TT'!O20</f>
        <v>126.1080000000007</v>
      </c>
      <c r="F159" s="161">
        <f>'3.XT-C TT'!S20</f>
        <v>174.05531250000038</v>
      </c>
      <c r="G159" s="161">
        <f>'3.XT-C TT(CA2)'!K20</f>
        <v>0</v>
      </c>
      <c r="H159" s="161">
        <f>'3.XT-C TT(CA2)'!O20</f>
        <v>0</v>
      </c>
      <c r="I159" s="205">
        <f>'3.XT-C TT(CA2)'!S20</f>
        <v>78.160687499999852</v>
      </c>
    </row>
    <row r="160" spans="1:9" ht="21.75" hidden="1" customHeight="1">
      <c r="A160" s="246">
        <v>9</v>
      </c>
      <c r="B160" s="2991" t="s">
        <v>83</v>
      </c>
      <c r="C160" s="2992"/>
      <c r="D160" s="204">
        <f>'3.XT-C TT'!K21</f>
        <v>57.201374999999985</v>
      </c>
      <c r="E160" s="161">
        <f>'3.XT-C TT'!O21</f>
        <v>71.956499999999977</v>
      </c>
      <c r="F160" s="161">
        <f>'3.XT-C TT'!S21</f>
        <v>57.201374999999985</v>
      </c>
      <c r="G160" s="161">
        <f>'3.XT-C TT(CA2)'!K21</f>
        <v>57.201374999999985</v>
      </c>
      <c r="H160" s="161">
        <f>'3.XT-C TT(CA2)'!O21</f>
        <v>0</v>
      </c>
      <c r="I160" s="205">
        <f>'3.XT-C TT(CA2)'!S21</f>
        <v>57.201374999999985</v>
      </c>
    </row>
    <row r="161" spans="1:9" ht="21.75" hidden="1" customHeight="1">
      <c r="A161" s="246">
        <v>10</v>
      </c>
      <c r="B161" s="2991" t="s">
        <v>113</v>
      </c>
      <c r="C161" s="2992" t="s">
        <v>113</v>
      </c>
      <c r="D161" s="204">
        <f>'3.XT-C TT'!K22</f>
        <v>6.9806622516556294</v>
      </c>
      <c r="E161" s="161">
        <f>'3.XT-C TT'!O22</f>
        <v>6.9806622516556294</v>
      </c>
      <c r="F161" s="161">
        <f>'3.XT-C TT'!S22</f>
        <v>7.3411390728476809</v>
      </c>
      <c r="G161" s="161">
        <f>'3.XT-C TT(CA2)'!K22</f>
        <v>8.0620927152317847</v>
      </c>
      <c r="H161" s="161">
        <f>'3.XT-C TT(CA2)'!O22</f>
        <v>0</v>
      </c>
      <c r="I161" s="205">
        <f>'3.XT-C TT(CA2)'!S22</f>
        <v>8.783046357615893</v>
      </c>
    </row>
    <row r="162" spans="1:9" ht="21.75" hidden="1" customHeight="1" thickBot="1">
      <c r="D162" s="206"/>
      <c r="E162" s="207"/>
      <c r="F162" s="207"/>
      <c r="G162" s="207"/>
      <c r="H162" s="207"/>
      <c r="I162" s="208"/>
    </row>
    <row r="163" spans="1:9" ht="21.75" hidden="1" customHeight="1">
      <c r="D163" s="186"/>
      <c r="E163" s="187"/>
      <c r="F163" s="187"/>
      <c r="G163" s="187"/>
      <c r="H163" s="187"/>
      <c r="I163" s="188"/>
    </row>
    <row r="164" spans="1:9" ht="21.75" hidden="1" customHeight="1">
      <c r="A164" s="1630"/>
      <c r="B164" s="1631"/>
      <c r="C164" s="1650" t="s">
        <v>1406</v>
      </c>
      <c r="D164" s="1651" t="s">
        <v>1413</v>
      </c>
      <c r="E164" s="1652" t="s">
        <v>1414</v>
      </c>
      <c r="F164" s="139"/>
      <c r="G164" s="139"/>
      <c r="H164" s="139"/>
      <c r="I164" s="192"/>
    </row>
    <row r="165" spans="1:9" ht="21.75" hidden="1" customHeight="1">
      <c r="A165" s="1648" t="s">
        <v>1405</v>
      </c>
      <c r="B165" s="1649"/>
      <c r="C165" s="1653"/>
      <c r="D165" s="1654"/>
      <c r="E165" s="1655"/>
      <c r="F165" s="139"/>
      <c r="G165" s="139"/>
      <c r="H165" s="139"/>
      <c r="I165" s="192"/>
    </row>
    <row r="166" spans="1:9" ht="21.75" hidden="1" customHeight="1">
      <c r="A166" s="3128" t="s">
        <v>1400</v>
      </c>
      <c r="B166" s="3129"/>
      <c r="C166" s="1645" t="s">
        <v>231</v>
      </c>
      <c r="D166" s="1656">
        <f>'BS-XT'!AL6</f>
        <v>0</v>
      </c>
      <c r="E166" s="1656">
        <f>'BS-XT'!AM6</f>
        <v>0</v>
      </c>
      <c r="F166" s="139"/>
      <c r="G166" s="139"/>
      <c r="H166" s="139"/>
      <c r="I166" s="192"/>
    </row>
    <row r="167" spans="1:9" ht="21.75" hidden="1" customHeight="1">
      <c r="A167" s="3129"/>
      <c r="B167" s="3129"/>
      <c r="C167" s="1645" t="s">
        <v>232</v>
      </c>
      <c r="D167" s="1656">
        <f>'BS-XT'!AL7</f>
        <v>0</v>
      </c>
      <c r="E167" s="1656">
        <f>'BS-XT'!AM7</f>
        <v>0</v>
      </c>
      <c r="F167" s="139"/>
      <c r="G167" s="139"/>
      <c r="H167" s="139"/>
      <c r="I167" s="192"/>
    </row>
    <row r="168" spans="1:9" ht="21.75" hidden="1" customHeight="1">
      <c r="A168" s="3128" t="s">
        <v>1399</v>
      </c>
      <c r="B168" s="3129"/>
      <c r="C168" s="1645" t="s">
        <v>231</v>
      </c>
      <c r="D168" s="1656">
        <f>'BS-XT'!AL8</f>
        <v>0</v>
      </c>
      <c r="E168" s="1656">
        <f>'BS-XT'!AM8</f>
        <v>0</v>
      </c>
      <c r="F168" s="139"/>
      <c r="G168" s="139"/>
      <c r="H168" s="139"/>
      <c r="I168" s="192"/>
    </row>
    <row r="169" spans="1:9" ht="21.75" hidden="1" customHeight="1">
      <c r="A169" s="3129"/>
      <c r="B169" s="3129"/>
      <c r="C169" s="1645" t="s">
        <v>232</v>
      </c>
      <c r="D169" s="1656">
        <f>'BS-XT'!AL9</f>
        <v>0</v>
      </c>
      <c r="E169" s="1656">
        <f>'BS-XT'!AM9</f>
        <v>0</v>
      </c>
      <c r="F169" s="139"/>
      <c r="G169" s="139"/>
      <c r="H169" s="139"/>
      <c r="I169" s="192"/>
    </row>
    <row r="170" spans="1:9" ht="21.75" hidden="1" customHeight="1">
      <c r="A170" s="3128" t="s">
        <v>1398</v>
      </c>
      <c r="B170" s="3129"/>
      <c r="C170" s="1646" t="s">
        <v>233</v>
      </c>
      <c r="D170" s="1656">
        <f>'BS-XT'!AL10</f>
        <v>0</v>
      </c>
      <c r="E170" s="1656">
        <f>'BS-XT'!AM10</f>
        <v>0</v>
      </c>
      <c r="F170" s="139"/>
      <c r="G170" s="139"/>
      <c r="H170" s="139"/>
      <c r="I170" s="192"/>
    </row>
    <row r="171" spans="1:9" ht="21.75" hidden="1" customHeight="1">
      <c r="A171" s="3129"/>
      <c r="B171" s="3129"/>
      <c r="C171" s="1646" t="s">
        <v>234</v>
      </c>
      <c r="D171" s="1656">
        <f>'BS-XT'!AL11</f>
        <v>0</v>
      </c>
      <c r="E171" s="1656">
        <f>'BS-XT'!AM11</f>
        <v>0</v>
      </c>
      <c r="F171" s="139"/>
      <c r="G171" s="139"/>
      <c r="H171" s="139"/>
      <c r="I171" s="192"/>
    </row>
    <row r="172" spans="1:9" ht="21.75" hidden="1" customHeight="1">
      <c r="A172" s="3128" t="s">
        <v>142</v>
      </c>
      <c r="B172" s="3129"/>
      <c r="C172" s="1646" t="s">
        <v>233</v>
      </c>
      <c r="D172" s="1656">
        <f>'BS-XT'!AL12</f>
        <v>0</v>
      </c>
      <c r="E172" s="1656">
        <f>'BS-XT'!AM12</f>
        <v>0</v>
      </c>
      <c r="F172" s="139"/>
      <c r="G172" s="139"/>
      <c r="H172" s="139"/>
      <c r="I172" s="192"/>
    </row>
    <row r="173" spans="1:9" ht="21.75" hidden="1" customHeight="1">
      <c r="A173" s="3129"/>
      <c r="B173" s="3129"/>
      <c r="C173" s="1646" t="s">
        <v>234</v>
      </c>
      <c r="D173" s="1656">
        <f>'BS-XT'!AL13</f>
        <v>0</v>
      </c>
      <c r="E173" s="1656">
        <f>'BS-XT'!AM13</f>
        <v>0</v>
      </c>
      <c r="F173" s="139"/>
      <c r="G173" s="139"/>
      <c r="H173" s="139"/>
      <c r="I173" s="192"/>
    </row>
    <row r="174" spans="1:9" ht="21.75" hidden="1" customHeight="1">
      <c r="A174" s="2961" t="s">
        <v>1397</v>
      </c>
      <c r="B174" s="3183" t="s">
        <v>1396</v>
      </c>
      <c r="C174" s="3184"/>
      <c r="D174" s="1656">
        <f>'BS-XT'!AL14</f>
        <v>0</v>
      </c>
      <c r="E174" s="1656">
        <f>'BS-XT'!AM14</f>
        <v>0</v>
      </c>
      <c r="F174" s="139"/>
      <c r="G174" s="139"/>
      <c r="H174" s="139"/>
      <c r="I174" s="192"/>
    </row>
    <row r="175" spans="1:9" ht="21.75" hidden="1" customHeight="1">
      <c r="A175" s="3255"/>
      <c r="B175" s="3183" t="s">
        <v>1395</v>
      </c>
      <c r="C175" s="3184"/>
      <c r="D175" s="1656">
        <f>'BS-XT'!AL15</f>
        <v>20.961069999999886</v>
      </c>
      <c r="E175" s="1656">
        <f>'BS-XT'!AM15</f>
        <v>0</v>
      </c>
      <c r="F175" s="139"/>
      <c r="G175" s="139"/>
      <c r="H175" s="139"/>
      <c r="I175" s="192"/>
    </row>
    <row r="176" spans="1:9" ht="21.75" hidden="1" customHeight="1">
      <c r="A176" s="3190" t="s">
        <v>1394</v>
      </c>
      <c r="B176" s="3254"/>
      <c r="C176" s="3254"/>
      <c r="D176" s="1656">
        <f>'BS-XT'!AL16</f>
        <v>0</v>
      </c>
      <c r="E176" s="1656">
        <f>'BS-XT'!AM16</f>
        <v>0</v>
      </c>
      <c r="F176" s="139"/>
      <c r="G176" s="139"/>
      <c r="H176" s="139"/>
      <c r="I176" s="192"/>
    </row>
    <row r="177" spans="1:9" ht="21.75" hidden="1" customHeight="1">
      <c r="A177" s="3171" t="s">
        <v>1393</v>
      </c>
      <c r="B177" s="3172"/>
      <c r="C177" s="3172"/>
      <c r="D177" s="1656">
        <f>'BS-XT'!AL17</f>
        <v>0</v>
      </c>
      <c r="E177" s="1656">
        <f>'BS-XT'!AM17</f>
        <v>0</v>
      </c>
      <c r="F177" s="139"/>
      <c r="G177" s="139"/>
      <c r="H177" s="139"/>
      <c r="I177" s="192"/>
    </row>
    <row r="178" spans="1:9" ht="21.75" hidden="1" customHeight="1">
      <c r="A178" s="3171" t="s">
        <v>1392</v>
      </c>
      <c r="B178" s="3172"/>
      <c r="C178" s="3172"/>
      <c r="D178" s="1656">
        <f>'BS-XT'!AL18</f>
        <v>0</v>
      </c>
      <c r="E178" s="1656">
        <f>'BS-XT'!AM18</f>
        <v>0</v>
      </c>
      <c r="F178" s="139"/>
      <c r="G178" s="139"/>
      <c r="H178" s="139"/>
      <c r="I178" s="192"/>
    </row>
    <row r="179" spans="1:9" ht="21.75" hidden="1" customHeight="1">
      <c r="A179" s="3171" t="s">
        <v>1391</v>
      </c>
      <c r="B179" s="3172"/>
      <c r="C179" s="3172"/>
      <c r="D179" s="1656">
        <f>'BS-XT'!AL19</f>
        <v>378.32400000000098</v>
      </c>
      <c r="E179" s="1656">
        <f>'BS-XT'!AM19</f>
        <v>0</v>
      </c>
      <c r="F179" s="139"/>
      <c r="G179" s="139"/>
      <c r="H179" s="139"/>
      <c r="I179" s="192"/>
    </row>
    <row r="180" spans="1:9" ht="21.75" hidden="1" customHeight="1">
      <c r="A180" s="3171" t="s">
        <v>1390</v>
      </c>
      <c r="B180" s="3172" t="s">
        <v>983</v>
      </c>
      <c r="C180" s="3172" t="s">
        <v>983</v>
      </c>
      <c r="D180" s="1656">
        <f>'BS-XT'!AL20</f>
        <v>300.76199999999994</v>
      </c>
      <c r="E180" s="1656">
        <f>'BS-XT'!AM20</f>
        <v>0</v>
      </c>
      <c r="F180" s="139"/>
      <c r="G180" s="139"/>
      <c r="H180" s="139"/>
      <c r="I180" s="192"/>
    </row>
    <row r="181" spans="1:9" ht="21.75" hidden="1" customHeight="1">
      <c r="A181" s="2877" t="s">
        <v>1389</v>
      </c>
      <c r="B181" s="2878"/>
      <c r="C181" s="2878"/>
      <c r="D181" s="1656">
        <f>'BS-XT'!AL21</f>
        <v>38.147602649006615</v>
      </c>
      <c r="E181" s="1656">
        <f>'BS-XT'!AM21</f>
        <v>0</v>
      </c>
      <c r="F181" s="139"/>
      <c r="G181" s="139"/>
      <c r="H181" s="139"/>
      <c r="I181" s="192"/>
    </row>
    <row r="182" spans="1:9" ht="21.75" hidden="1" customHeight="1">
      <c r="A182" s="3252" t="s">
        <v>1388</v>
      </c>
      <c r="B182" s="3253"/>
      <c r="C182" s="3253"/>
      <c r="D182" s="1656">
        <f>'BS-XT'!AL22</f>
        <v>0</v>
      </c>
      <c r="E182" s="1656">
        <f>'BS-XT'!AM22</f>
        <v>0</v>
      </c>
      <c r="F182" s="139"/>
      <c r="G182" s="139"/>
      <c r="H182" s="139"/>
      <c r="I182" s="192"/>
    </row>
    <row r="183" spans="1:9" ht="21.75" hidden="1" customHeight="1">
      <c r="A183" s="3205" t="s">
        <v>1387</v>
      </c>
      <c r="B183" s="3206"/>
      <c r="C183" s="1647" t="s">
        <v>117</v>
      </c>
      <c r="D183" s="1656">
        <f>'BS-XT'!AL23</f>
        <v>0</v>
      </c>
      <c r="E183" s="1656">
        <f>'BS-XT'!AM23</f>
        <v>0</v>
      </c>
      <c r="F183" s="139"/>
      <c r="G183" s="139"/>
      <c r="H183" s="139"/>
      <c r="I183" s="192"/>
    </row>
    <row r="184" spans="1:9" ht="21.75" hidden="1" customHeight="1">
      <c r="A184" s="3207"/>
      <c r="B184" s="3208"/>
      <c r="C184" s="1647" t="s">
        <v>101</v>
      </c>
      <c r="D184" s="1656">
        <f>'BS-XT'!AL24</f>
        <v>44.799999999999955</v>
      </c>
      <c r="E184" s="1656">
        <f>'BS-XT'!AM24</f>
        <v>15</v>
      </c>
      <c r="F184" s="139"/>
      <c r="G184" s="139"/>
      <c r="H184" s="139"/>
      <c r="I184" s="192"/>
    </row>
    <row r="185" spans="1:9" ht="21.75" hidden="1" customHeight="1">
      <c r="A185" s="3108" t="s">
        <v>1386</v>
      </c>
      <c r="B185" s="3110"/>
      <c r="C185" s="3110"/>
      <c r="D185" s="1656">
        <f>'BS-XT'!AL25</f>
        <v>0</v>
      </c>
      <c r="E185" s="1656">
        <f>'BS-XT'!AM25</f>
        <v>0</v>
      </c>
      <c r="F185" s="139"/>
      <c r="G185" s="139"/>
      <c r="H185" s="139"/>
      <c r="I185" s="192"/>
    </row>
    <row r="186" spans="1:9" ht="21.75" customHeight="1" thickBot="1">
      <c r="D186" s="206"/>
      <c r="E186" s="207"/>
      <c r="F186" s="207"/>
      <c r="G186" s="207"/>
      <c r="H186" s="207"/>
      <c r="I186" s="208"/>
    </row>
  </sheetData>
  <mergeCells count="105">
    <mergeCell ref="C1:F1"/>
    <mergeCell ref="A181:C181"/>
    <mergeCell ref="A182:C182"/>
    <mergeCell ref="A183:B184"/>
    <mergeCell ref="A185:C185"/>
    <mergeCell ref="A176:C176"/>
    <mergeCell ref="A177:C177"/>
    <mergeCell ref="A178:C178"/>
    <mergeCell ref="A179:C179"/>
    <mergeCell ref="A180:C180"/>
    <mergeCell ref="A166:B167"/>
    <mergeCell ref="A168:B169"/>
    <mergeCell ref="A170:B171"/>
    <mergeCell ref="A172:B173"/>
    <mergeCell ref="A174:A175"/>
    <mergeCell ref="B174:C174"/>
    <mergeCell ref="B175:C175"/>
    <mergeCell ref="B161:C161"/>
    <mergeCell ref="A150:A151"/>
    <mergeCell ref="B150:B151"/>
    <mergeCell ref="A152:A153"/>
    <mergeCell ref="B152:B153"/>
    <mergeCell ref="A154:A155"/>
    <mergeCell ref="B154:B155"/>
    <mergeCell ref="A156:A157"/>
    <mergeCell ref="B156:C157"/>
    <mergeCell ref="B158:C158"/>
    <mergeCell ref="B159:C159"/>
    <mergeCell ref="B160:C160"/>
    <mergeCell ref="B142:C142"/>
    <mergeCell ref="B143:C143"/>
    <mergeCell ref="A146:A147"/>
    <mergeCell ref="B146:B147"/>
    <mergeCell ref="A148:A149"/>
    <mergeCell ref="B148:B149"/>
    <mergeCell ref="B139:C139"/>
    <mergeCell ref="B126:C126"/>
    <mergeCell ref="B127:C127"/>
    <mergeCell ref="B128:C128"/>
    <mergeCell ref="B129:C129"/>
    <mergeCell ref="B132:C132"/>
    <mergeCell ref="B133:C133"/>
    <mergeCell ref="B134:C134"/>
    <mergeCell ref="B135:C135"/>
    <mergeCell ref="B136:C136"/>
    <mergeCell ref="B137:C137"/>
    <mergeCell ref="B138:C138"/>
    <mergeCell ref="A120:A121"/>
    <mergeCell ref="B120:B121"/>
    <mergeCell ref="A122:A123"/>
    <mergeCell ref="B122:B123"/>
    <mergeCell ref="A124:A125"/>
    <mergeCell ref="B124:C125"/>
    <mergeCell ref="A114:A115"/>
    <mergeCell ref="B114:B115"/>
    <mergeCell ref="A116:A117"/>
    <mergeCell ref="B116:B117"/>
    <mergeCell ref="A118:A119"/>
    <mergeCell ref="B118:B119"/>
    <mergeCell ref="B53:C53"/>
    <mergeCell ref="B54:C54"/>
    <mergeCell ref="B55:C55"/>
    <mergeCell ref="B56:C56"/>
    <mergeCell ref="A47:A48"/>
    <mergeCell ref="B47:B48"/>
    <mergeCell ref="A49:A50"/>
    <mergeCell ref="B49:B50"/>
    <mergeCell ref="A51:A52"/>
    <mergeCell ref="B51:C52"/>
    <mergeCell ref="A39:A41"/>
    <mergeCell ref="B39:B41"/>
    <mergeCell ref="A42:A44"/>
    <mergeCell ref="B42:B44"/>
    <mergeCell ref="A45:A46"/>
    <mergeCell ref="B45:B46"/>
    <mergeCell ref="B36:C36"/>
    <mergeCell ref="B25:C25"/>
    <mergeCell ref="B26:C26"/>
    <mergeCell ref="B27:C27"/>
    <mergeCell ref="B28:C28"/>
    <mergeCell ref="B29:C29"/>
    <mergeCell ref="B30:C30"/>
    <mergeCell ref="B31:C31"/>
    <mergeCell ref="B32:C32"/>
    <mergeCell ref="A33:C33"/>
    <mergeCell ref="B34:C34"/>
    <mergeCell ref="B35:C35"/>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s>
  <phoneticPr fontId="7" type="noConversion"/>
  <pageMargins left="0.7" right="0.7" top="0.75" bottom="0.75" header="0.3" footer="0.3"/>
  <pageSetup paperSize="9" orientation="portrait" verticalDpi="0" r:id="rId1"/>
  <drawing r:id="rId2"/>
</worksheet>
</file>

<file path=xl/worksheets/sheet29.xml><?xml version="1.0" encoding="utf-8"?>
<worksheet xmlns="http://schemas.openxmlformats.org/spreadsheetml/2006/main" xmlns:r="http://schemas.openxmlformats.org/officeDocument/2006/relationships">
  <sheetPr>
    <tabColor rgb="FFFF0000"/>
  </sheetPr>
  <dimension ref="A1:AN25"/>
  <sheetViews>
    <sheetView showGridLines="0" zoomScale="70" zoomScaleNormal="70" workbookViewId="0"/>
  </sheetViews>
  <sheetFormatPr defaultRowHeight="16.5"/>
  <cols>
    <col min="1" max="1" width="5" style="8" customWidth="1"/>
    <col min="2" max="2" width="11.25" style="31" customWidth="1"/>
    <col min="3" max="3" width="3.375" style="31" customWidth="1"/>
    <col min="4" max="4" width="11" style="31" customWidth="1"/>
    <col min="5" max="5" width="5.5" style="31" customWidth="1"/>
    <col min="6" max="6" width="6.375" style="31" customWidth="1"/>
    <col min="7" max="7" width="9.25" style="7" customWidth="1"/>
    <col min="8" max="8" width="9.25" style="1760" customWidth="1"/>
    <col min="9" max="9" width="9.25" style="1753" customWidth="1"/>
    <col min="10" max="12" width="9.25" style="7" customWidth="1"/>
    <col min="13" max="13" width="9.25" style="1760" customWidth="1"/>
    <col min="14" max="14" width="9.25" style="1753" customWidth="1"/>
    <col min="15" max="17" width="9.25" style="7" customWidth="1"/>
    <col min="18" max="18" width="9.25" style="1760" customWidth="1"/>
    <col min="19" max="19" width="9.25" style="1753" customWidth="1"/>
    <col min="20" max="21" width="9.25" style="8" customWidth="1"/>
    <col min="22" max="22" width="9.25" style="7" customWidth="1"/>
    <col min="23" max="23" width="9.25" style="1760" customWidth="1"/>
    <col min="24" max="24" width="9.25" style="1753" customWidth="1"/>
    <col min="25" max="27" width="9.25" style="7" customWidth="1"/>
    <col min="28" max="28" width="9.25" style="1760" customWidth="1"/>
    <col min="29" max="29" width="9.25" style="1753" customWidth="1"/>
    <col min="30" max="32" width="9.25" style="7" customWidth="1"/>
    <col min="33" max="33" width="9.25" style="1760" customWidth="1"/>
    <col min="34" max="34" width="9.25" style="1753" customWidth="1"/>
    <col min="35" max="36" width="9.25" style="8" customWidth="1"/>
    <col min="37" max="37" width="5.375" style="65" customWidth="1"/>
    <col min="38" max="38" width="12.625" style="1626" customWidth="1"/>
    <col min="39" max="39" width="8.125" style="1626" customWidth="1"/>
    <col min="40" max="16384" width="9" style="8"/>
  </cols>
  <sheetData>
    <row r="1" spans="1:39" ht="28.5" customHeight="1">
      <c r="A1" s="1632" t="s">
        <v>136</v>
      </c>
      <c r="B1" s="1632"/>
      <c r="C1" s="1632"/>
      <c r="D1" s="1632"/>
      <c r="E1" s="1632"/>
      <c r="F1" s="1632"/>
      <c r="G1" s="1632"/>
      <c r="H1" s="1754"/>
      <c r="I1" s="1747"/>
      <c r="J1" s="1745"/>
      <c r="K1" s="1632"/>
      <c r="L1" s="1632"/>
      <c r="M1" s="1754"/>
      <c r="N1" s="1747"/>
      <c r="O1" s="1632"/>
      <c r="P1" s="1632"/>
      <c r="Q1" s="1632"/>
      <c r="R1" s="1754"/>
      <c r="S1" s="1747"/>
      <c r="T1" s="1632"/>
      <c r="U1" s="1632"/>
      <c r="V1" s="1632"/>
      <c r="W1" s="1754"/>
      <c r="X1" s="1747"/>
      <c r="Y1" s="1632"/>
      <c r="Z1" s="1632"/>
      <c r="AA1" s="1632"/>
      <c r="AB1" s="1754"/>
      <c r="AC1" s="1747"/>
      <c r="AD1" s="1632"/>
      <c r="AE1" s="1632"/>
      <c r="AF1" s="1632"/>
      <c r="AG1" s="1754"/>
      <c r="AH1" s="1747"/>
      <c r="AI1" s="1632"/>
      <c r="AJ1" s="1632"/>
      <c r="AK1" s="1622"/>
    </row>
    <row r="2" spans="1:39" ht="21" customHeight="1">
      <c r="A2" s="1633" t="s">
        <v>1407</v>
      </c>
      <c r="B2" s="1633"/>
      <c r="C2" s="1633"/>
      <c r="D2" s="1633"/>
      <c r="E2" s="1633"/>
      <c r="F2" s="1633"/>
      <c r="G2" s="1633"/>
      <c r="H2" s="1755"/>
      <c r="I2" s="1748"/>
      <c r="J2" s="1746"/>
      <c r="K2" s="1633"/>
      <c r="L2" s="1633"/>
      <c r="M2" s="1755"/>
      <c r="N2" s="1748"/>
      <c r="O2" s="1633"/>
      <c r="P2" s="1633"/>
      <c r="Q2" s="1633"/>
      <c r="R2" s="1755"/>
      <c r="S2" s="1748"/>
      <c r="T2" s="1633"/>
      <c r="U2" s="1633"/>
      <c r="V2" s="1633"/>
      <c r="W2" s="1755"/>
      <c r="X2" s="1748"/>
      <c r="Y2" s="1633"/>
      <c r="Z2" s="1633"/>
      <c r="AA2" s="1633"/>
      <c r="AB2" s="1755"/>
      <c r="AC2" s="1748"/>
      <c r="AD2" s="1633"/>
      <c r="AE2" s="1633"/>
      <c r="AF2" s="1633"/>
      <c r="AG2" s="1755"/>
      <c r="AH2" s="1748"/>
      <c r="AI2" s="1633"/>
      <c r="AJ2" s="1633"/>
      <c r="AK2" s="1620"/>
    </row>
    <row r="3" spans="1:39" ht="24.75" customHeight="1">
      <c r="A3" s="1618"/>
      <c r="B3" s="3269" t="str">
        <f>MENU!AD9</f>
        <v>2024/01/09</v>
      </c>
      <c r="C3" s="3269"/>
      <c r="D3" s="3269"/>
      <c r="E3" s="3269"/>
      <c r="F3" s="1619"/>
      <c r="H3" s="1762"/>
      <c r="I3" s="1617"/>
      <c r="J3" s="29"/>
      <c r="K3" s="29"/>
      <c r="L3" s="29"/>
      <c r="M3" s="1761"/>
      <c r="N3" s="1750"/>
      <c r="O3" s="29"/>
      <c r="P3" s="29"/>
      <c r="Q3" s="1616"/>
      <c r="R3" s="1756"/>
      <c r="W3" s="1762"/>
      <c r="X3" s="1749"/>
      <c r="Y3" s="29"/>
      <c r="Z3" s="29"/>
      <c r="AA3" s="29"/>
      <c r="AB3" s="1761"/>
      <c r="AC3" s="1750"/>
      <c r="AD3" s="29"/>
      <c r="AE3" s="29"/>
      <c r="AF3" s="1616"/>
      <c r="AG3" s="1756"/>
    </row>
    <row r="4" spans="1:39" s="65" customFormat="1" ht="24.75" customHeight="1">
      <c r="A4" s="3263" t="s">
        <v>7</v>
      </c>
      <c r="B4" s="1630"/>
      <c r="C4" s="1631"/>
      <c r="D4" s="3266" t="s">
        <v>1406</v>
      </c>
      <c r="E4" s="3128" t="s">
        <v>1409</v>
      </c>
      <c r="F4" s="3128" t="s">
        <v>1410</v>
      </c>
      <c r="G4" s="2903">
        <v>0.26041666666666669</v>
      </c>
      <c r="H4" s="2937"/>
      <c r="I4" s="2937"/>
      <c r="J4" s="2937"/>
      <c r="K4" s="3105"/>
      <c r="L4" s="2903">
        <v>0.42708333333333331</v>
      </c>
      <c r="M4" s="2937"/>
      <c r="N4" s="2937"/>
      <c r="O4" s="2937"/>
      <c r="P4" s="2937"/>
      <c r="Q4" s="3268">
        <v>0.59375</v>
      </c>
      <c r="R4" s="3268"/>
      <c r="S4" s="3268"/>
      <c r="T4" s="3268"/>
      <c r="U4" s="3268"/>
      <c r="V4" s="2903">
        <v>0.76041666666666663</v>
      </c>
      <c r="W4" s="2937"/>
      <c r="X4" s="2937"/>
      <c r="Y4" s="2937"/>
      <c r="Z4" s="3105"/>
      <c r="AA4" s="2903">
        <v>0.92708333333333337</v>
      </c>
      <c r="AB4" s="2937"/>
      <c r="AC4" s="2937"/>
      <c r="AD4" s="2937"/>
      <c r="AE4" s="2937"/>
      <c r="AF4" s="3268">
        <v>9.375E-2</v>
      </c>
      <c r="AG4" s="3268"/>
      <c r="AH4" s="3268"/>
      <c r="AI4" s="3268"/>
      <c r="AJ4" s="3268"/>
      <c r="AK4" s="1621"/>
      <c r="AL4" s="1627"/>
      <c r="AM4" s="1627"/>
    </row>
    <row r="5" spans="1:39" s="65" customFormat="1" ht="87" customHeight="1">
      <c r="A5" s="3263"/>
      <c r="B5" s="3264" t="s">
        <v>1405</v>
      </c>
      <c r="C5" s="3265"/>
      <c r="D5" s="3267"/>
      <c r="E5" s="3128"/>
      <c r="F5" s="3128"/>
      <c r="G5" s="1613" t="s">
        <v>1404</v>
      </c>
      <c r="H5" s="1757" t="s">
        <v>1412</v>
      </c>
      <c r="I5" s="1751" t="s">
        <v>1403</v>
      </c>
      <c r="J5" s="1615" t="s">
        <v>1402</v>
      </c>
      <c r="K5" s="1614" t="s">
        <v>1401</v>
      </c>
      <c r="L5" s="1613" t="s">
        <v>1404</v>
      </c>
      <c r="M5" s="1757" t="s">
        <v>1412</v>
      </c>
      <c r="N5" s="1751" t="s">
        <v>1403</v>
      </c>
      <c r="O5" s="1615" t="s">
        <v>1402</v>
      </c>
      <c r="P5" s="1614" t="s">
        <v>1401</v>
      </c>
      <c r="Q5" s="1613" t="s">
        <v>1404</v>
      </c>
      <c r="R5" s="1757" t="s">
        <v>1412</v>
      </c>
      <c r="S5" s="1751" t="s">
        <v>1403</v>
      </c>
      <c r="T5" s="1615" t="s">
        <v>1402</v>
      </c>
      <c r="U5" s="1614" t="s">
        <v>1401</v>
      </c>
      <c r="V5" s="1613" t="s">
        <v>1404</v>
      </c>
      <c r="W5" s="1757" t="s">
        <v>1412</v>
      </c>
      <c r="X5" s="1751" t="s">
        <v>1403</v>
      </c>
      <c r="Y5" s="1615" t="s">
        <v>1402</v>
      </c>
      <c r="Z5" s="1614" t="s">
        <v>1401</v>
      </c>
      <c r="AA5" s="1613" t="s">
        <v>1404</v>
      </c>
      <c r="AB5" s="1757" t="s">
        <v>1412</v>
      </c>
      <c r="AC5" s="1751" t="s">
        <v>1403</v>
      </c>
      <c r="AD5" s="1615" t="s">
        <v>1402</v>
      </c>
      <c r="AE5" s="1614" t="s">
        <v>1401</v>
      </c>
      <c r="AF5" s="1613" t="s">
        <v>1404</v>
      </c>
      <c r="AG5" s="1757" t="s">
        <v>1412</v>
      </c>
      <c r="AH5" s="1751" t="s">
        <v>1403</v>
      </c>
      <c r="AI5" s="1615" t="s">
        <v>1402</v>
      </c>
      <c r="AJ5" s="1614" t="s">
        <v>1401</v>
      </c>
      <c r="AK5" s="1623"/>
      <c r="AL5" s="1629" t="s">
        <v>1413</v>
      </c>
      <c r="AM5" s="1629" t="s">
        <v>1414</v>
      </c>
    </row>
    <row r="6" spans="1:39" ht="23.25" customHeight="1">
      <c r="A6" s="1539">
        <v>1</v>
      </c>
      <c r="B6" s="3128" t="s">
        <v>1400</v>
      </c>
      <c r="C6" s="3129"/>
      <c r="D6" s="1608" t="s">
        <v>231</v>
      </c>
      <c r="E6" s="1607" t="s">
        <v>4</v>
      </c>
      <c r="F6" s="1608" t="s">
        <v>1309</v>
      </c>
      <c r="G6" s="1735">
        <f>'3.XT-C TT'!I6</f>
        <v>52.569000000000003</v>
      </c>
      <c r="H6" s="1758">
        <f>'3.XT-C TT'!K6</f>
        <v>0</v>
      </c>
      <c r="I6" s="1752">
        <f>'3.XT-C TT'!AB6</f>
        <v>0</v>
      </c>
      <c r="J6" s="1735">
        <f>'3.XT-C TT'!AD6</f>
        <v>0</v>
      </c>
      <c r="K6" s="1611"/>
      <c r="L6" s="1735">
        <f>'3.XT-C TT'!M6</f>
        <v>51.92</v>
      </c>
      <c r="M6" s="1758">
        <f>'3.XT-C TT'!O6</f>
        <v>0</v>
      </c>
      <c r="N6" s="1752">
        <f>'3.XT-C TT'!AF6</f>
        <v>0</v>
      </c>
      <c r="O6" s="1735">
        <f>'3.XT-C TT'!AH6</f>
        <v>0</v>
      </c>
      <c r="P6" s="1611"/>
      <c r="Q6" s="1735">
        <f>'3.XT-C TT'!Q6</f>
        <v>51.595500000000001</v>
      </c>
      <c r="R6" s="1758">
        <f>'3.XT-C TT'!S6</f>
        <v>0</v>
      </c>
      <c r="S6" s="1752">
        <f>'3.XT-C TT'!AJ6</f>
        <v>0</v>
      </c>
      <c r="T6" s="1735">
        <f>'3.XT-C TT'!AL6</f>
        <v>0</v>
      </c>
      <c r="U6" s="1611"/>
      <c r="V6" s="1735">
        <f>'3.XT-C TT(CA2)'!I6</f>
        <v>51.92</v>
      </c>
      <c r="W6" s="1758">
        <f>'3.XT-C TT(CA2)'!K6</f>
        <v>0</v>
      </c>
      <c r="X6" s="1752">
        <f>'3.XT-C TT(CA2)'!AB6</f>
        <v>0</v>
      </c>
      <c r="Y6" s="1735">
        <f>'3.XT-C TT(CA2)'!AD6</f>
        <v>0</v>
      </c>
      <c r="Z6" s="1735"/>
      <c r="AA6" s="1735">
        <f>'3.XT-C TT(CA2)'!M6</f>
        <v>0</v>
      </c>
      <c r="AB6" s="1758">
        <f>'3.XT-C TT(CA2)'!O6</f>
        <v>0</v>
      </c>
      <c r="AC6" s="1752">
        <f>'3.XT-C TT(CA2)'!AF6</f>
        <v>0</v>
      </c>
      <c r="AD6" s="1735">
        <f>'3.XT-C TT(CA2)'!AH6</f>
        <v>0</v>
      </c>
      <c r="AE6" s="1735"/>
      <c r="AF6" s="1735">
        <f>'3.XT-C TT(CA2)'!Q6</f>
        <v>51.92</v>
      </c>
      <c r="AG6" s="1758">
        <f>'3.XT-C TT(CA2)'!S6</f>
        <v>0</v>
      </c>
      <c r="AH6" s="1752">
        <f>'3.XT-C TT(CA2)'!AJ6</f>
        <v>0</v>
      </c>
      <c r="AI6" s="1735">
        <f>'3.XT-C TT(CA2)'!AL6</f>
        <v>0</v>
      </c>
      <c r="AJ6" s="1611"/>
      <c r="AK6" s="1624"/>
      <c r="AL6" s="1628">
        <f>H6+M6+R6+W6+AB6+AG6</f>
        <v>0</v>
      </c>
      <c r="AM6" s="1628">
        <f>I6+N6+S6+X6+AC6+AH6</f>
        <v>0</v>
      </c>
    </row>
    <row r="7" spans="1:39" ht="23.25" customHeight="1">
      <c r="A7" s="1539">
        <v>2</v>
      </c>
      <c r="B7" s="3129"/>
      <c r="C7" s="3129"/>
      <c r="D7" s="1608" t="s">
        <v>232</v>
      </c>
      <c r="E7" s="1041"/>
      <c r="F7" s="1608" t="s">
        <v>10</v>
      </c>
      <c r="G7" s="1735">
        <f>'3.XT-C TT'!I7</f>
        <v>0</v>
      </c>
      <c r="H7" s="1758">
        <f>'3.XT-C TT'!K7</f>
        <v>0</v>
      </c>
      <c r="I7" s="1752">
        <f>'3.XT-C TT'!AB7</f>
        <v>0</v>
      </c>
      <c r="J7" s="1735">
        <f>'3.XT-C TT'!AD7</f>
        <v>0</v>
      </c>
      <c r="K7" s="1611"/>
      <c r="L7" s="1735">
        <f>'3.XT-C TT'!M7</f>
        <v>0</v>
      </c>
      <c r="M7" s="1758">
        <f>'3.XT-C TT'!O7</f>
        <v>0</v>
      </c>
      <c r="N7" s="1752">
        <f>'3.XT-C TT'!AF7</f>
        <v>0</v>
      </c>
      <c r="O7" s="1735">
        <f>'3.XT-C TT'!AH7</f>
        <v>0</v>
      </c>
      <c r="P7" s="1611"/>
      <c r="Q7" s="1735">
        <f>'3.XT-C TT'!Q7</f>
        <v>0</v>
      </c>
      <c r="R7" s="1758">
        <f>'3.XT-C TT'!S7</f>
        <v>0</v>
      </c>
      <c r="S7" s="1752">
        <f>'3.XT-C TT'!AJ7</f>
        <v>0</v>
      </c>
      <c r="T7" s="1735">
        <f>'3.XT-C TT'!AL7</f>
        <v>0</v>
      </c>
      <c r="U7" s="1611"/>
      <c r="V7" s="1735">
        <f>'3.XT-C TT(CA2)'!I7</f>
        <v>0</v>
      </c>
      <c r="W7" s="1758">
        <f>'3.XT-C TT(CA2)'!K7</f>
        <v>0</v>
      </c>
      <c r="X7" s="1752">
        <f>'3.XT-C TT(CA2)'!AB7</f>
        <v>0</v>
      </c>
      <c r="Y7" s="1735">
        <f>'3.XT-C TT(CA2)'!AD7</f>
        <v>0</v>
      </c>
      <c r="Z7" s="1735"/>
      <c r="AA7" s="1735">
        <f>'3.XT-C TT(CA2)'!M7</f>
        <v>0</v>
      </c>
      <c r="AB7" s="1758">
        <f>'3.XT-C TT(CA2)'!O7</f>
        <v>0</v>
      </c>
      <c r="AC7" s="1752">
        <f>'3.XT-C TT(CA2)'!AF7</f>
        <v>0</v>
      </c>
      <c r="AD7" s="1735">
        <f>'3.XT-C TT(CA2)'!AH7</f>
        <v>0</v>
      </c>
      <c r="AE7" s="1735"/>
      <c r="AF7" s="1735">
        <f>'3.XT-C TT(CA2)'!Q7</f>
        <v>0</v>
      </c>
      <c r="AG7" s="1758">
        <f>'3.XT-C TT(CA2)'!S7</f>
        <v>0</v>
      </c>
      <c r="AH7" s="1752">
        <f>'3.XT-C TT(CA2)'!AJ7</f>
        <v>0</v>
      </c>
      <c r="AI7" s="1735">
        <f>'3.XT-C TT(CA2)'!AL7</f>
        <v>0</v>
      </c>
      <c r="AJ7" s="1611"/>
      <c r="AK7" s="1624"/>
      <c r="AL7" s="1628">
        <f t="shared" ref="AL7:AL22" si="0">H7+M7+R7+W7+AB7+AG7</f>
        <v>0</v>
      </c>
      <c r="AM7" s="1628">
        <f t="shared" ref="AM7:AM22" si="1">I7+N7+S7+X7+AC7+AH7</f>
        <v>0</v>
      </c>
    </row>
    <row r="8" spans="1:39" ht="23.25" customHeight="1">
      <c r="A8" s="1539">
        <v>3</v>
      </c>
      <c r="B8" s="3128" t="s">
        <v>1399</v>
      </c>
      <c r="C8" s="3129"/>
      <c r="D8" s="1608" t="s">
        <v>231</v>
      </c>
      <c r="E8" s="1607" t="s">
        <v>4</v>
      </c>
      <c r="F8" s="1608" t="s">
        <v>1309</v>
      </c>
      <c r="G8" s="1735">
        <f>'3.XT-C TT'!I8</f>
        <v>50.297499999999999</v>
      </c>
      <c r="H8" s="1758">
        <f>'3.XT-C TT'!K8</f>
        <v>0</v>
      </c>
      <c r="I8" s="1752">
        <f>'3.XT-C TT'!AB8</f>
        <v>0</v>
      </c>
      <c r="J8" s="1735">
        <f>'3.XT-C TT'!AD8</f>
        <v>0</v>
      </c>
      <c r="K8" s="1611"/>
      <c r="L8" s="1735">
        <f>'3.XT-C TT'!M8</f>
        <v>50.297499999999999</v>
      </c>
      <c r="M8" s="1758">
        <f>'3.XT-C TT'!O8</f>
        <v>0</v>
      </c>
      <c r="N8" s="1752">
        <f>'3.XT-C TT'!AF8</f>
        <v>0</v>
      </c>
      <c r="O8" s="1735">
        <f>'3.XT-C TT'!AH8</f>
        <v>0</v>
      </c>
      <c r="P8" s="1611"/>
      <c r="Q8" s="1735">
        <f>'3.XT-C TT'!Q8</f>
        <v>50.297499999999999</v>
      </c>
      <c r="R8" s="1758">
        <f>'3.XT-C TT'!S8</f>
        <v>0</v>
      </c>
      <c r="S8" s="1752">
        <f>'3.XT-C TT'!AJ8</f>
        <v>0</v>
      </c>
      <c r="T8" s="1735">
        <f>'3.XT-C TT'!AL8</f>
        <v>0</v>
      </c>
      <c r="U8" s="1611"/>
      <c r="V8" s="1735">
        <f>'3.XT-C TT(CA2)'!I8</f>
        <v>50.622</v>
      </c>
      <c r="W8" s="1758">
        <f>'3.XT-C TT(CA2)'!K8</f>
        <v>0</v>
      </c>
      <c r="X8" s="1752">
        <f>'3.XT-C TT(CA2)'!AB8</f>
        <v>0</v>
      </c>
      <c r="Y8" s="1735">
        <f>'3.XT-C TT(CA2)'!AD8</f>
        <v>0</v>
      </c>
      <c r="Z8" s="1735"/>
      <c r="AA8" s="1735">
        <f>'3.XT-C TT(CA2)'!M8</f>
        <v>0</v>
      </c>
      <c r="AB8" s="1758">
        <f>'3.XT-C TT(CA2)'!O8</f>
        <v>0</v>
      </c>
      <c r="AC8" s="1752">
        <f>'3.XT-C TT(CA2)'!AF8</f>
        <v>0</v>
      </c>
      <c r="AD8" s="1735">
        <f>'3.XT-C TT(CA2)'!AH8</f>
        <v>0</v>
      </c>
      <c r="AE8" s="1735"/>
      <c r="AF8" s="1735">
        <f>'3.XT-C TT(CA2)'!Q8</f>
        <v>51.271000000000001</v>
      </c>
      <c r="AG8" s="1758">
        <f>'3.XT-C TT(CA2)'!S8</f>
        <v>0</v>
      </c>
      <c r="AH8" s="1752">
        <f>'3.XT-C TT(CA2)'!AJ8</f>
        <v>0</v>
      </c>
      <c r="AI8" s="1735">
        <f>'3.XT-C TT(CA2)'!AL8</f>
        <v>0</v>
      </c>
      <c r="AJ8" s="1611"/>
      <c r="AK8" s="1624"/>
      <c r="AL8" s="1628">
        <f t="shared" si="0"/>
        <v>0</v>
      </c>
      <c r="AM8" s="1628">
        <f t="shared" si="1"/>
        <v>0</v>
      </c>
    </row>
    <row r="9" spans="1:39" ht="23.25" customHeight="1">
      <c r="A9" s="1539">
        <v>4</v>
      </c>
      <c r="B9" s="3129"/>
      <c r="C9" s="3129"/>
      <c r="D9" s="1608" t="s">
        <v>232</v>
      </c>
      <c r="E9" s="1041"/>
      <c r="F9" s="1608" t="s">
        <v>10</v>
      </c>
      <c r="G9" s="1735">
        <f>'3.XT-C TT'!I9</f>
        <v>0</v>
      </c>
      <c r="H9" s="1758">
        <f>'3.XT-C TT'!K9</f>
        <v>0</v>
      </c>
      <c r="I9" s="1752">
        <f>'3.XT-C TT'!AB9</f>
        <v>0</v>
      </c>
      <c r="J9" s="1735">
        <f>'3.XT-C TT'!AD9</f>
        <v>0</v>
      </c>
      <c r="K9" s="1611"/>
      <c r="L9" s="1735">
        <f>'3.XT-C TT'!M9</f>
        <v>0</v>
      </c>
      <c r="M9" s="1758">
        <f>'3.XT-C TT'!O9</f>
        <v>0</v>
      </c>
      <c r="N9" s="1752">
        <f>'3.XT-C TT'!AF9</f>
        <v>0</v>
      </c>
      <c r="O9" s="1735">
        <f>'3.XT-C TT'!AH9</f>
        <v>0</v>
      </c>
      <c r="P9" s="1611"/>
      <c r="Q9" s="1735">
        <f>'3.XT-C TT'!Q9</f>
        <v>0</v>
      </c>
      <c r="R9" s="1758">
        <f>'3.XT-C TT'!S9</f>
        <v>0</v>
      </c>
      <c r="S9" s="1752">
        <f>'3.XT-C TT'!AJ9</f>
        <v>0</v>
      </c>
      <c r="T9" s="1735">
        <f>'3.XT-C TT'!AL9</f>
        <v>0</v>
      </c>
      <c r="U9" s="1611"/>
      <c r="V9" s="1735">
        <f>'3.XT-C TT(CA2)'!I9</f>
        <v>0</v>
      </c>
      <c r="W9" s="1758">
        <f>'3.XT-C TT(CA2)'!K9</f>
        <v>0</v>
      </c>
      <c r="X9" s="1752">
        <f>'3.XT-C TT(CA2)'!AB9</f>
        <v>0</v>
      </c>
      <c r="Y9" s="1735">
        <f>'3.XT-C TT(CA2)'!AD9</f>
        <v>0</v>
      </c>
      <c r="Z9" s="1735"/>
      <c r="AA9" s="1735">
        <f>'3.XT-C TT(CA2)'!M9</f>
        <v>0</v>
      </c>
      <c r="AB9" s="1758">
        <f>'3.XT-C TT(CA2)'!O9</f>
        <v>0</v>
      </c>
      <c r="AC9" s="1752">
        <f>'3.XT-C TT(CA2)'!AF9</f>
        <v>0</v>
      </c>
      <c r="AD9" s="1735">
        <f>'3.XT-C TT(CA2)'!AH9</f>
        <v>0</v>
      </c>
      <c r="AE9" s="1735"/>
      <c r="AF9" s="1735">
        <f>'3.XT-C TT(CA2)'!Q9</f>
        <v>0</v>
      </c>
      <c r="AG9" s="1758">
        <f>'3.XT-C TT(CA2)'!S9</f>
        <v>0</v>
      </c>
      <c r="AH9" s="1752">
        <f>'3.XT-C TT(CA2)'!AJ9</f>
        <v>0</v>
      </c>
      <c r="AI9" s="1735">
        <f>'3.XT-C TT(CA2)'!AL9</f>
        <v>0</v>
      </c>
      <c r="AJ9" s="1611"/>
      <c r="AK9" s="1624"/>
      <c r="AL9" s="1628">
        <f t="shared" si="0"/>
        <v>0</v>
      </c>
      <c r="AM9" s="1628">
        <f t="shared" si="1"/>
        <v>0</v>
      </c>
    </row>
    <row r="10" spans="1:39" ht="23.25" customHeight="1">
      <c r="A10" s="1539">
        <v>5</v>
      </c>
      <c r="B10" s="3128" t="s">
        <v>1398</v>
      </c>
      <c r="C10" s="3129"/>
      <c r="D10" s="1609" t="s">
        <v>233</v>
      </c>
      <c r="E10" s="1607" t="s">
        <v>4</v>
      </c>
      <c r="F10" s="1608" t="s">
        <v>1309</v>
      </c>
      <c r="G10" s="1735">
        <f>'3.XT-C TT'!I10</f>
        <v>63.524999999999999</v>
      </c>
      <c r="H10" s="1758">
        <f>'3.XT-C TT'!K10</f>
        <v>0</v>
      </c>
      <c r="I10" s="1752">
        <f>'3.XT-C TT'!AB10</f>
        <v>0</v>
      </c>
      <c r="J10" s="1735">
        <f>'3.XT-C TT'!AD10</f>
        <v>0</v>
      </c>
      <c r="K10" s="1611"/>
      <c r="L10" s="1735">
        <f>'3.XT-C TT'!M10</f>
        <v>63.293999999999997</v>
      </c>
      <c r="M10" s="1758">
        <f>'3.XT-C TT'!O10</f>
        <v>0</v>
      </c>
      <c r="N10" s="1752">
        <f>'3.XT-C TT'!AF10</f>
        <v>0</v>
      </c>
      <c r="O10" s="1735">
        <f>'3.XT-C TT'!AH10</f>
        <v>0</v>
      </c>
      <c r="P10" s="1611"/>
      <c r="Q10" s="1735">
        <f>'3.XT-C TT'!Q10</f>
        <v>61.908000000000001</v>
      </c>
      <c r="R10" s="1758">
        <f>'3.XT-C TT'!S10</f>
        <v>0</v>
      </c>
      <c r="S10" s="1752">
        <f>'3.XT-C TT'!AJ10</f>
        <v>0</v>
      </c>
      <c r="T10" s="1735">
        <f>'3.XT-C TT'!AL10</f>
        <v>0</v>
      </c>
      <c r="U10" s="1611"/>
      <c r="V10" s="1735">
        <f>'3.XT-C TT(CA2)'!I10</f>
        <v>61.908000000000001</v>
      </c>
      <c r="W10" s="1758">
        <f>'3.XT-C TT(CA2)'!K10</f>
        <v>0</v>
      </c>
      <c r="X10" s="1752">
        <f>'3.XT-C TT(CA2)'!AB10</f>
        <v>0</v>
      </c>
      <c r="Y10" s="1735">
        <f>'3.XT-C TT(CA2)'!AD10</f>
        <v>0</v>
      </c>
      <c r="Z10" s="1735"/>
      <c r="AA10" s="1735">
        <f>'3.XT-C TT(CA2)'!M10</f>
        <v>0</v>
      </c>
      <c r="AB10" s="1758">
        <f>'3.XT-C TT(CA2)'!O10</f>
        <v>0</v>
      </c>
      <c r="AC10" s="1752">
        <f>'3.XT-C TT(CA2)'!AF10</f>
        <v>0</v>
      </c>
      <c r="AD10" s="1735">
        <f>'3.XT-C TT(CA2)'!AH10</f>
        <v>0</v>
      </c>
      <c r="AE10" s="1735"/>
      <c r="AF10" s="1735">
        <f>'3.XT-C TT(CA2)'!Q10</f>
        <v>61.446000000000005</v>
      </c>
      <c r="AG10" s="1758">
        <f>'3.XT-C TT(CA2)'!S10</f>
        <v>0</v>
      </c>
      <c r="AH10" s="1752">
        <f>'3.XT-C TT(CA2)'!AJ10</f>
        <v>0</v>
      </c>
      <c r="AI10" s="1735">
        <f>'3.XT-C TT(CA2)'!AL10</f>
        <v>0</v>
      </c>
      <c r="AJ10" s="1611"/>
      <c r="AK10" s="1624"/>
      <c r="AL10" s="1628">
        <f t="shared" si="0"/>
        <v>0</v>
      </c>
      <c r="AM10" s="1628">
        <f t="shared" si="1"/>
        <v>0</v>
      </c>
    </row>
    <row r="11" spans="1:39" ht="23.25" customHeight="1">
      <c r="A11" s="1539">
        <v>6</v>
      </c>
      <c r="B11" s="3129"/>
      <c r="C11" s="3129"/>
      <c r="D11" s="1609" t="s">
        <v>234</v>
      </c>
      <c r="E11" s="1041"/>
      <c r="F11" s="1608" t="s">
        <v>10</v>
      </c>
      <c r="G11" s="1735">
        <f>'3.XT-C TT'!I11</f>
        <v>0</v>
      </c>
      <c r="H11" s="1758">
        <f>'3.XT-C TT'!K11</f>
        <v>0</v>
      </c>
      <c r="I11" s="1752">
        <f>'3.XT-C TT'!AB11</f>
        <v>0</v>
      </c>
      <c r="J11" s="1735">
        <f>'3.XT-C TT'!AD11</f>
        <v>0</v>
      </c>
      <c r="K11" s="1611"/>
      <c r="L11" s="1735">
        <f>'3.XT-C TT'!M11</f>
        <v>0</v>
      </c>
      <c r="M11" s="1758">
        <f>'3.XT-C TT'!O11</f>
        <v>0</v>
      </c>
      <c r="N11" s="1752">
        <f>'3.XT-C TT'!AF11</f>
        <v>0</v>
      </c>
      <c r="O11" s="1735">
        <f>'3.XT-C TT'!AH11</f>
        <v>0</v>
      </c>
      <c r="P11" s="1611"/>
      <c r="Q11" s="1735">
        <f>'3.XT-C TT'!Q11</f>
        <v>0</v>
      </c>
      <c r="R11" s="1758">
        <f>'3.XT-C TT'!S11</f>
        <v>0</v>
      </c>
      <c r="S11" s="1752">
        <f>'3.XT-C TT'!AJ11</f>
        <v>0</v>
      </c>
      <c r="T11" s="1735">
        <f>'3.XT-C TT'!AL11</f>
        <v>0</v>
      </c>
      <c r="U11" s="1611"/>
      <c r="V11" s="1735">
        <f>'3.XT-C TT(CA2)'!I11</f>
        <v>0</v>
      </c>
      <c r="W11" s="1758">
        <f>'3.XT-C TT(CA2)'!K11</f>
        <v>0</v>
      </c>
      <c r="X11" s="1752">
        <f>'3.XT-C TT(CA2)'!AB11</f>
        <v>0</v>
      </c>
      <c r="Y11" s="1735">
        <f>'3.XT-C TT(CA2)'!AD11</f>
        <v>0</v>
      </c>
      <c r="Z11" s="1735"/>
      <c r="AA11" s="1735">
        <f>'3.XT-C TT(CA2)'!M11</f>
        <v>0</v>
      </c>
      <c r="AB11" s="1758">
        <f>'3.XT-C TT(CA2)'!O11</f>
        <v>0</v>
      </c>
      <c r="AC11" s="1752">
        <f>'3.XT-C TT(CA2)'!AF11</f>
        <v>0</v>
      </c>
      <c r="AD11" s="1735">
        <f>'3.XT-C TT(CA2)'!AH11</f>
        <v>0</v>
      </c>
      <c r="AE11" s="1735"/>
      <c r="AF11" s="1735">
        <f>'3.XT-C TT(CA2)'!Q11</f>
        <v>0</v>
      </c>
      <c r="AG11" s="1758">
        <f>'3.XT-C TT(CA2)'!S11</f>
        <v>0</v>
      </c>
      <c r="AH11" s="1752">
        <f>'3.XT-C TT(CA2)'!AJ11</f>
        <v>0</v>
      </c>
      <c r="AI11" s="1735">
        <f>'3.XT-C TT(CA2)'!AL11</f>
        <v>0</v>
      </c>
      <c r="AJ11" s="1611"/>
      <c r="AK11" s="1624"/>
      <c r="AL11" s="1628">
        <f t="shared" si="0"/>
        <v>0</v>
      </c>
      <c r="AM11" s="1628">
        <f t="shared" si="1"/>
        <v>0</v>
      </c>
    </row>
    <row r="12" spans="1:39" ht="23.25" customHeight="1">
      <c r="A12" s="1539">
        <v>7</v>
      </c>
      <c r="B12" s="3128" t="s">
        <v>142</v>
      </c>
      <c r="C12" s="3129"/>
      <c r="D12" s="1609" t="s">
        <v>233</v>
      </c>
      <c r="E12" s="1607" t="s">
        <v>4</v>
      </c>
      <c r="F12" s="1608" t="s">
        <v>1309</v>
      </c>
      <c r="G12" s="1735">
        <f>'3.XT-C TT'!I12</f>
        <v>61.677</v>
      </c>
      <c r="H12" s="1758">
        <f>'3.XT-C TT'!K12</f>
        <v>0</v>
      </c>
      <c r="I12" s="1752">
        <f>'3.XT-C TT'!AB12</f>
        <v>0</v>
      </c>
      <c r="J12" s="1735">
        <f>'3.XT-C TT'!AD12</f>
        <v>0</v>
      </c>
      <c r="K12" s="1611"/>
      <c r="L12" s="1735">
        <f>'3.XT-C TT'!M12</f>
        <v>63.063000000000002</v>
      </c>
      <c r="M12" s="1758">
        <f>'3.XT-C TT'!O12</f>
        <v>0</v>
      </c>
      <c r="N12" s="1752">
        <f>'3.XT-C TT'!AF12</f>
        <v>0</v>
      </c>
      <c r="O12" s="1735">
        <f>'3.XT-C TT'!AH12</f>
        <v>0</v>
      </c>
      <c r="P12" s="1611"/>
      <c r="Q12" s="1735">
        <f>'3.XT-C TT'!Q12</f>
        <v>60.521999999999998</v>
      </c>
      <c r="R12" s="1758">
        <f>'3.XT-C TT'!S12</f>
        <v>0</v>
      </c>
      <c r="S12" s="1752">
        <f>'3.XT-C TT'!AJ12</f>
        <v>0</v>
      </c>
      <c r="T12" s="1735">
        <f>'3.XT-C TT'!AL12</f>
        <v>0</v>
      </c>
      <c r="U12" s="1611"/>
      <c r="V12" s="1735">
        <f>'3.XT-C TT(CA2)'!I12</f>
        <v>60.06</v>
      </c>
      <c r="W12" s="1758">
        <f>'3.XT-C TT(CA2)'!K12</f>
        <v>0</v>
      </c>
      <c r="X12" s="1752">
        <f>'3.XT-C TT(CA2)'!AB12</f>
        <v>0</v>
      </c>
      <c r="Y12" s="1735">
        <f>'3.XT-C TT(CA2)'!AD12</f>
        <v>0</v>
      </c>
      <c r="Z12" s="1735"/>
      <c r="AA12" s="1735">
        <f>'3.XT-C TT(CA2)'!M12</f>
        <v>0</v>
      </c>
      <c r="AB12" s="1758">
        <f>'3.XT-C TT(CA2)'!O12</f>
        <v>0</v>
      </c>
      <c r="AC12" s="1752">
        <f>'3.XT-C TT(CA2)'!AF12</f>
        <v>0</v>
      </c>
      <c r="AD12" s="1735">
        <f>'3.XT-C TT(CA2)'!AH12</f>
        <v>0</v>
      </c>
      <c r="AE12" s="1735"/>
      <c r="AF12" s="1735">
        <f>'3.XT-C TT(CA2)'!Q12</f>
        <v>60.06</v>
      </c>
      <c r="AG12" s="1758">
        <f>'3.XT-C TT(CA2)'!S12</f>
        <v>0</v>
      </c>
      <c r="AH12" s="1752">
        <f>'3.XT-C TT(CA2)'!AJ12</f>
        <v>0</v>
      </c>
      <c r="AI12" s="1735">
        <f>'3.XT-C TT(CA2)'!AL12</f>
        <v>0</v>
      </c>
      <c r="AJ12" s="1611"/>
      <c r="AK12" s="1624"/>
      <c r="AL12" s="1628">
        <f t="shared" si="0"/>
        <v>0</v>
      </c>
      <c r="AM12" s="1628">
        <f t="shared" si="1"/>
        <v>0</v>
      </c>
    </row>
    <row r="13" spans="1:39" ht="23.25" customHeight="1">
      <c r="A13" s="1539">
        <v>8</v>
      </c>
      <c r="B13" s="3129"/>
      <c r="C13" s="3129"/>
      <c r="D13" s="1609" t="s">
        <v>234</v>
      </c>
      <c r="E13" s="1041"/>
      <c r="F13" s="1608" t="s">
        <v>10</v>
      </c>
      <c r="G13" s="1735">
        <f>'3.XT-C TT'!I13</f>
        <v>0</v>
      </c>
      <c r="H13" s="1758">
        <f>'3.XT-C TT'!K13</f>
        <v>0</v>
      </c>
      <c r="I13" s="1752">
        <f>'3.XT-C TT'!AB13</f>
        <v>0</v>
      </c>
      <c r="J13" s="1735">
        <f>'3.XT-C TT'!AD13</f>
        <v>0</v>
      </c>
      <c r="K13" s="1611"/>
      <c r="L13" s="1735">
        <f>'3.XT-C TT'!M13</f>
        <v>0</v>
      </c>
      <c r="M13" s="1758">
        <f>'3.XT-C TT'!O13</f>
        <v>0</v>
      </c>
      <c r="N13" s="1752">
        <f>'3.XT-C TT'!AF13</f>
        <v>0</v>
      </c>
      <c r="O13" s="1735">
        <f>'3.XT-C TT'!AH13</f>
        <v>0</v>
      </c>
      <c r="P13" s="1611"/>
      <c r="Q13" s="1735">
        <f>'3.XT-C TT'!Q13</f>
        <v>0</v>
      </c>
      <c r="R13" s="1758">
        <f>'3.XT-C TT'!S13</f>
        <v>0</v>
      </c>
      <c r="S13" s="1752">
        <f>'3.XT-C TT'!AJ13</f>
        <v>0</v>
      </c>
      <c r="T13" s="1735">
        <f>'3.XT-C TT'!AL13</f>
        <v>0</v>
      </c>
      <c r="U13" s="1611"/>
      <c r="V13" s="1735">
        <f>'3.XT-C TT(CA2)'!I13</f>
        <v>0</v>
      </c>
      <c r="W13" s="1758">
        <f>'3.XT-C TT(CA2)'!K13</f>
        <v>0</v>
      </c>
      <c r="X13" s="1752">
        <f>'3.XT-C TT(CA2)'!AB13</f>
        <v>0</v>
      </c>
      <c r="Y13" s="1735">
        <f>'3.XT-C TT(CA2)'!AD13</f>
        <v>0</v>
      </c>
      <c r="Z13" s="1735"/>
      <c r="AA13" s="1735">
        <f>'3.XT-C TT(CA2)'!M13</f>
        <v>0</v>
      </c>
      <c r="AB13" s="1758">
        <f>'3.XT-C TT(CA2)'!O13</f>
        <v>0</v>
      </c>
      <c r="AC13" s="1752">
        <f>'3.XT-C TT(CA2)'!AF13</f>
        <v>0</v>
      </c>
      <c r="AD13" s="1735">
        <f>'3.XT-C TT(CA2)'!AH13</f>
        <v>0</v>
      </c>
      <c r="AE13" s="1735"/>
      <c r="AF13" s="1735">
        <f>'3.XT-C TT(CA2)'!Q13</f>
        <v>0</v>
      </c>
      <c r="AG13" s="1758">
        <f>'3.XT-C TT(CA2)'!S13</f>
        <v>0</v>
      </c>
      <c r="AH13" s="1752">
        <f>'3.XT-C TT(CA2)'!AJ13</f>
        <v>0</v>
      </c>
      <c r="AI13" s="1735">
        <f>'3.XT-C TT(CA2)'!AL13</f>
        <v>0</v>
      </c>
      <c r="AJ13" s="1611"/>
      <c r="AK13" s="1624"/>
      <c r="AL13" s="1628">
        <f t="shared" si="0"/>
        <v>0</v>
      </c>
      <c r="AM13" s="1628">
        <f t="shared" si="1"/>
        <v>0</v>
      </c>
    </row>
    <row r="14" spans="1:39" ht="23.25" customHeight="1">
      <c r="A14" s="1539">
        <v>9</v>
      </c>
      <c r="B14" s="2961" t="s">
        <v>1397</v>
      </c>
      <c r="C14" s="3183" t="s">
        <v>1396</v>
      </c>
      <c r="D14" s="3184"/>
      <c r="E14" s="1607" t="s">
        <v>4</v>
      </c>
      <c r="F14" s="1608" t="s">
        <v>1309</v>
      </c>
      <c r="G14" s="1735">
        <f>'3.XT-C TT'!I14</f>
        <v>143.6</v>
      </c>
      <c r="H14" s="1758">
        <f>'3.XT-C TT'!K14</f>
        <v>0</v>
      </c>
      <c r="I14" s="1752">
        <f>'3.XT-C TT'!AB14</f>
        <v>0</v>
      </c>
      <c r="J14" s="1735">
        <f>'3.XT-C TT'!AD14</f>
        <v>0</v>
      </c>
      <c r="K14" s="1611"/>
      <c r="L14" s="1735">
        <f>'3.XT-C TT'!M14</f>
        <v>144.80000000000001</v>
      </c>
      <c r="M14" s="1758">
        <f>'3.XT-C TT'!O14</f>
        <v>0</v>
      </c>
      <c r="N14" s="1752">
        <f>'3.XT-C TT'!AF14</f>
        <v>0</v>
      </c>
      <c r="O14" s="1735">
        <f>'3.XT-C TT'!AH14</f>
        <v>0</v>
      </c>
      <c r="P14" s="1611"/>
      <c r="Q14" s="1735">
        <f>'3.XT-C TT'!Q14</f>
        <v>143.19999999999999</v>
      </c>
      <c r="R14" s="1758">
        <f>'3.XT-C TT'!S14</f>
        <v>0</v>
      </c>
      <c r="S14" s="1752">
        <f>'3.XT-C TT'!AJ14</f>
        <v>0</v>
      </c>
      <c r="T14" s="1735">
        <f>'3.XT-C TT'!AL14</f>
        <v>0</v>
      </c>
      <c r="U14" s="1611"/>
      <c r="V14" s="1735">
        <f>'3.XT-C TT(CA2)'!I14</f>
        <v>142.4</v>
      </c>
      <c r="W14" s="1758">
        <f>'3.XT-C TT(CA2)'!K14</f>
        <v>0</v>
      </c>
      <c r="X14" s="1752">
        <f>'3.XT-C TT(CA2)'!AB14</f>
        <v>0</v>
      </c>
      <c r="Y14" s="1735">
        <f>'3.XT-C TT(CA2)'!AD14</f>
        <v>0</v>
      </c>
      <c r="Z14" s="1735"/>
      <c r="AA14" s="1735">
        <f>'3.XT-C TT(CA2)'!M14</f>
        <v>0</v>
      </c>
      <c r="AB14" s="1758">
        <f>'3.XT-C TT(CA2)'!O14</f>
        <v>0</v>
      </c>
      <c r="AC14" s="1752">
        <f>'3.XT-C TT(CA2)'!AF14</f>
        <v>0</v>
      </c>
      <c r="AD14" s="1735">
        <f>'3.XT-C TT(CA2)'!AH14</f>
        <v>0</v>
      </c>
      <c r="AE14" s="1735"/>
      <c r="AF14" s="1735">
        <f>'3.XT-C TT(CA2)'!Q14</f>
        <v>142.4</v>
      </c>
      <c r="AG14" s="1758">
        <f>'3.XT-C TT(CA2)'!S14</f>
        <v>0</v>
      </c>
      <c r="AH14" s="1752">
        <f>'3.XT-C TT(CA2)'!AJ14</f>
        <v>0</v>
      </c>
      <c r="AI14" s="1735">
        <f>'3.XT-C TT(CA2)'!AL14</f>
        <v>0</v>
      </c>
      <c r="AJ14" s="1611"/>
      <c r="AK14" s="1624"/>
      <c r="AL14" s="1628">
        <f t="shared" si="0"/>
        <v>0</v>
      </c>
      <c r="AM14" s="1628">
        <f t="shared" si="1"/>
        <v>0</v>
      </c>
    </row>
    <row r="15" spans="1:39" ht="23.25" customHeight="1">
      <c r="A15" s="1539">
        <v>10</v>
      </c>
      <c r="B15" s="3255"/>
      <c r="C15" s="3183" t="s">
        <v>1395</v>
      </c>
      <c r="D15" s="3184"/>
      <c r="E15" s="1607" t="s">
        <v>4</v>
      </c>
      <c r="F15" s="1608" t="s">
        <v>1309</v>
      </c>
      <c r="G15" s="1735">
        <f>'3.XT-C TT'!I15</f>
        <v>8.58</v>
      </c>
      <c r="H15" s="1758">
        <f>'3.XT-C TT'!K15</f>
        <v>0</v>
      </c>
      <c r="I15" s="1752">
        <f>'3.XT-C TT'!AB15</f>
        <v>0</v>
      </c>
      <c r="J15" s="1735">
        <f>'3.XT-C TT'!AD15</f>
        <v>0</v>
      </c>
      <c r="K15" s="1611"/>
      <c r="L15" s="1735">
        <f>'3.XT-C TT'!M15</f>
        <v>8.32</v>
      </c>
      <c r="M15" s="1758">
        <f>'3.XT-C TT'!O15</f>
        <v>9.5518799999999846</v>
      </c>
      <c r="N15" s="1752">
        <f>'3.XT-C TT'!AF15</f>
        <v>0</v>
      </c>
      <c r="O15" s="1735">
        <f>'3.XT-C TT'!AH15</f>
        <v>0</v>
      </c>
      <c r="P15" s="1611"/>
      <c r="Q15" s="1735">
        <f>'3.XT-C TT'!Q15</f>
        <v>8.3849999999999998</v>
      </c>
      <c r="R15" s="1758">
        <f>'3.XT-C TT'!S15</f>
        <v>6.1025900000000108</v>
      </c>
      <c r="S15" s="1752">
        <f>'3.XT-C TT'!AJ15</f>
        <v>0</v>
      </c>
      <c r="T15" s="1735">
        <f>'3.XT-C TT'!AL15</f>
        <v>0</v>
      </c>
      <c r="U15" s="1611"/>
      <c r="V15" s="1735">
        <f>'3.XT-C TT(CA2)'!I15</f>
        <v>8.4500000000000011</v>
      </c>
      <c r="W15" s="1758">
        <f>'3.XT-C TT(CA2)'!K15</f>
        <v>2.6532999999999434</v>
      </c>
      <c r="X15" s="1752">
        <f>'3.XT-C TT(CA2)'!AB15</f>
        <v>0</v>
      </c>
      <c r="Y15" s="1735">
        <f>'3.XT-C TT(CA2)'!AD15</f>
        <v>0</v>
      </c>
      <c r="Z15" s="1735"/>
      <c r="AA15" s="1735">
        <f>'3.XT-C TT(CA2)'!M15</f>
        <v>0</v>
      </c>
      <c r="AB15" s="1758">
        <f>'3.XT-C TT(CA2)'!O15</f>
        <v>0</v>
      </c>
      <c r="AC15" s="1752">
        <f>'3.XT-C TT(CA2)'!AF15</f>
        <v>0</v>
      </c>
      <c r="AD15" s="1735">
        <f>'3.XT-C TT(CA2)'!AH15</f>
        <v>0</v>
      </c>
      <c r="AE15" s="1735"/>
      <c r="AF15" s="1735">
        <f>'3.XT-C TT(CA2)'!Q15</f>
        <v>8.4500000000000011</v>
      </c>
      <c r="AG15" s="1758">
        <f>'3.XT-C TT(CA2)'!S15</f>
        <v>2.6532999999999434</v>
      </c>
      <c r="AH15" s="1752">
        <f>'3.XT-C TT(CA2)'!AJ15</f>
        <v>0</v>
      </c>
      <c r="AI15" s="1735">
        <f>'3.XT-C TT(CA2)'!AL15</f>
        <v>0</v>
      </c>
      <c r="AJ15" s="1611"/>
      <c r="AK15" s="1624"/>
      <c r="AL15" s="1628">
        <f t="shared" si="0"/>
        <v>20.961069999999886</v>
      </c>
      <c r="AM15" s="1628">
        <f t="shared" si="1"/>
        <v>0</v>
      </c>
    </row>
    <row r="16" spans="1:39" s="7" customFormat="1" ht="23.25" customHeight="1">
      <c r="A16" s="1539">
        <v>11</v>
      </c>
      <c r="B16" s="3190" t="s">
        <v>1394</v>
      </c>
      <c r="C16" s="3254"/>
      <c r="D16" s="3254"/>
      <c r="E16" s="1608" t="s">
        <v>3</v>
      </c>
      <c r="F16" s="1608" t="s">
        <v>10</v>
      </c>
      <c r="G16" s="1735">
        <f>'3.XT-C TT'!I16</f>
        <v>6.4533899999999997</v>
      </c>
      <c r="H16" s="1758">
        <f>'3.XT-C TT'!K16</f>
        <v>0</v>
      </c>
      <c r="I16" s="1752">
        <f>'3.XT-C TT'!AB16</f>
        <v>0</v>
      </c>
      <c r="J16" s="1735">
        <f>'3.XT-C TT'!AD16</f>
        <v>0</v>
      </c>
      <c r="K16" s="1611"/>
      <c r="L16" s="1735">
        <f>'3.XT-C TT'!M16</f>
        <v>6.4322049999999997</v>
      </c>
      <c r="M16" s="1758">
        <f>'3.XT-C TT'!O16</f>
        <v>0</v>
      </c>
      <c r="N16" s="1752">
        <f>'3.XT-C TT'!AF16</f>
        <v>0</v>
      </c>
      <c r="O16" s="1735">
        <f>'3.XT-C TT'!AH16</f>
        <v>0</v>
      </c>
      <c r="P16" s="1611"/>
      <c r="Q16" s="1735">
        <f>'3.XT-C TT'!Q16</f>
        <v>6.1568000000000005</v>
      </c>
      <c r="R16" s="1758">
        <f>'3.XT-C TT'!S16</f>
        <v>0</v>
      </c>
      <c r="S16" s="1752">
        <f>'3.XT-C TT'!AJ16</f>
        <v>0</v>
      </c>
      <c r="T16" s="1735">
        <f>'3.XT-C TT'!AL16</f>
        <v>0</v>
      </c>
      <c r="U16" s="1611"/>
      <c r="V16" s="1735">
        <f>'3.XT-C TT(CA2)'!I16</f>
        <v>6.7076100000000007</v>
      </c>
      <c r="W16" s="1758">
        <f>'3.XT-C TT(CA2)'!K16</f>
        <v>0</v>
      </c>
      <c r="X16" s="1752">
        <f>'3.XT-C TT(CA2)'!AB16</f>
        <v>0</v>
      </c>
      <c r="Y16" s="1735">
        <f>'3.XT-C TT(CA2)'!AD16</f>
        <v>0</v>
      </c>
      <c r="Z16" s="1735"/>
      <c r="AA16" s="1735">
        <f>'3.XT-C TT(CA2)'!M16</f>
        <v>0</v>
      </c>
      <c r="AB16" s="1758">
        <f>'3.XT-C TT(CA2)'!O16</f>
        <v>0</v>
      </c>
      <c r="AC16" s="1752">
        <f>'3.XT-C TT(CA2)'!AF16</f>
        <v>0</v>
      </c>
      <c r="AD16" s="1735">
        <f>'3.XT-C TT(CA2)'!AH16</f>
        <v>0</v>
      </c>
      <c r="AE16" s="1735"/>
      <c r="AF16" s="1735">
        <f>'3.XT-C TT(CA2)'!Q16</f>
        <v>6.5381299999999998</v>
      </c>
      <c r="AG16" s="1758">
        <f>'3.XT-C TT(CA2)'!S16</f>
        <v>0</v>
      </c>
      <c r="AH16" s="1752">
        <f>'3.XT-C TT(CA2)'!AJ16</f>
        <v>0</v>
      </c>
      <c r="AI16" s="1735">
        <f>'3.XT-C TT(CA2)'!AL16</f>
        <v>0</v>
      </c>
      <c r="AJ16" s="1611"/>
      <c r="AK16" s="1624"/>
      <c r="AL16" s="1628">
        <f t="shared" si="0"/>
        <v>0</v>
      </c>
      <c r="AM16" s="1628">
        <f t="shared" si="1"/>
        <v>0</v>
      </c>
    </row>
    <row r="17" spans="1:40" ht="23.25" customHeight="1">
      <c r="A17" s="1539">
        <v>13</v>
      </c>
      <c r="B17" s="3171" t="s">
        <v>1393</v>
      </c>
      <c r="C17" s="3172"/>
      <c r="D17" s="3172"/>
      <c r="E17" s="1608" t="s">
        <v>1411</v>
      </c>
      <c r="F17" s="1608" t="s">
        <v>10</v>
      </c>
      <c r="G17" s="1735">
        <f>'3.XT-C TT'!I17</f>
        <v>2.2999999999999998</v>
      </c>
      <c r="H17" s="1758">
        <f>'3.XT-C TT'!K17</f>
        <v>0</v>
      </c>
      <c r="I17" s="1752">
        <f>'3.XT-C TT'!AB17</f>
        <v>0</v>
      </c>
      <c r="J17" s="1735">
        <f>'3.XT-C TT'!AD17</f>
        <v>0</v>
      </c>
      <c r="K17" s="1611"/>
      <c r="L17" s="1735">
        <f>'3.XT-C TT'!M17</f>
        <v>2.2400000000000002</v>
      </c>
      <c r="M17" s="1758">
        <f>'3.XT-C TT'!O17</f>
        <v>0</v>
      </c>
      <c r="N17" s="1752">
        <f>'3.XT-C TT'!AF17</f>
        <v>0</v>
      </c>
      <c r="O17" s="1735">
        <f>'3.XT-C TT'!AH17</f>
        <v>0</v>
      </c>
      <c r="P17" s="1611"/>
      <c r="Q17" s="1735">
        <f>'3.XT-C TT'!Q17</f>
        <v>2.2999999999999998</v>
      </c>
      <c r="R17" s="1758">
        <f>'3.XT-C TT'!S17</f>
        <v>0</v>
      </c>
      <c r="S17" s="1752">
        <f>'3.XT-C TT'!AJ17</f>
        <v>0</v>
      </c>
      <c r="T17" s="1735">
        <f>'3.XT-C TT'!AL17</f>
        <v>0</v>
      </c>
      <c r="U17" s="1611"/>
      <c r="V17" s="1735">
        <f>'3.XT-C TT(CA2)'!I17</f>
        <v>2.2000000000000002</v>
      </c>
      <c r="W17" s="1758">
        <f>'3.XT-C TT(CA2)'!K17</f>
        <v>0</v>
      </c>
      <c r="X17" s="1752">
        <f>'3.XT-C TT(CA2)'!AB17</f>
        <v>0</v>
      </c>
      <c r="Y17" s="1735">
        <f>'3.XT-C TT(CA2)'!AD17</f>
        <v>0</v>
      </c>
      <c r="Z17" s="1735"/>
      <c r="AA17" s="1735">
        <f>'3.XT-C TT(CA2)'!M17</f>
        <v>0</v>
      </c>
      <c r="AB17" s="1758">
        <f>'3.XT-C TT(CA2)'!O17</f>
        <v>0</v>
      </c>
      <c r="AC17" s="1752">
        <f>'3.XT-C TT(CA2)'!AF17</f>
        <v>0</v>
      </c>
      <c r="AD17" s="1735">
        <f>'3.XT-C TT(CA2)'!AH17</f>
        <v>0</v>
      </c>
      <c r="AE17" s="1735"/>
      <c r="AF17" s="1735">
        <f>'3.XT-C TT(CA2)'!Q17</f>
        <v>2.2000000000000002</v>
      </c>
      <c r="AG17" s="1758">
        <f>'3.XT-C TT(CA2)'!S17</f>
        <v>0</v>
      </c>
      <c r="AH17" s="1752">
        <f>'3.XT-C TT(CA2)'!AJ17</f>
        <v>0</v>
      </c>
      <c r="AI17" s="1735">
        <f>'3.XT-C TT(CA2)'!AL17</f>
        <v>0</v>
      </c>
      <c r="AJ17" s="1611"/>
      <c r="AK17" s="1624"/>
      <c r="AL17" s="1628">
        <f t="shared" si="0"/>
        <v>0</v>
      </c>
      <c r="AM17" s="1628">
        <f t="shared" si="1"/>
        <v>0</v>
      </c>
    </row>
    <row r="18" spans="1:40" ht="23.25" customHeight="1">
      <c r="A18" s="1539">
        <v>14</v>
      </c>
      <c r="B18" s="3171" t="s">
        <v>1392</v>
      </c>
      <c r="C18" s="3172"/>
      <c r="D18" s="3172"/>
      <c r="E18" s="1608" t="s">
        <v>1411</v>
      </c>
      <c r="F18" s="1608" t="s">
        <v>10</v>
      </c>
      <c r="G18" s="1735">
        <f>'3.XT-C TT'!I18</f>
        <v>0.49731250000000005</v>
      </c>
      <c r="H18" s="1758">
        <f>'3.XT-C TT'!K18</f>
        <v>0</v>
      </c>
      <c r="I18" s="1752">
        <f>'3.XT-C TT'!AB18</f>
        <v>0</v>
      </c>
      <c r="J18" s="1735">
        <f>'3.XT-C TT'!AD18</f>
        <v>0</v>
      </c>
      <c r="K18" s="1611"/>
      <c r="L18" s="1735">
        <f>'3.XT-C TT'!M18</f>
        <v>0.4881875</v>
      </c>
      <c r="M18" s="1758">
        <f>'3.XT-C TT'!O18</f>
        <v>0</v>
      </c>
      <c r="N18" s="1752">
        <f>'3.XT-C TT'!AF18</f>
        <v>0</v>
      </c>
      <c r="O18" s="1735">
        <f>'3.XT-C TT'!AH18</f>
        <v>0</v>
      </c>
      <c r="P18" s="1611"/>
      <c r="Q18" s="1735">
        <f>'3.XT-C TT'!Q18</f>
        <v>0.47906250000000006</v>
      </c>
      <c r="R18" s="1758">
        <f>'3.XT-C TT'!S18</f>
        <v>0</v>
      </c>
      <c r="S18" s="1752">
        <f>'3.XT-C TT'!AJ18</f>
        <v>0</v>
      </c>
      <c r="T18" s="1735">
        <f>'3.XT-C TT'!AL18</f>
        <v>0</v>
      </c>
      <c r="U18" s="1611"/>
      <c r="V18" s="1735">
        <f>'3.XT-C TT(CA2)'!I18</f>
        <v>0.49731250000000005</v>
      </c>
      <c r="W18" s="1758">
        <f>'3.XT-C TT(CA2)'!K18</f>
        <v>0</v>
      </c>
      <c r="X18" s="1752">
        <f>'3.XT-C TT(CA2)'!AB18</f>
        <v>0</v>
      </c>
      <c r="Y18" s="1735">
        <f>'3.XT-C TT(CA2)'!AD18</f>
        <v>0</v>
      </c>
      <c r="Z18" s="1735"/>
      <c r="AA18" s="1735">
        <f>'3.XT-C TT(CA2)'!M18</f>
        <v>0</v>
      </c>
      <c r="AB18" s="1758">
        <f>'3.XT-C TT(CA2)'!O18</f>
        <v>0</v>
      </c>
      <c r="AC18" s="1752">
        <f>'3.XT-C TT(CA2)'!AF18</f>
        <v>0</v>
      </c>
      <c r="AD18" s="1735">
        <f>'3.XT-C TT(CA2)'!AH18</f>
        <v>0</v>
      </c>
      <c r="AE18" s="1735"/>
      <c r="AF18" s="1735">
        <f>'3.XT-C TT(CA2)'!Q18</f>
        <v>0.4881875</v>
      </c>
      <c r="AG18" s="1758">
        <f>'3.XT-C TT(CA2)'!S18</f>
        <v>0</v>
      </c>
      <c r="AH18" s="1752">
        <f>'3.XT-C TT(CA2)'!AJ18</f>
        <v>0</v>
      </c>
      <c r="AI18" s="1735">
        <f>'3.XT-C TT(CA2)'!AL18</f>
        <v>0</v>
      </c>
      <c r="AJ18" s="1611"/>
      <c r="AK18" s="1624"/>
      <c r="AL18" s="1628">
        <f t="shared" si="0"/>
        <v>0</v>
      </c>
      <c r="AM18" s="1628">
        <f t="shared" si="1"/>
        <v>0</v>
      </c>
    </row>
    <row r="19" spans="1:40" ht="23.25" customHeight="1">
      <c r="A19" s="1539">
        <v>15</v>
      </c>
      <c r="B19" s="3171" t="s">
        <v>1391</v>
      </c>
      <c r="C19" s="3172"/>
      <c r="D19" s="3172"/>
      <c r="E19" s="1608" t="s">
        <v>1411</v>
      </c>
      <c r="F19" s="1608" t="s">
        <v>10</v>
      </c>
      <c r="G19" s="1735">
        <f>'3.XT-C TT'!I20</f>
        <v>0.45168749999999996</v>
      </c>
      <c r="H19" s="1758">
        <f>'3.XT-C TT'!K20</f>
        <v>0</v>
      </c>
      <c r="I19" s="1752">
        <f>'3.XT-C TT'!AB20</f>
        <v>0</v>
      </c>
      <c r="J19" s="1735">
        <f>'3.XT-C TT'!AD20</f>
        <v>0</v>
      </c>
      <c r="K19" s="1611"/>
      <c r="L19" s="1735">
        <f>'3.XT-C TT'!M20</f>
        <v>0.43799999999999994</v>
      </c>
      <c r="M19" s="1758">
        <f>'3.XT-C TT'!O20</f>
        <v>126.1080000000007</v>
      </c>
      <c r="N19" s="1752">
        <f>'3.XT-C TT'!AF20</f>
        <v>0</v>
      </c>
      <c r="O19" s="1735">
        <f>'3.XT-C TT'!AH20</f>
        <v>0</v>
      </c>
      <c r="P19" s="1611"/>
      <c r="Q19" s="1735">
        <f>'3.XT-C TT'!Q20</f>
        <v>0.43343749999999998</v>
      </c>
      <c r="R19" s="1758">
        <f>'3.XT-C TT'!S20</f>
        <v>174.05531250000038</v>
      </c>
      <c r="S19" s="1752">
        <f>'3.XT-C TT'!AJ20</f>
        <v>0</v>
      </c>
      <c r="T19" s="1735">
        <f>'3.XT-C TT'!AL20</f>
        <v>0</v>
      </c>
      <c r="U19" s="1611"/>
      <c r="V19" s="1735">
        <f>'3.XT-C TT(CA2)'!I20</f>
        <v>0.45168749999999996</v>
      </c>
      <c r="W19" s="1758">
        <f>'3.XT-C TT(CA2)'!K20</f>
        <v>0</v>
      </c>
      <c r="X19" s="1752">
        <f>'3.XT-C TT(CA2)'!AB20</f>
        <v>0</v>
      </c>
      <c r="Y19" s="1735">
        <f>'3.XT-C TT(CA2)'!AD20</f>
        <v>0</v>
      </c>
      <c r="Z19" s="1735"/>
      <c r="AA19" s="1735">
        <f>'3.XT-C TT(CA2)'!M20</f>
        <v>0</v>
      </c>
      <c r="AB19" s="1758">
        <f>'3.XT-C TT(CA2)'!O20</f>
        <v>0</v>
      </c>
      <c r="AC19" s="1752">
        <f>'3.XT-C TT(CA2)'!AF20</f>
        <v>0</v>
      </c>
      <c r="AD19" s="1735">
        <f>'3.XT-C TT(CA2)'!AH20</f>
        <v>0</v>
      </c>
      <c r="AE19" s="1735"/>
      <c r="AF19" s="1735">
        <f>'3.XT-C TT(CA2)'!Q20</f>
        <v>0.44256250000000003</v>
      </c>
      <c r="AG19" s="1758">
        <f>'3.XT-C TT(CA2)'!S20</f>
        <v>78.160687499999852</v>
      </c>
      <c r="AH19" s="1752">
        <f>'3.XT-C TT(CA2)'!AJ20</f>
        <v>0</v>
      </c>
      <c r="AI19" s="1735">
        <f>'3.XT-C TT(CA2)'!AL20</f>
        <v>0</v>
      </c>
      <c r="AJ19" s="1611"/>
      <c r="AK19" s="1624"/>
      <c r="AL19" s="1628">
        <f t="shared" si="0"/>
        <v>378.32400000000098</v>
      </c>
      <c r="AM19" s="1628">
        <f t="shared" si="1"/>
        <v>0</v>
      </c>
    </row>
    <row r="20" spans="1:40" ht="23.25" customHeight="1">
      <c r="A20" s="1539">
        <v>16</v>
      </c>
      <c r="B20" s="3171" t="s">
        <v>1390</v>
      </c>
      <c r="C20" s="3172" t="s">
        <v>983</v>
      </c>
      <c r="D20" s="3172" t="s">
        <v>983</v>
      </c>
      <c r="E20" s="1608" t="s">
        <v>1411</v>
      </c>
      <c r="F20" s="1608" t="s">
        <v>10</v>
      </c>
      <c r="G20" s="1735">
        <f>'3.XT-C TT'!I21</f>
        <v>0.1323125</v>
      </c>
      <c r="H20" s="1758">
        <f>'3.XT-C TT'!K21</f>
        <v>57.201374999999985</v>
      </c>
      <c r="I20" s="1752">
        <f>'3.XT-C TT'!AB21</f>
        <v>0</v>
      </c>
      <c r="J20" s="1735">
        <f>'3.XT-C TT'!AD21</f>
        <v>0</v>
      </c>
      <c r="K20" s="1611"/>
      <c r="L20" s="1735">
        <f>'3.XT-C TT'!M21</f>
        <v>0.12775</v>
      </c>
      <c r="M20" s="1758">
        <f>'3.XT-C TT'!O21</f>
        <v>71.956499999999977</v>
      </c>
      <c r="N20" s="1752">
        <f>'3.XT-C TT'!AF21</f>
        <v>0</v>
      </c>
      <c r="O20" s="1735">
        <f>'3.XT-C TT'!AH21</f>
        <v>0</v>
      </c>
      <c r="P20" s="1611"/>
      <c r="Q20" s="1735">
        <f>'3.XT-C TT'!Q21</f>
        <v>0.1323125</v>
      </c>
      <c r="R20" s="1758">
        <f>'3.XT-C TT'!S21</f>
        <v>57.201374999999985</v>
      </c>
      <c r="S20" s="1752">
        <f>'3.XT-C TT'!AJ21</f>
        <v>0</v>
      </c>
      <c r="T20" s="1735">
        <f>'3.XT-C TT'!AL21</f>
        <v>0</v>
      </c>
      <c r="U20" s="1611"/>
      <c r="V20" s="1735">
        <f>'3.XT-C TT(CA2)'!I21</f>
        <v>0.1323125</v>
      </c>
      <c r="W20" s="1758">
        <f>'3.XT-C TT(CA2)'!K21</f>
        <v>57.201374999999985</v>
      </c>
      <c r="X20" s="1752">
        <f>'3.XT-C TT(CA2)'!AB21</f>
        <v>0</v>
      </c>
      <c r="Y20" s="1735">
        <f>'3.XT-C TT(CA2)'!AD21</f>
        <v>0</v>
      </c>
      <c r="Z20" s="1735"/>
      <c r="AA20" s="1735">
        <f>'3.XT-C TT(CA2)'!M21</f>
        <v>0</v>
      </c>
      <c r="AB20" s="1758">
        <f>'3.XT-C TT(CA2)'!O21</f>
        <v>0</v>
      </c>
      <c r="AC20" s="1752">
        <f>'3.XT-C TT(CA2)'!AF21</f>
        <v>0</v>
      </c>
      <c r="AD20" s="1735">
        <f>'3.XT-C TT(CA2)'!AH21</f>
        <v>0</v>
      </c>
      <c r="AE20" s="1735"/>
      <c r="AF20" s="1735">
        <f>'3.XT-C TT(CA2)'!Q21</f>
        <v>0.1323125</v>
      </c>
      <c r="AG20" s="1758">
        <f>'3.XT-C TT(CA2)'!S21</f>
        <v>57.201374999999985</v>
      </c>
      <c r="AH20" s="1752">
        <f>'3.XT-C TT(CA2)'!AJ21</f>
        <v>0</v>
      </c>
      <c r="AI20" s="1735">
        <f>'3.XT-C TT(CA2)'!AL21</f>
        <v>0</v>
      </c>
      <c r="AJ20" s="1611"/>
      <c r="AK20" s="1624"/>
      <c r="AL20" s="1628">
        <f t="shared" si="0"/>
        <v>300.76199999999994</v>
      </c>
      <c r="AM20" s="1628">
        <f t="shared" si="1"/>
        <v>0</v>
      </c>
    </row>
    <row r="21" spans="1:40" s="19" customFormat="1" ht="23.25" customHeight="1">
      <c r="A21" s="1693">
        <v>17</v>
      </c>
      <c r="B21" s="2877" t="s">
        <v>1389</v>
      </c>
      <c r="C21" s="2878"/>
      <c r="D21" s="2878"/>
      <c r="E21" s="1764" t="s">
        <v>3</v>
      </c>
      <c r="F21" s="1764" t="s">
        <v>10</v>
      </c>
      <c r="G21" s="1765">
        <f>'3.XT-C TT'!I22</f>
        <v>7.5599999999999999E-3</v>
      </c>
      <c r="H21" s="1766">
        <f>'3.XT-C TT'!K22</f>
        <v>6.9806622516556294</v>
      </c>
      <c r="I21" s="1767">
        <f>'3.XT-C TT'!AB22</f>
        <v>0</v>
      </c>
      <c r="J21" s="1735">
        <f>'3.XT-C TT'!AD22</f>
        <v>0</v>
      </c>
      <c r="K21" s="1768"/>
      <c r="L21" s="1765">
        <f>'3.XT-C TT'!M22</f>
        <v>7.5599999999999999E-3</v>
      </c>
      <c r="M21" s="1766">
        <f>'3.XT-C TT'!O22</f>
        <v>6.9806622516556294</v>
      </c>
      <c r="N21" s="1767">
        <f>'3.XT-C TT'!AF22</f>
        <v>0</v>
      </c>
      <c r="O21" s="1735">
        <f>'3.XT-C TT'!AH22</f>
        <v>0</v>
      </c>
      <c r="P21" s="1768"/>
      <c r="Q21" s="1765">
        <f>'3.XT-C TT'!Q22</f>
        <v>7.4340000000000005E-3</v>
      </c>
      <c r="R21" s="1766">
        <f>'3.XT-C TT'!S22</f>
        <v>7.3411390728476809</v>
      </c>
      <c r="S21" s="1767">
        <f>'3.XT-C TT'!AJ22</f>
        <v>0</v>
      </c>
      <c r="T21" s="1735">
        <f>'3.XT-C TT'!AL22</f>
        <v>0</v>
      </c>
      <c r="U21" s="1768"/>
      <c r="V21" s="1765">
        <f>'3.XT-C TT(CA2)'!I22</f>
        <v>7.1820000000000009E-3</v>
      </c>
      <c r="W21" s="1766">
        <f>'3.XT-C TT(CA2)'!K22</f>
        <v>8.0620927152317847</v>
      </c>
      <c r="X21" s="1767">
        <f>'3.XT-C TT(CA2)'!AB22</f>
        <v>0</v>
      </c>
      <c r="Y21" s="1735">
        <f>'3.XT-C TT(CA2)'!AD22</f>
        <v>0</v>
      </c>
      <c r="Z21" s="1765"/>
      <c r="AA21" s="1765">
        <f>'3.XT-C TT(CA2)'!M22</f>
        <v>0</v>
      </c>
      <c r="AB21" s="1766">
        <f>'3.XT-C TT(CA2)'!O22</f>
        <v>0</v>
      </c>
      <c r="AC21" s="1767">
        <f>'3.XT-C TT(CA2)'!AF22</f>
        <v>0</v>
      </c>
      <c r="AD21" s="1735">
        <f>'3.XT-C TT(CA2)'!AH22</f>
        <v>0</v>
      </c>
      <c r="AE21" s="1765"/>
      <c r="AF21" s="1765">
        <f>'3.XT-C TT(CA2)'!Q22</f>
        <v>6.9300000000000004E-3</v>
      </c>
      <c r="AG21" s="1766">
        <f>'3.XT-C TT(CA2)'!S22</f>
        <v>8.783046357615893</v>
      </c>
      <c r="AH21" s="1767">
        <f>'3.XT-C TT(CA2)'!AJ22</f>
        <v>0</v>
      </c>
      <c r="AI21" s="1735">
        <f>'3.XT-C TT(CA2)'!AL22</f>
        <v>0</v>
      </c>
      <c r="AJ21" s="1768"/>
      <c r="AK21" s="1624"/>
      <c r="AL21" s="1769">
        <f t="shared" si="0"/>
        <v>38.147602649006615</v>
      </c>
      <c r="AM21" s="1769">
        <f t="shared" si="1"/>
        <v>0</v>
      </c>
    </row>
    <row r="22" spans="1:40" s="413" customFormat="1" ht="33.75" customHeight="1">
      <c r="A22" s="1539">
        <v>19</v>
      </c>
      <c r="B22" s="3135" t="s">
        <v>1388</v>
      </c>
      <c r="C22" s="3135"/>
      <c r="D22" s="3135"/>
      <c r="E22" s="1694" t="s">
        <v>3</v>
      </c>
      <c r="F22" s="1694" t="s">
        <v>10</v>
      </c>
      <c r="G22" s="1780"/>
      <c r="H22" s="1781"/>
      <c r="I22" s="1782"/>
      <c r="J22" s="1782"/>
      <c r="K22" s="1782"/>
      <c r="L22" s="55"/>
      <c r="M22" s="1789"/>
      <c r="N22" s="743"/>
      <c r="O22" s="743"/>
      <c r="P22" s="743"/>
      <c r="Q22" s="1783"/>
      <c r="R22" s="1781"/>
      <c r="S22" s="1782"/>
      <c r="T22" s="1782"/>
      <c r="U22" s="1782"/>
      <c r="V22" s="1783"/>
      <c r="W22" s="1781"/>
      <c r="X22" s="1782"/>
      <c r="Y22" s="1782"/>
      <c r="Z22" s="1782"/>
      <c r="AA22" s="55"/>
      <c r="AB22" s="1789"/>
      <c r="AC22" s="743"/>
      <c r="AD22" s="743"/>
      <c r="AE22" s="743"/>
      <c r="AF22" s="1783"/>
      <c r="AG22" s="1781">
        <f>'4.ZN-NI tt(CA2)'!S5</f>
        <v>0</v>
      </c>
      <c r="AH22" s="1782"/>
      <c r="AI22" s="1782"/>
      <c r="AJ22" s="1782"/>
      <c r="AK22" s="1782"/>
      <c r="AL22" s="1239">
        <f t="shared" si="0"/>
        <v>0</v>
      </c>
      <c r="AM22" s="1239">
        <f t="shared" si="1"/>
        <v>0</v>
      </c>
    </row>
    <row r="23" spans="1:40" s="1741" customFormat="1" ht="23.25" customHeight="1">
      <c r="A23" s="1770">
        <v>21</v>
      </c>
      <c r="B23" s="3256" t="s">
        <v>1387</v>
      </c>
      <c r="C23" s="3257"/>
      <c r="D23" s="1771" t="s">
        <v>117</v>
      </c>
      <c r="E23" s="1772" t="s">
        <v>4</v>
      </c>
      <c r="F23" s="1773" t="s">
        <v>1309</v>
      </c>
      <c r="G23" s="1784">
        <f>'4.ZN-NI tt(CA1)'!I6</f>
        <v>5.59</v>
      </c>
      <c r="H23" s="1775">
        <f>'4.ZN-NI tt(CA1)'!K6</f>
        <v>0</v>
      </c>
      <c r="I23" s="1775">
        <f>'4.ZN-NI tt(CA1)'!I19</f>
        <v>0</v>
      </c>
      <c r="J23" s="1775">
        <f>'4.ZN-NI tt(CA1)'!K19</f>
        <v>0</v>
      </c>
      <c r="K23" s="1785"/>
      <c r="L23" s="1794"/>
      <c r="M23" s="1795"/>
      <c r="N23" s="1796"/>
      <c r="O23" s="1797"/>
      <c r="P23" s="1798"/>
      <c r="Q23" s="1787">
        <f>'4.ZN-NI tt(CA1)'!Q6</f>
        <v>5.4600000000000009</v>
      </c>
      <c r="R23" s="1776">
        <f>'4.ZN-NI tt(CA1)'!K6</f>
        <v>0</v>
      </c>
      <c r="S23" s="1775">
        <f>'4.ZN-NI tt(CA1)'!Q19</f>
        <v>0</v>
      </c>
      <c r="T23" s="1775">
        <f>'4.ZN-NI tt(CA1)'!S20</f>
        <v>0</v>
      </c>
      <c r="U23" s="1782"/>
      <c r="V23" s="1774">
        <f>'4.ZN-NI tt(CA2)'!I6</f>
        <v>5.8500000000000005</v>
      </c>
      <c r="W23" s="1777">
        <f>'4.ZN-NI tt(CA2)'!K6</f>
        <v>0</v>
      </c>
      <c r="X23" s="1775">
        <f>'4.ZN-NI tt(CA2)'!I19</f>
        <v>0</v>
      </c>
      <c r="Y23" s="1775">
        <f>'4.ZN-NI tt(CA2)'!K19</f>
        <v>0</v>
      </c>
      <c r="Z23" s="1792"/>
      <c r="AA23" s="1806"/>
      <c r="AB23" s="1797"/>
      <c r="AC23" s="1797"/>
      <c r="AD23" s="1807"/>
      <c r="AE23" s="1808"/>
      <c r="AF23" s="1787">
        <f>'4.ZN-NI tt(CA2)'!Q6</f>
        <v>5.8500000000000005</v>
      </c>
      <c r="AG23" s="1776">
        <f>'4.ZN-NI tt(CA2)'!S6</f>
        <v>0</v>
      </c>
      <c r="AH23" s="1775">
        <f>'4.ZN-NI tt(CA2)'!Q19</f>
        <v>0</v>
      </c>
      <c r="AI23" s="1775">
        <f>'4.ZN-NI tt(CA2)'!S19</f>
        <v>0</v>
      </c>
      <c r="AJ23" s="1678"/>
      <c r="AK23" s="1740"/>
      <c r="AL23" s="1778">
        <f>AG23+AB23+W23+R23+M23+H23</f>
        <v>0</v>
      </c>
      <c r="AM23" s="1779">
        <f>AH23+AC23+X23+S23+N23+I23</f>
        <v>0</v>
      </c>
      <c r="AN23" s="1744"/>
    </row>
    <row r="24" spans="1:40" s="1741" customFormat="1" ht="23.25" customHeight="1">
      <c r="A24" s="1736">
        <v>22</v>
      </c>
      <c r="B24" s="3258"/>
      <c r="C24" s="3259"/>
      <c r="D24" s="1737" t="s">
        <v>101</v>
      </c>
      <c r="E24" s="1738" t="s">
        <v>4</v>
      </c>
      <c r="F24" s="1739" t="s">
        <v>1309</v>
      </c>
      <c r="G24" s="1735">
        <f>'4.ZN-NI tt(CA1)'!I7</f>
        <v>134</v>
      </c>
      <c r="H24" s="1612">
        <f>'4.ZN-NI tt(CA1)'!K7</f>
        <v>8</v>
      </c>
      <c r="I24" s="1775">
        <f>'4.ZN-NI tt(CA1)'!I20</f>
        <v>0</v>
      </c>
      <c r="J24" s="1612">
        <f>'4.ZN-NI tt(CA1)'!K20</f>
        <v>0</v>
      </c>
      <c r="K24" s="1743"/>
      <c r="L24" s="1799"/>
      <c r="M24" s="1790"/>
      <c r="N24" s="1791"/>
      <c r="O24" s="1624"/>
      <c r="P24" s="1800"/>
      <c r="Q24" s="1788">
        <f>'4.ZN-NI tt(CA1)'!Q7</f>
        <v>135.6</v>
      </c>
      <c r="R24" s="1759">
        <f>'4.ZN-NI tt(CA1)'!K7</f>
        <v>8</v>
      </c>
      <c r="S24" s="1612">
        <f>'4.ZN-NI tt(CA1)'!Q20</f>
        <v>0</v>
      </c>
      <c r="T24" s="1612">
        <f>'4.ZN-NI tt(CA1)'!S21</f>
        <v>0</v>
      </c>
      <c r="U24" s="1782"/>
      <c r="V24" s="1613">
        <f>'4.ZN-NI tt(CA2)'!I7</f>
        <v>133.6</v>
      </c>
      <c r="W24" s="1758">
        <f>'4.ZN-NI tt(CA2)'!K7</f>
        <v>11.200000000000045</v>
      </c>
      <c r="X24" s="1612">
        <f>'4.ZN-NI tt(CA2)'!I20</f>
        <v>0</v>
      </c>
      <c r="Y24" s="1612">
        <f>'4.ZN-NI tt(CA2)'!K20</f>
        <v>0</v>
      </c>
      <c r="Z24" s="1701"/>
      <c r="AA24" s="1809"/>
      <c r="AB24" s="1624"/>
      <c r="AC24" s="1624"/>
      <c r="AD24" s="1625"/>
      <c r="AE24" s="1810"/>
      <c r="AF24" s="1788">
        <f>'4.ZN-NI tt(CA2)'!Q7</f>
        <v>132.80000000000001</v>
      </c>
      <c r="AG24" s="1759">
        <f>'4.ZN-NI tt(CA2)'!S7</f>
        <v>17.599999999999909</v>
      </c>
      <c r="AH24" s="1612">
        <f>'4.ZN-NI tt(CA2)'!Q20</f>
        <v>15</v>
      </c>
      <c r="AI24" s="1612">
        <f>'4.ZN-NI tt(CA2)'!S20</f>
        <v>134</v>
      </c>
      <c r="AJ24" s="1692"/>
      <c r="AK24" s="1740"/>
      <c r="AL24" s="1239">
        <f t="shared" ref="AL24:AM25" si="2">AG24+AB24+W24+R24+M24+H24</f>
        <v>44.799999999999955</v>
      </c>
      <c r="AM24" s="1763">
        <f t="shared" si="2"/>
        <v>15</v>
      </c>
    </row>
    <row r="25" spans="1:40" s="1741" customFormat="1" ht="23.25" customHeight="1">
      <c r="A25" s="1736">
        <v>23</v>
      </c>
      <c r="B25" s="3260" t="s">
        <v>1386</v>
      </c>
      <c r="C25" s="3261"/>
      <c r="D25" s="3262"/>
      <c r="E25" s="1739" t="s">
        <v>3</v>
      </c>
      <c r="F25" s="1739" t="s">
        <v>10</v>
      </c>
      <c r="G25" s="1735">
        <f>'4.ZN-NI tt(CA1)'!I8</f>
        <v>4.0999999999999996</v>
      </c>
      <c r="H25" s="1612">
        <f>'4.ZN-NI tt(CA1)'!K8</f>
        <v>0</v>
      </c>
      <c r="I25" s="1775">
        <f>'4.ZN-NI tt(CA1)'!I21</f>
        <v>0</v>
      </c>
      <c r="J25" s="1612">
        <f>'4.ZN-NI tt(CA1)'!K21</f>
        <v>0</v>
      </c>
      <c r="K25" s="1786"/>
      <c r="L25" s="1801"/>
      <c r="M25" s="1802"/>
      <c r="N25" s="1803"/>
      <c r="O25" s="1804"/>
      <c r="P25" s="1805"/>
      <c r="Q25" s="1788">
        <f>'4.ZN-NI tt(CA1)'!Q8</f>
        <v>4.0999999999999996</v>
      </c>
      <c r="R25" s="1759">
        <f>'4.ZN-NI tt(CA1)'!K8</f>
        <v>0</v>
      </c>
      <c r="S25" s="1612">
        <f>'4.ZN-NI tt(CA1)'!Q21</f>
        <v>0</v>
      </c>
      <c r="T25" s="1612">
        <f>'4.ZN-NI tt(CA1)'!S22</f>
        <v>0</v>
      </c>
      <c r="U25" s="1782"/>
      <c r="V25" s="1613">
        <f>'4.ZN-NI tt(CA2)'!I8</f>
        <v>4.1500000000000004</v>
      </c>
      <c r="W25" s="1758">
        <f>'4.ZN-NI tt(CA2)'!K8</f>
        <v>0</v>
      </c>
      <c r="X25" s="1612">
        <f>'4.ZN-NI tt(CA2)'!I21</f>
        <v>0</v>
      </c>
      <c r="Y25" s="1612">
        <f>'4.ZN-NI tt(CA2)'!K21</f>
        <v>0</v>
      </c>
      <c r="Z25" s="1793"/>
      <c r="AA25" s="1811"/>
      <c r="AB25" s="1804"/>
      <c r="AC25" s="1804"/>
      <c r="AD25" s="1812"/>
      <c r="AE25" s="1813"/>
      <c r="AF25" s="1788">
        <f>'4.ZN-NI tt(CA2)'!Q8</f>
        <v>4.1100000000000003</v>
      </c>
      <c r="AG25" s="1759">
        <f>'4.ZN-NI tt(CA2)'!S8</f>
        <v>0</v>
      </c>
      <c r="AH25" s="1612">
        <f>'4.ZN-NI tt(CA2)'!Q21</f>
        <v>0</v>
      </c>
      <c r="AI25" s="1612">
        <f>'4.ZN-NI tt(CA2)'!S21</f>
        <v>0</v>
      </c>
      <c r="AJ25" s="1611"/>
      <c r="AK25" s="1740"/>
      <c r="AL25" s="1763">
        <f t="shared" si="2"/>
        <v>0</v>
      </c>
      <c r="AM25" s="1763">
        <f t="shared" si="2"/>
        <v>0</v>
      </c>
    </row>
  </sheetData>
  <sheetProtection selectLockedCells="1"/>
  <mergeCells count="28">
    <mergeCell ref="V4:Z4"/>
    <mergeCell ref="AA4:AE4"/>
    <mergeCell ref="AF4:AJ4"/>
    <mergeCell ref="Q4:U4"/>
    <mergeCell ref="B3:E3"/>
    <mergeCell ref="A4:A5"/>
    <mergeCell ref="E4:E5"/>
    <mergeCell ref="G4:K4"/>
    <mergeCell ref="L4:P4"/>
    <mergeCell ref="B5:C5"/>
    <mergeCell ref="D4:D5"/>
    <mergeCell ref="F4:F5"/>
    <mergeCell ref="B22:D22"/>
    <mergeCell ref="B23:C24"/>
    <mergeCell ref="B25:D25"/>
    <mergeCell ref="B21:D21"/>
    <mergeCell ref="B6:C7"/>
    <mergeCell ref="B8:C9"/>
    <mergeCell ref="B10:C11"/>
    <mergeCell ref="B12:C13"/>
    <mergeCell ref="B14:B15"/>
    <mergeCell ref="C14:D14"/>
    <mergeCell ref="C15:D15"/>
    <mergeCell ref="B16:D16"/>
    <mergeCell ref="B17:D17"/>
    <mergeCell ref="B18:D18"/>
    <mergeCell ref="B19:D19"/>
    <mergeCell ref="B20:D20"/>
  </mergeCells>
  <pageMargins left="0.3" right="0" top="0" bottom="0" header="0" footer="0"/>
  <pageSetup paperSize="9" scale="55" orientation="landscape" verticalDpi="300" r:id="rId1"/>
  <headerFooter scaleWithDoc="0" alignWithMargins="0"/>
  <drawing r:id="rId2"/>
</worksheet>
</file>

<file path=xl/worksheets/sheet30.xml><?xml version="1.0" encoding="utf-8"?>
<worksheet xmlns="http://schemas.openxmlformats.org/spreadsheetml/2006/main" xmlns:r="http://schemas.openxmlformats.org/officeDocument/2006/relationships">
  <sheetPr codeName="Sheet18">
    <tabColor rgb="FF7030A0"/>
  </sheetPr>
  <dimension ref="A1:O33"/>
  <sheetViews>
    <sheetView zoomScale="70" zoomScaleNormal="70" workbookViewId="0">
      <selection activeCell="I19" sqref="I19:J19"/>
    </sheetView>
  </sheetViews>
  <sheetFormatPr defaultRowHeight="28.5" customHeight="1"/>
  <cols>
    <col min="1" max="1" width="6.375" style="343" customWidth="1"/>
    <col min="2" max="2" width="15.375" style="343" customWidth="1"/>
    <col min="3" max="3" width="16.5" style="343" customWidth="1"/>
    <col min="4" max="4" width="15.375" style="343" customWidth="1"/>
    <col min="5" max="5" width="12.125" style="343" customWidth="1"/>
    <col min="6" max="6" width="15.375" style="343" customWidth="1"/>
    <col min="7" max="7" width="4.875" style="343" customWidth="1"/>
    <col min="8" max="8" width="6.75" style="392" customWidth="1"/>
    <col min="9" max="9" width="14.625" style="392" customWidth="1"/>
    <col min="10" max="10" width="14.125" style="392" customWidth="1"/>
    <col min="11" max="11" width="16.5" style="392" customWidth="1"/>
    <col min="12" max="12" width="11.875" style="392" customWidth="1"/>
    <col min="13" max="13" width="9.875" style="392" customWidth="1"/>
    <col min="14" max="16384" width="9" style="343"/>
  </cols>
  <sheetData>
    <row r="1" spans="1:14" ht="28.5" customHeight="1">
      <c r="A1" s="342" t="s">
        <v>361</v>
      </c>
      <c r="H1" s="344" t="s">
        <v>362</v>
      </c>
      <c r="I1" s="345"/>
      <c r="J1" s="345"/>
      <c r="K1" s="345"/>
      <c r="L1" s="345"/>
      <c r="M1" s="345"/>
      <c r="N1" s="345"/>
    </row>
    <row r="2" spans="1:14" ht="28.5" customHeight="1">
      <c r="A2" s="346"/>
      <c r="B2" s="347" t="s">
        <v>363</v>
      </c>
      <c r="C2" s="348"/>
      <c r="D2" s="348"/>
      <c r="E2" s="348"/>
      <c r="F2" s="348"/>
      <c r="H2" s="345"/>
      <c r="I2" s="349"/>
      <c r="J2" s="345"/>
      <c r="K2" s="345"/>
      <c r="L2" s="345"/>
      <c r="M2" s="345"/>
      <c r="N2" s="345"/>
    </row>
    <row r="3" spans="1:14" s="353" customFormat="1" ht="33" customHeight="1">
      <c r="A3" s="350" t="s">
        <v>364</v>
      </c>
      <c r="B3" s="351" t="s">
        <v>365</v>
      </c>
      <c r="C3" s="351" t="s">
        <v>366</v>
      </c>
      <c r="D3" s="351" t="s">
        <v>367</v>
      </c>
      <c r="E3" s="351" t="s">
        <v>368</v>
      </c>
      <c r="F3" s="352" t="s">
        <v>3</v>
      </c>
      <c r="H3" s="354" t="s">
        <v>364</v>
      </c>
      <c r="I3" s="355" t="s">
        <v>365</v>
      </c>
      <c r="J3" s="355" t="s">
        <v>366</v>
      </c>
      <c r="K3" s="355" t="s">
        <v>367</v>
      </c>
      <c r="L3" s="355" t="s">
        <v>368</v>
      </c>
      <c r="M3" s="45" t="s">
        <v>3</v>
      </c>
      <c r="N3" s="356"/>
    </row>
    <row r="4" spans="1:14" ht="25.5" customHeight="1">
      <c r="A4" s="357">
        <v>1</v>
      </c>
      <c r="B4" s="358"/>
      <c r="C4" s="358"/>
      <c r="D4" s="358"/>
      <c r="E4" s="357">
        <f>D4-B4</f>
        <v>0</v>
      </c>
      <c r="F4" s="359" t="e">
        <f>E4/C4</f>
        <v>#DIV/0!</v>
      </c>
      <c r="H4" s="360">
        <v>1</v>
      </c>
      <c r="I4" s="361"/>
      <c r="J4" s="361"/>
      <c r="K4" s="361"/>
      <c r="L4" s="360">
        <f>K4-I4</f>
        <v>0</v>
      </c>
      <c r="M4" s="362" t="e">
        <f>L4/J4</f>
        <v>#DIV/0!</v>
      </c>
      <c r="N4" s="345"/>
    </row>
    <row r="5" spans="1:14" ht="25.5" customHeight="1">
      <c r="A5" s="357">
        <v>2</v>
      </c>
      <c r="B5" s="358"/>
      <c r="C5" s="358"/>
      <c r="D5" s="358"/>
      <c r="E5" s="357">
        <f>D5-B5</f>
        <v>0</v>
      </c>
      <c r="F5" s="359"/>
      <c r="H5" s="360">
        <v>2</v>
      </c>
      <c r="I5" s="361"/>
      <c r="J5" s="361"/>
      <c r="K5" s="361"/>
      <c r="L5" s="360">
        <f>K5-I5</f>
        <v>0</v>
      </c>
      <c r="M5" s="362"/>
      <c r="N5" s="345"/>
    </row>
    <row r="6" spans="1:14" ht="28.5" customHeight="1">
      <c r="A6" s="363"/>
      <c r="B6" s="363"/>
      <c r="C6" s="363"/>
      <c r="D6" s="363"/>
      <c r="E6" s="363"/>
      <c r="F6" s="364" t="e">
        <f>AVERAGE(F4:F5)</f>
        <v>#DIV/0!</v>
      </c>
      <c r="H6" s="365"/>
      <c r="I6" s="365"/>
      <c r="J6" s="365"/>
      <c r="K6" s="365"/>
      <c r="L6" s="365"/>
      <c r="M6" s="366" t="e">
        <f>AVERAGE(M4:M5)</f>
        <v>#DIV/0!</v>
      </c>
      <c r="N6" s="345"/>
    </row>
    <row r="7" spans="1:14" s="370" customFormat="1" ht="28.5" customHeight="1">
      <c r="A7" s="367"/>
      <c r="B7" s="368" t="s">
        <v>369</v>
      </c>
      <c r="C7" s="367"/>
      <c r="D7" s="367"/>
      <c r="E7" s="367"/>
      <c r="F7" s="369"/>
      <c r="H7" s="344" t="s">
        <v>370</v>
      </c>
      <c r="I7" s="349"/>
      <c r="J7" s="371"/>
      <c r="K7" s="371"/>
      <c r="L7" s="371"/>
      <c r="M7" s="372"/>
      <c r="N7" s="373"/>
    </row>
    <row r="8" spans="1:14" ht="36" customHeight="1">
      <c r="A8" s="374" t="s">
        <v>364</v>
      </c>
      <c r="B8" s="375" t="s">
        <v>365</v>
      </c>
      <c r="C8" s="375" t="s">
        <v>366</v>
      </c>
      <c r="D8" s="375" t="s">
        <v>367</v>
      </c>
      <c r="E8" s="375" t="s">
        <v>368</v>
      </c>
      <c r="F8" s="283" t="s">
        <v>3</v>
      </c>
      <c r="H8" s="354" t="s">
        <v>364</v>
      </c>
      <c r="I8" s="355" t="s">
        <v>365</v>
      </c>
      <c r="J8" s="355" t="s">
        <v>366</v>
      </c>
      <c r="K8" s="355" t="s">
        <v>367</v>
      </c>
      <c r="L8" s="355" t="s">
        <v>368</v>
      </c>
      <c r="M8" s="45" t="s">
        <v>3</v>
      </c>
      <c r="N8" s="345"/>
    </row>
    <row r="9" spans="1:14" ht="25.5" customHeight="1">
      <c r="A9" s="376">
        <v>1</v>
      </c>
      <c r="B9" s="377"/>
      <c r="C9" s="377"/>
      <c r="D9" s="377"/>
      <c r="E9" s="376">
        <f>D9-B9</f>
        <v>0</v>
      </c>
      <c r="F9" s="378" t="e">
        <f>E9/C9</f>
        <v>#DIV/0!</v>
      </c>
      <c r="H9" s="360">
        <v>1</v>
      </c>
      <c r="I9" s="361"/>
      <c r="J9" s="361"/>
      <c r="K9" s="361"/>
      <c r="L9" s="360">
        <f>K9-I9</f>
        <v>0</v>
      </c>
      <c r="M9" s="362" t="e">
        <f>L9/J9</f>
        <v>#DIV/0!</v>
      </c>
      <c r="N9" s="345"/>
    </row>
    <row r="10" spans="1:14" ht="25.5" customHeight="1">
      <c r="A10" s="376">
        <v>2</v>
      </c>
      <c r="B10" s="377"/>
      <c r="C10" s="377"/>
      <c r="D10" s="377"/>
      <c r="E10" s="376">
        <f>D10-B10</f>
        <v>0</v>
      </c>
      <c r="F10" s="378"/>
      <c r="H10" s="360">
        <v>2</v>
      </c>
      <c r="I10" s="361"/>
      <c r="J10" s="361"/>
      <c r="K10" s="361"/>
      <c r="L10" s="360">
        <f>K10-I10</f>
        <v>0</v>
      </c>
      <c r="M10" s="362"/>
      <c r="N10" s="345"/>
    </row>
    <row r="11" spans="1:14" ht="28.5" customHeight="1">
      <c r="A11" s="379"/>
      <c r="B11" s="379"/>
      <c r="C11" s="379"/>
      <c r="D11" s="379"/>
      <c r="E11" s="379"/>
      <c r="F11" s="380" t="e">
        <f>AVERAGE(F9:F10)</f>
        <v>#DIV/0!</v>
      </c>
      <c r="H11" s="365"/>
      <c r="I11" s="365"/>
      <c r="J11" s="365"/>
      <c r="K11" s="365"/>
      <c r="L11" s="365"/>
      <c r="M11" s="372" t="e">
        <f>AVERAGE(M9:M10)</f>
        <v>#DIV/0!</v>
      </c>
      <c r="N11" s="381" t="e">
        <f>IF(M11&lt;0,0,M11)</f>
        <v>#DIV/0!</v>
      </c>
    </row>
    <row r="12" spans="1:14" ht="28.5" customHeight="1">
      <c r="A12" s="342" t="s">
        <v>371</v>
      </c>
      <c r="H12" s="345"/>
      <c r="I12" s="345"/>
      <c r="J12" s="345"/>
      <c r="K12" s="345"/>
      <c r="L12" s="345"/>
      <c r="M12" s="345"/>
      <c r="N12" s="345"/>
    </row>
    <row r="13" spans="1:14" ht="28.5" customHeight="1">
      <c r="A13" s="348"/>
      <c r="B13" s="347" t="s">
        <v>372</v>
      </c>
      <c r="C13" s="348"/>
      <c r="D13" s="348"/>
      <c r="E13" s="348"/>
      <c r="F13" s="348"/>
      <c r="H13" s="343"/>
      <c r="I13" s="343"/>
      <c r="J13" s="343"/>
      <c r="K13" s="343"/>
      <c r="L13" s="343"/>
      <c r="M13" s="343"/>
    </row>
    <row r="14" spans="1:14" ht="33.75" customHeight="1">
      <c r="A14" s="350" t="s">
        <v>364</v>
      </c>
      <c r="B14" s="351" t="s">
        <v>365</v>
      </c>
      <c r="C14" s="351" t="s">
        <v>373</v>
      </c>
      <c r="D14" s="351" t="s">
        <v>367</v>
      </c>
      <c r="E14" s="351" t="s">
        <v>368</v>
      </c>
      <c r="F14" s="352" t="s">
        <v>3</v>
      </c>
      <c r="H14" s="343"/>
      <c r="I14" s="1938" t="str">
        <f>MENU!$AC$9</f>
        <v>Thứ 3,</v>
      </c>
      <c r="J14" s="3270" t="str">
        <f>MENU!$AD$9</f>
        <v>2024/01/09</v>
      </c>
      <c r="K14" s="3270"/>
      <c r="L14" s="382"/>
      <c r="M14" s="343"/>
    </row>
    <row r="15" spans="1:14" ht="28.5" customHeight="1">
      <c r="A15" s="357">
        <v>1</v>
      </c>
      <c r="B15" s="358"/>
      <c r="C15" s="358"/>
      <c r="D15" s="358"/>
      <c r="E15" s="357">
        <f>D15-B15</f>
        <v>0</v>
      </c>
      <c r="F15" s="359" t="e">
        <f>E15/C15</f>
        <v>#DIV/0!</v>
      </c>
      <c r="H15" s="343"/>
      <c r="I15" s="3273" t="s">
        <v>374</v>
      </c>
      <c r="J15" s="3274"/>
      <c r="K15" s="383" t="s">
        <v>375</v>
      </c>
      <c r="L15" s="384" t="str">
        <f>IFERROR(IF(F6&lt;0,"",F6),"")</f>
        <v/>
      </c>
      <c r="M15" s="343"/>
    </row>
    <row r="16" spans="1:14" ht="28.5" customHeight="1">
      <c r="A16" s="357">
        <v>2</v>
      </c>
      <c r="B16" s="358"/>
      <c r="C16" s="358"/>
      <c r="D16" s="358"/>
      <c r="E16" s="357">
        <f>D16-B16</f>
        <v>0</v>
      </c>
      <c r="F16" s="359" t="e">
        <f>E16/C16</f>
        <v>#DIV/0!</v>
      </c>
      <c r="H16" s="343"/>
      <c r="I16" s="3273" t="s">
        <v>376</v>
      </c>
      <c r="J16" s="3274"/>
      <c r="K16" s="383" t="s">
        <v>377</v>
      </c>
      <c r="L16" s="384" t="str">
        <f>IFERROR(IF(F19&lt;0,"",F19),"")</f>
        <v/>
      </c>
      <c r="M16" s="343"/>
    </row>
    <row r="17" spans="1:15" ht="28.5" hidden="1" customHeight="1">
      <c r="A17" s="357">
        <v>3</v>
      </c>
      <c r="B17" s="358"/>
      <c r="C17" s="358"/>
      <c r="D17" s="358"/>
      <c r="E17" s="357">
        <f>D17-B17</f>
        <v>0</v>
      </c>
      <c r="F17" s="359"/>
      <c r="H17" s="343"/>
      <c r="I17" s="3275" t="s">
        <v>378</v>
      </c>
      <c r="J17" s="3276"/>
      <c r="K17" s="385" t="s">
        <v>375</v>
      </c>
      <c r="L17" s="386" t="str">
        <f>IFERROR(IF(F11&lt;0,"",F11),"")</f>
        <v/>
      </c>
      <c r="M17" s="343"/>
    </row>
    <row r="18" spans="1:15" ht="28.5" hidden="1" customHeight="1">
      <c r="A18" s="387"/>
      <c r="B18" s="387"/>
      <c r="C18" s="387"/>
      <c r="D18" s="387"/>
      <c r="E18" s="387"/>
      <c r="F18" s="388" t="e">
        <f>AVERAGE(F15:F17)/0.8095</f>
        <v>#DIV/0!</v>
      </c>
      <c r="H18" s="343"/>
      <c r="I18" s="3275" t="s">
        <v>379</v>
      </c>
      <c r="J18" s="3276"/>
      <c r="K18" s="385" t="s">
        <v>377</v>
      </c>
      <c r="L18" s="386" t="str">
        <f>IFERROR(IF(F26&lt;0,"",F26),"")</f>
        <v/>
      </c>
      <c r="M18" s="343"/>
    </row>
    <row r="19" spans="1:15" ht="28.5" customHeight="1">
      <c r="A19" s="363"/>
      <c r="B19" s="389"/>
      <c r="C19" s="389"/>
      <c r="D19" s="389"/>
      <c r="E19" s="363"/>
      <c r="F19" s="364" t="e">
        <f>F18/(F6-F18)</f>
        <v>#DIV/0!</v>
      </c>
      <c r="H19" s="343"/>
      <c r="I19" s="3271" t="s">
        <v>380</v>
      </c>
      <c r="J19" s="3272"/>
      <c r="K19" s="390" t="s">
        <v>381</v>
      </c>
      <c r="L19" s="391" t="str">
        <f>IFERROR(M6,"")</f>
        <v/>
      </c>
      <c r="M19" s="343"/>
    </row>
    <row r="20" spans="1:15" ht="28.5" customHeight="1">
      <c r="A20" s="392"/>
      <c r="B20" s="393" t="s">
        <v>382</v>
      </c>
      <c r="C20" s="394"/>
      <c r="D20" s="394"/>
      <c r="E20" s="392"/>
      <c r="F20" s="392"/>
      <c r="I20" s="3271" t="s">
        <v>383</v>
      </c>
      <c r="J20" s="3272"/>
      <c r="K20" s="390" t="s">
        <v>384</v>
      </c>
      <c r="L20" s="391" t="str">
        <f>IFERROR(N11,"")</f>
        <v/>
      </c>
    </row>
    <row r="21" spans="1:15" ht="36.75" customHeight="1">
      <c r="A21" s="374" t="s">
        <v>364</v>
      </c>
      <c r="B21" s="375" t="s">
        <v>365</v>
      </c>
      <c r="C21" s="375" t="s">
        <v>373</v>
      </c>
      <c r="D21" s="395" t="s">
        <v>367</v>
      </c>
      <c r="E21" s="375" t="s">
        <v>368</v>
      </c>
      <c r="F21" s="283" t="s">
        <v>3</v>
      </c>
    </row>
    <row r="22" spans="1:15" ht="24" customHeight="1">
      <c r="A22" s="376">
        <v>1</v>
      </c>
      <c r="B22" s="377"/>
      <c r="C22" s="377"/>
      <c r="D22" s="377"/>
      <c r="E22" s="376">
        <f>D22-B22</f>
        <v>0</v>
      </c>
      <c r="F22" s="378" t="e">
        <f>E22/C22</f>
        <v>#DIV/0!</v>
      </c>
    </row>
    <row r="23" spans="1:15" ht="24" customHeight="1">
      <c r="A23" s="376">
        <v>2</v>
      </c>
      <c r="B23" s="377"/>
      <c r="C23" s="377"/>
      <c r="D23" s="377"/>
      <c r="E23" s="376">
        <f>D23-B23</f>
        <v>0</v>
      </c>
      <c r="F23" s="378" t="e">
        <f>E23/C23</f>
        <v>#DIV/0!</v>
      </c>
    </row>
    <row r="24" spans="1:15" ht="24" customHeight="1">
      <c r="A24" s="376">
        <v>3</v>
      </c>
      <c r="B24" s="377"/>
      <c r="C24" s="377"/>
      <c r="D24" s="377"/>
      <c r="E24" s="376">
        <f>D24-B24</f>
        <v>0</v>
      </c>
      <c r="F24" s="378"/>
    </row>
    <row r="25" spans="1:15" ht="26.25" customHeight="1">
      <c r="A25" s="396"/>
      <c r="B25" s="396"/>
      <c r="C25" s="396"/>
      <c r="D25" s="396"/>
      <c r="E25" s="396"/>
      <c r="F25" s="397" t="e">
        <f>AVERAGE(F22:F24)/0.8095</f>
        <v>#DIV/0!</v>
      </c>
    </row>
    <row r="26" spans="1:15" ht="28.5" customHeight="1">
      <c r="A26" s="379"/>
      <c r="B26" s="379"/>
      <c r="C26" s="379"/>
      <c r="D26" s="379"/>
      <c r="E26" s="379"/>
      <c r="F26" s="380" t="e">
        <f>F25/(F11-F25)</f>
        <v>#DIV/0!</v>
      </c>
      <c r="O26" s="379"/>
    </row>
    <row r="27" spans="1:15" ht="28.5" customHeight="1">
      <c r="A27" s="398"/>
    </row>
    <row r="31" spans="1:15" ht="28.5" customHeight="1">
      <c r="G31" s="392"/>
    </row>
    <row r="32" spans="1:15" ht="28.5" customHeight="1">
      <c r="G32" s="392"/>
    </row>
    <row r="33" spans="7:7" ht="28.5" customHeight="1">
      <c r="G33" s="392"/>
    </row>
  </sheetData>
  <sheetProtection sheet="1" objects="1" scenarios="1" formatCells="0" formatColumns="0" formatRows="0" insertColumns="0" insertRows="0" insertHyperlinks="0" deleteColumns="0" deleteRows="0" selectLockedCells="1" sort="0" autoFilter="0" pivotTables="0"/>
  <mergeCells count="7">
    <mergeCell ref="J14:K14"/>
    <mergeCell ref="I20:J20"/>
    <mergeCell ref="I15:J15"/>
    <mergeCell ref="I16:J16"/>
    <mergeCell ref="I17:J17"/>
    <mergeCell ref="I18:J18"/>
    <mergeCell ref="I19:J19"/>
  </mergeCells>
  <phoneticPr fontId="7" type="noConversion"/>
  <pageMargins left="0.7" right="0.7" top="0.75" bottom="0.75" header="0.3" footer="0.3"/>
  <pageSetup paperSize="9" scale="85" orientation="landscape" verticalDpi="0" r:id="rId1"/>
  <drawing r:id="rId2"/>
</worksheet>
</file>

<file path=xl/worksheets/sheet31.xml><?xml version="1.0" encoding="utf-8"?>
<worksheet xmlns="http://schemas.openxmlformats.org/spreadsheetml/2006/main" xmlns:r="http://schemas.openxmlformats.org/officeDocument/2006/relationships">
  <sheetPr codeName="Sheet19">
    <tabColor rgb="FF7030A0"/>
  </sheetPr>
  <dimension ref="A1:H62"/>
  <sheetViews>
    <sheetView topLeftCell="A10" workbookViewId="0">
      <selection activeCell="H38" sqref="H38"/>
    </sheetView>
  </sheetViews>
  <sheetFormatPr defaultRowHeight="15" customHeight="1"/>
  <cols>
    <col min="1" max="1" width="31.875" style="1" customWidth="1"/>
    <col min="2" max="2" width="3.625" style="1" customWidth="1"/>
    <col min="3" max="3" width="6.25" style="1121" customWidth="1"/>
    <col min="4" max="8" width="6.25" style="1" customWidth="1"/>
    <col min="9" max="16384" width="9" style="1117"/>
  </cols>
  <sheetData>
    <row r="1" spans="1:8" ht="18" customHeight="1">
      <c r="A1" s="1110" t="s">
        <v>385</v>
      </c>
      <c r="B1" s="1110"/>
      <c r="C1" s="1115" t="s">
        <v>404</v>
      </c>
      <c r="D1" s="1116" t="s">
        <v>1484</v>
      </c>
      <c r="E1" s="1116" t="s">
        <v>1485</v>
      </c>
      <c r="F1" s="1116" t="s">
        <v>1486</v>
      </c>
      <c r="G1" s="1116" t="s">
        <v>1487</v>
      </c>
      <c r="H1" s="1116" t="s">
        <v>1491</v>
      </c>
    </row>
    <row r="2" spans="1:8" ht="15" customHeight="1">
      <c r="A2" s="3278" t="s">
        <v>1036</v>
      </c>
      <c r="B2" s="3279"/>
      <c r="C2" s="399"/>
      <c r="D2" s="399"/>
      <c r="E2" s="399"/>
      <c r="F2" s="399"/>
      <c r="G2" s="399"/>
      <c r="H2" s="399"/>
    </row>
    <row r="3" spans="1:8" ht="15" hidden="1" customHeight="1">
      <c r="A3" s="3278" t="s">
        <v>392</v>
      </c>
      <c r="B3" s="3279"/>
      <c r="C3" s="400"/>
      <c r="D3" s="400"/>
      <c r="E3" s="400"/>
      <c r="F3" s="400"/>
      <c r="G3" s="400"/>
      <c r="H3" s="400"/>
    </row>
    <row r="4" spans="1:8" ht="15" customHeight="1">
      <c r="A4" s="401" t="s">
        <v>393</v>
      </c>
      <c r="B4" s="3280">
        <v>3</v>
      </c>
      <c r="C4" s="400"/>
      <c r="D4" s="400"/>
      <c r="E4" s="400"/>
      <c r="F4" s="400"/>
      <c r="G4" s="400"/>
      <c r="H4" s="400"/>
    </row>
    <row r="5" spans="1:8" ht="15" customHeight="1">
      <c r="A5" s="402" t="s">
        <v>394</v>
      </c>
      <c r="B5" s="3281"/>
      <c r="C5" s="400"/>
      <c r="D5" s="400"/>
      <c r="E5" s="400"/>
      <c r="F5" s="400"/>
      <c r="G5" s="400"/>
      <c r="H5" s="400"/>
    </row>
    <row r="6" spans="1:8" ht="15" customHeight="1">
      <c r="A6" s="403" t="s">
        <v>395</v>
      </c>
      <c r="B6" s="3282"/>
      <c r="C6" s="400"/>
      <c r="D6" s="400"/>
      <c r="E6" s="400"/>
      <c r="F6" s="400"/>
      <c r="G6" s="400"/>
      <c r="H6" s="400"/>
    </row>
    <row r="7" spans="1:8" ht="15" customHeight="1">
      <c r="A7" s="404" t="s">
        <v>393</v>
      </c>
      <c r="B7" s="3280">
        <v>4</v>
      </c>
      <c r="C7" s="400"/>
      <c r="D7" s="400"/>
      <c r="E7" s="400"/>
      <c r="F7" s="400"/>
      <c r="G7" s="400"/>
      <c r="H7" s="400"/>
    </row>
    <row r="8" spans="1:8" ht="15" customHeight="1">
      <c r="A8" s="405" t="s">
        <v>394</v>
      </c>
      <c r="B8" s="3281"/>
      <c r="C8" s="400"/>
      <c r="D8" s="400"/>
      <c r="E8" s="400"/>
      <c r="F8" s="400"/>
      <c r="G8" s="400"/>
      <c r="H8" s="400"/>
    </row>
    <row r="9" spans="1:8" ht="15" customHeight="1">
      <c r="A9" s="406" t="s">
        <v>395</v>
      </c>
      <c r="B9" s="3282"/>
      <c r="C9" s="400"/>
      <c r="D9" s="400"/>
      <c r="E9" s="400"/>
      <c r="F9" s="400"/>
      <c r="G9" s="400"/>
      <c r="H9" s="400"/>
    </row>
    <row r="10" spans="1:8" ht="15" customHeight="1">
      <c r="A10" s="3283" t="s">
        <v>396</v>
      </c>
      <c r="B10" s="3284"/>
      <c r="C10" s="400"/>
      <c r="D10" s="400"/>
      <c r="E10" s="400"/>
      <c r="F10" s="400"/>
      <c r="G10" s="400"/>
      <c r="H10" s="400"/>
    </row>
    <row r="11" spans="1:8" ht="15" customHeight="1">
      <c r="A11" s="3285" t="s">
        <v>1037</v>
      </c>
      <c r="B11" s="3286"/>
      <c r="C11" s="400"/>
      <c r="D11" s="400"/>
      <c r="E11" s="400"/>
      <c r="F11" s="400"/>
      <c r="G11" s="400"/>
      <c r="H11" s="400"/>
    </row>
    <row r="12" spans="1:8" ht="15" customHeight="1">
      <c r="A12" s="3287" t="s">
        <v>397</v>
      </c>
      <c r="B12" s="3287"/>
      <c r="C12" s="407">
        <f>B4</f>
        <v>3</v>
      </c>
      <c r="D12" s="407">
        <f>B4</f>
        <v>3</v>
      </c>
      <c r="E12" s="407">
        <f>B4</f>
        <v>3</v>
      </c>
      <c r="F12" s="408">
        <f>B4</f>
        <v>3</v>
      </c>
      <c r="G12" s="408">
        <f>B4</f>
        <v>3</v>
      </c>
      <c r="H12" s="408">
        <f>B4</f>
        <v>3</v>
      </c>
    </row>
    <row r="13" spans="1:8" ht="15" customHeight="1">
      <c r="A13" s="3287" t="s">
        <v>397</v>
      </c>
      <c r="B13" s="3287"/>
      <c r="C13" s="407">
        <f>B7</f>
        <v>4</v>
      </c>
      <c r="D13" s="407">
        <f>B7</f>
        <v>4</v>
      </c>
      <c r="E13" s="407">
        <f>B7</f>
        <v>4</v>
      </c>
      <c r="F13" s="408">
        <f>B7</f>
        <v>4</v>
      </c>
      <c r="G13" s="408">
        <f>B7</f>
        <v>4</v>
      </c>
      <c r="H13" s="408">
        <f>B7</f>
        <v>4</v>
      </c>
    </row>
    <row r="14" spans="1:8" ht="15" customHeight="1">
      <c r="A14" s="409"/>
      <c r="B14" s="409"/>
      <c r="C14" s="410"/>
      <c r="D14" s="411"/>
      <c r="E14" s="411"/>
      <c r="F14" s="411"/>
      <c r="G14" s="411"/>
      <c r="H14" s="411"/>
    </row>
    <row r="15" spans="1:8" ht="21" customHeight="1">
      <c r="A15" s="1111" t="s">
        <v>1038</v>
      </c>
      <c r="B15" s="1111"/>
      <c r="C15" s="1115" t="s">
        <v>404</v>
      </c>
      <c r="D15" s="1116" t="s">
        <v>1484</v>
      </c>
      <c r="E15" s="1116" t="s">
        <v>1485</v>
      </c>
      <c r="F15" s="1116" t="s">
        <v>1486</v>
      </c>
      <c r="G15" s="1116" t="s">
        <v>1487</v>
      </c>
      <c r="H15" s="1116" t="s">
        <v>1491</v>
      </c>
    </row>
    <row r="16" spans="1:8" ht="15" customHeight="1">
      <c r="A16" s="3278" t="s">
        <v>1039</v>
      </c>
      <c r="B16" s="3279"/>
      <c r="C16" s="3"/>
      <c r="D16" s="412"/>
      <c r="E16" s="400"/>
      <c r="F16" s="400"/>
      <c r="G16" s="400"/>
      <c r="H16" s="400"/>
    </row>
    <row r="17" spans="1:8" ht="15" customHeight="1">
      <c r="A17" s="3278" t="s">
        <v>1036</v>
      </c>
      <c r="B17" s="3279"/>
      <c r="C17" s="3"/>
      <c r="D17" s="3"/>
      <c r="E17" s="3"/>
      <c r="F17" s="3"/>
      <c r="G17" s="3"/>
      <c r="H17" s="3"/>
    </row>
    <row r="18" spans="1:8" ht="15" customHeight="1">
      <c r="A18" s="3277" t="s">
        <v>398</v>
      </c>
      <c r="B18" s="3277"/>
      <c r="C18" s="413"/>
      <c r="D18" s="1095"/>
      <c r="E18" s="400"/>
      <c r="F18" s="400"/>
      <c r="G18" s="400"/>
      <c r="H18" s="400"/>
    </row>
    <row r="19" spans="1:8" ht="15" customHeight="1">
      <c r="A19" s="3277" t="s">
        <v>399</v>
      </c>
      <c r="B19" s="3277"/>
      <c r="C19" s="413"/>
      <c r="D19" s="1095"/>
      <c r="E19" s="400"/>
      <c r="F19" s="400"/>
      <c r="G19" s="400"/>
      <c r="H19" s="400"/>
    </row>
    <row r="20" spans="1:8" ht="15" customHeight="1">
      <c r="A20" s="3285" t="s">
        <v>400</v>
      </c>
      <c r="B20" s="3286"/>
      <c r="C20" s="3"/>
      <c r="D20" s="1095"/>
      <c r="E20" s="400"/>
      <c r="F20" s="400"/>
      <c r="G20" s="400"/>
      <c r="H20" s="400"/>
    </row>
    <row r="21" spans="1:8" ht="15" customHeight="1">
      <c r="A21" s="3283" t="s">
        <v>396</v>
      </c>
      <c r="B21" s="3284"/>
      <c r="C21" s="3"/>
      <c r="D21" s="413"/>
      <c r="E21" s="413"/>
      <c r="F21" s="413"/>
      <c r="G21" s="413"/>
      <c r="H21" s="413"/>
    </row>
    <row r="22" spans="1:8" ht="15" customHeight="1">
      <c r="A22" s="3285" t="s">
        <v>1037</v>
      </c>
      <c r="B22" s="3286"/>
      <c r="C22" s="413"/>
      <c r="D22" s="1095"/>
      <c r="E22" s="400"/>
      <c r="F22" s="400"/>
      <c r="G22" s="400"/>
      <c r="H22" s="400"/>
    </row>
    <row r="24" spans="1:8" ht="15" customHeight="1">
      <c r="A24" s="1112" t="s">
        <v>1040</v>
      </c>
      <c r="B24" s="1113"/>
      <c r="C24" s="1115" t="s">
        <v>404</v>
      </c>
      <c r="D24" s="1116" t="s">
        <v>1484</v>
      </c>
      <c r="E24" s="1116" t="s">
        <v>1485</v>
      </c>
      <c r="F24" s="1116" t="s">
        <v>1486</v>
      </c>
      <c r="G24" s="1116" t="s">
        <v>1487</v>
      </c>
      <c r="H24" s="1116" t="s">
        <v>1491</v>
      </c>
    </row>
    <row r="25" spans="1:8" ht="15" customHeight="1">
      <c r="A25" s="3278" t="s">
        <v>1039</v>
      </c>
      <c r="B25" s="3279"/>
      <c r="C25" s="412">
        <v>4.8</v>
      </c>
      <c r="D25" s="412">
        <v>4.8</v>
      </c>
      <c r="E25" s="412">
        <v>4.5999999999999996</v>
      </c>
      <c r="F25" s="412">
        <v>4.5</v>
      </c>
      <c r="G25" s="412">
        <v>4</v>
      </c>
      <c r="H25" s="412">
        <v>3.7</v>
      </c>
    </row>
    <row r="26" spans="1:8" ht="16.5" customHeight="1">
      <c r="A26" s="3278" t="s">
        <v>1036</v>
      </c>
      <c r="B26" s="3279"/>
      <c r="C26" s="412">
        <v>3</v>
      </c>
      <c r="D26" s="412">
        <v>3.1</v>
      </c>
      <c r="E26" s="412">
        <v>2.8</v>
      </c>
      <c r="F26" s="412">
        <v>2.9</v>
      </c>
      <c r="G26" s="412">
        <v>2.5</v>
      </c>
      <c r="H26" s="400">
        <v>2.9</v>
      </c>
    </row>
    <row r="27" spans="1:8" ht="15" customHeight="1">
      <c r="A27" s="404" t="s">
        <v>393</v>
      </c>
      <c r="B27" s="3280"/>
      <c r="C27" s="412">
        <v>5.5</v>
      </c>
      <c r="D27" s="3">
        <v>4.9000000000000004</v>
      </c>
      <c r="E27" s="3">
        <v>5.0999999999999996</v>
      </c>
      <c r="F27" s="400">
        <v>5</v>
      </c>
      <c r="G27" s="3">
        <v>4.5</v>
      </c>
      <c r="H27" s="400">
        <v>4.5</v>
      </c>
    </row>
    <row r="28" spans="1:8" ht="15" customHeight="1">
      <c r="A28" s="405" t="s">
        <v>394</v>
      </c>
      <c r="B28" s="3281"/>
      <c r="C28" s="412">
        <v>6.1</v>
      </c>
      <c r="D28" s="3">
        <v>5</v>
      </c>
      <c r="E28" s="3">
        <v>5</v>
      </c>
      <c r="F28" s="400">
        <v>5.2</v>
      </c>
      <c r="G28" s="3">
        <v>5.2</v>
      </c>
      <c r="H28" s="400">
        <v>5.3</v>
      </c>
    </row>
    <row r="29" spans="1:8" ht="15" customHeight="1">
      <c r="A29" s="406" t="s">
        <v>395</v>
      </c>
      <c r="B29" s="3282"/>
      <c r="C29" s="412">
        <v>0.4</v>
      </c>
      <c r="D29" s="3">
        <v>0.42</v>
      </c>
      <c r="E29" s="3">
        <v>0.72</v>
      </c>
      <c r="F29" s="400">
        <v>0.56000000000000005</v>
      </c>
      <c r="G29" s="3">
        <v>0.8</v>
      </c>
      <c r="H29" s="400">
        <v>0.64</v>
      </c>
    </row>
    <row r="30" spans="1:8" ht="15" hidden="1" customHeight="1">
      <c r="A30" s="404" t="s">
        <v>393</v>
      </c>
      <c r="B30" s="3280"/>
      <c r="C30" s="412"/>
      <c r="D30" s="1095"/>
      <c r="E30" s="400"/>
      <c r="F30" s="400"/>
      <c r="G30" s="400"/>
      <c r="H30" s="400"/>
    </row>
    <row r="31" spans="1:8" ht="15" hidden="1" customHeight="1">
      <c r="A31" s="405" t="s">
        <v>394</v>
      </c>
      <c r="B31" s="3281"/>
      <c r="C31" s="412"/>
      <c r="D31" s="1095"/>
      <c r="E31" s="400"/>
      <c r="F31" s="400"/>
      <c r="G31" s="400"/>
      <c r="H31" s="400"/>
    </row>
    <row r="32" spans="1:8" ht="15" hidden="1" customHeight="1">
      <c r="A32" s="406" t="s">
        <v>395</v>
      </c>
      <c r="B32" s="3282"/>
      <c r="C32" s="412"/>
      <c r="D32" s="1095"/>
      <c r="E32" s="400"/>
      <c r="F32" s="400"/>
      <c r="G32" s="400"/>
      <c r="H32" s="400"/>
    </row>
    <row r="33" spans="1:8" ht="15.75" customHeight="1">
      <c r="A33" s="3283" t="s">
        <v>396</v>
      </c>
      <c r="B33" s="3284"/>
      <c r="C33" s="412">
        <v>0.9</v>
      </c>
      <c r="D33" s="413">
        <v>0.95</v>
      </c>
      <c r="E33" s="413">
        <v>0.9</v>
      </c>
      <c r="F33" s="413">
        <v>0.95</v>
      </c>
      <c r="G33" s="413">
        <v>0.95</v>
      </c>
      <c r="H33" s="413">
        <v>0.9</v>
      </c>
    </row>
    <row r="34" spans="1:8" ht="15" customHeight="1">
      <c r="A34" s="3285" t="s">
        <v>1037</v>
      </c>
      <c r="B34" s="3286"/>
      <c r="C34" s="412">
        <v>9</v>
      </c>
      <c r="D34" s="1095">
        <v>10</v>
      </c>
      <c r="E34" s="400">
        <v>10</v>
      </c>
      <c r="F34" s="400">
        <v>9.5</v>
      </c>
      <c r="G34" s="400">
        <v>10</v>
      </c>
      <c r="H34" s="400">
        <v>9</v>
      </c>
    </row>
    <row r="35" spans="1:8" ht="15" customHeight="1">
      <c r="A35" s="3287" t="s">
        <v>397</v>
      </c>
      <c r="B35" s="3287"/>
      <c r="C35" s="407">
        <f>B27</f>
        <v>0</v>
      </c>
      <c r="D35" s="407">
        <f>B27</f>
        <v>0</v>
      </c>
      <c r="E35" s="1895">
        <f>B27</f>
        <v>0</v>
      </c>
      <c r="F35" s="1896">
        <f>B27</f>
        <v>0</v>
      </c>
      <c r="G35" s="1896">
        <f>B27</f>
        <v>0</v>
      </c>
      <c r="H35" s="1896">
        <f>B27</f>
        <v>0</v>
      </c>
    </row>
    <row r="36" spans="1:8" ht="15" customHeight="1">
      <c r="A36" s="3287" t="s">
        <v>397</v>
      </c>
      <c r="B36" s="3287"/>
      <c r="C36" s="407">
        <f>B30</f>
        <v>0</v>
      </c>
      <c r="D36" s="407">
        <f>B30</f>
        <v>0</v>
      </c>
      <c r="E36" s="1895">
        <f>B30</f>
        <v>0</v>
      </c>
      <c r="F36" s="1896">
        <f>B30</f>
        <v>0</v>
      </c>
      <c r="G36" s="1896">
        <f>B30</f>
        <v>0</v>
      </c>
      <c r="H36" s="1896">
        <f>B30</f>
        <v>0</v>
      </c>
    </row>
    <row r="38" spans="1:8" ht="15" customHeight="1">
      <c r="A38" s="1112" t="s">
        <v>403</v>
      </c>
      <c r="B38" s="1113"/>
      <c r="C38" s="1115" t="s">
        <v>404</v>
      </c>
      <c r="D38" s="1115" t="s">
        <v>1490</v>
      </c>
      <c r="E38" s="1115"/>
      <c r="F38" s="1115"/>
      <c r="G38" s="1894"/>
      <c r="H38" s="1894"/>
    </row>
    <row r="39" spans="1:8" ht="15" customHeight="1">
      <c r="A39" s="3278" t="s">
        <v>405</v>
      </c>
      <c r="B39" s="3279"/>
      <c r="C39" s="412">
        <v>19</v>
      </c>
      <c r="D39" s="414">
        <v>19</v>
      </c>
      <c r="E39" s="1892"/>
      <c r="F39" s="1893"/>
      <c r="G39" s="1892"/>
      <c r="H39" s="1893"/>
    </row>
    <row r="40" spans="1:8" ht="15" customHeight="1">
      <c r="A40" s="3278" t="s">
        <v>406</v>
      </c>
      <c r="B40" s="3279"/>
      <c r="C40" s="412">
        <v>9.3000000000000007</v>
      </c>
      <c r="D40" s="415">
        <v>9.4</v>
      </c>
      <c r="E40" s="1118"/>
      <c r="F40" s="415"/>
      <c r="G40" s="1118"/>
      <c r="H40" s="415"/>
    </row>
    <row r="41" spans="1:8" ht="15" customHeight="1">
      <c r="A41" s="3278" t="s">
        <v>407</v>
      </c>
      <c r="B41" s="3279"/>
      <c r="C41" s="412">
        <v>9.6</v>
      </c>
      <c r="D41" s="415">
        <v>9.6999999999999993</v>
      </c>
      <c r="E41" s="1118"/>
      <c r="F41" s="415"/>
      <c r="G41" s="1118"/>
      <c r="H41" s="415"/>
    </row>
    <row r="42" spans="1:8" ht="15" hidden="1" customHeight="1">
      <c r="A42" s="3278" t="s">
        <v>408</v>
      </c>
      <c r="B42" s="3279"/>
      <c r="C42" s="412"/>
      <c r="D42" s="415"/>
      <c r="E42" s="1118"/>
      <c r="F42" s="415"/>
      <c r="G42" s="1118"/>
      <c r="H42" s="415"/>
    </row>
    <row r="43" spans="1:8" ht="15" customHeight="1">
      <c r="A43" s="3278" t="s">
        <v>409</v>
      </c>
      <c r="B43" s="3279"/>
      <c r="C43" s="412">
        <v>1.2</v>
      </c>
      <c r="D43" s="415">
        <v>0.96</v>
      </c>
      <c r="E43" s="1118"/>
      <c r="F43" s="415"/>
      <c r="G43" s="1118"/>
      <c r="H43" s="415"/>
    </row>
    <row r="44" spans="1:8" ht="15" customHeight="1">
      <c r="A44" s="3278" t="s">
        <v>410</v>
      </c>
      <c r="B44" s="3279"/>
      <c r="C44" s="412">
        <v>24.7</v>
      </c>
      <c r="D44" s="415">
        <v>24.2</v>
      </c>
      <c r="E44" s="1118"/>
      <c r="F44" s="415"/>
      <c r="G44" s="1118"/>
      <c r="H44" s="415"/>
    </row>
    <row r="45" spans="1:8" ht="15" customHeight="1">
      <c r="A45" s="3278" t="s">
        <v>411</v>
      </c>
      <c r="B45" s="3279"/>
      <c r="C45" s="412">
        <v>8.8000000000000007</v>
      </c>
      <c r="D45" s="415">
        <v>9</v>
      </c>
      <c r="E45" s="1118"/>
      <c r="F45" s="415"/>
      <c r="G45" s="1118"/>
      <c r="H45" s="415"/>
    </row>
    <row r="46" spans="1:8" ht="15" customHeight="1">
      <c r="A46" s="3278" t="s">
        <v>412</v>
      </c>
      <c r="B46" s="3279"/>
      <c r="C46" s="412">
        <v>7.5</v>
      </c>
      <c r="D46" s="415">
        <v>7.8</v>
      </c>
      <c r="E46" s="1118"/>
      <c r="F46" s="415"/>
      <c r="G46" s="1118"/>
      <c r="H46" s="415"/>
    </row>
    <row r="47" spans="1:8" ht="15" customHeight="1">
      <c r="A47" s="3278" t="s">
        <v>413</v>
      </c>
      <c r="B47" s="3279"/>
      <c r="C47" s="412">
        <v>5.6</v>
      </c>
      <c r="D47" s="400">
        <v>5.5</v>
      </c>
      <c r="E47" s="400"/>
      <c r="F47" s="400"/>
      <c r="G47" s="400"/>
      <c r="H47" s="400"/>
    </row>
    <row r="48" spans="1:8" ht="15" customHeight="1">
      <c r="A48" s="3278" t="s">
        <v>414</v>
      </c>
      <c r="B48" s="3279"/>
      <c r="C48" s="412"/>
      <c r="D48" s="400"/>
      <c r="E48" s="400"/>
      <c r="F48" s="400"/>
      <c r="G48" s="400"/>
      <c r="H48" s="400"/>
    </row>
    <row r="50" spans="1:8" ht="15" customHeight="1">
      <c r="A50" s="1112" t="s">
        <v>1041</v>
      </c>
      <c r="B50" s="1113"/>
      <c r="C50" s="1114">
        <v>0.375</v>
      </c>
      <c r="D50" s="1114">
        <v>0.875</v>
      </c>
      <c r="E50" s="1111"/>
      <c r="F50" s="1111"/>
      <c r="G50" s="1111"/>
      <c r="H50" s="1111"/>
    </row>
    <row r="51" spans="1:8" ht="15" customHeight="1">
      <c r="A51" s="3278" t="s">
        <v>1042</v>
      </c>
      <c r="B51" s="3279"/>
      <c r="C51" s="2345">
        <v>1.58</v>
      </c>
      <c r="D51" s="1386">
        <v>1.44</v>
      </c>
      <c r="E51" s="413"/>
      <c r="F51" s="413"/>
      <c r="G51" s="413"/>
      <c r="H51" s="413"/>
    </row>
    <row r="52" spans="1:8" ht="15" customHeight="1">
      <c r="A52" s="3278" t="s">
        <v>415</v>
      </c>
      <c r="B52" s="3279"/>
      <c r="C52" s="2345">
        <v>1.7</v>
      </c>
      <c r="D52" s="1386">
        <v>1.58</v>
      </c>
      <c r="E52" s="413"/>
      <c r="F52" s="413"/>
      <c r="G52" s="413"/>
      <c r="H52" s="413"/>
    </row>
    <row r="53" spans="1:8" ht="15" customHeight="1">
      <c r="A53" s="3278" t="s">
        <v>1043</v>
      </c>
      <c r="B53" s="3279"/>
      <c r="C53" s="2345">
        <v>3.35</v>
      </c>
      <c r="D53" s="1386">
        <v>3.5</v>
      </c>
      <c r="E53" s="413"/>
      <c r="F53" s="413"/>
      <c r="G53" s="413"/>
      <c r="H53" s="413"/>
    </row>
    <row r="54" spans="1:8" ht="15" customHeight="1">
      <c r="A54" s="3278" t="s">
        <v>416</v>
      </c>
      <c r="B54" s="3279"/>
      <c r="C54" s="2345">
        <v>11.6</v>
      </c>
      <c r="D54" s="1386">
        <v>12.3</v>
      </c>
      <c r="E54" s="413"/>
      <c r="F54" s="413"/>
      <c r="G54" s="413"/>
      <c r="H54" s="413"/>
    </row>
    <row r="55" spans="1:8" ht="15.75" customHeight="1">
      <c r="A55" s="3278" t="s">
        <v>417</v>
      </c>
      <c r="B55" s="3279"/>
      <c r="C55" s="2345">
        <v>8.1999999999999993</v>
      </c>
      <c r="D55" s="1386">
        <v>8.1</v>
      </c>
      <c r="E55" s="413"/>
      <c r="F55" s="413"/>
      <c r="G55" s="413"/>
      <c r="H55" s="413"/>
    </row>
    <row r="56" spans="1:8" ht="15.75" customHeight="1">
      <c r="A56" s="3278" t="s">
        <v>418</v>
      </c>
      <c r="B56" s="3279"/>
      <c r="C56" s="2345">
        <v>11.2</v>
      </c>
      <c r="D56" s="1386">
        <v>11.6</v>
      </c>
      <c r="E56" s="413"/>
      <c r="F56" s="413"/>
      <c r="G56" s="413"/>
      <c r="H56" s="413"/>
    </row>
    <row r="57" spans="1:8" ht="15.75" customHeight="1">
      <c r="A57" s="3278" t="s">
        <v>419</v>
      </c>
      <c r="B57" s="3279"/>
      <c r="C57" s="2345">
        <v>8</v>
      </c>
      <c r="D57" s="1386">
        <v>7.6</v>
      </c>
      <c r="E57" s="413"/>
      <c r="F57" s="413"/>
      <c r="G57" s="413"/>
      <c r="H57" s="413"/>
    </row>
    <row r="58" spans="1:8" ht="15.75" customHeight="1">
      <c r="A58" s="3278" t="s">
        <v>420</v>
      </c>
      <c r="B58" s="3279"/>
      <c r="C58" s="2345">
        <v>10.3</v>
      </c>
      <c r="D58" s="1386">
        <v>10.5</v>
      </c>
      <c r="E58" s="413"/>
      <c r="F58" s="413"/>
      <c r="G58" s="413"/>
      <c r="H58" s="413"/>
    </row>
    <row r="59" spans="1:8" ht="15.75" customHeight="1">
      <c r="A59" s="3278" t="s">
        <v>421</v>
      </c>
      <c r="B59" s="3279"/>
      <c r="C59" s="2345">
        <v>6.4</v>
      </c>
      <c r="D59" s="1386">
        <v>7.2</v>
      </c>
      <c r="E59" s="413"/>
      <c r="F59" s="413"/>
      <c r="G59" s="413"/>
      <c r="H59" s="413"/>
    </row>
    <row r="60" spans="1:8" ht="15" customHeight="1">
      <c r="A60" s="3278" t="s">
        <v>1044</v>
      </c>
      <c r="B60" s="3279"/>
      <c r="C60" s="2345">
        <v>5.0999999999999996</v>
      </c>
      <c r="D60" s="1386">
        <v>4.9000000000000004</v>
      </c>
      <c r="E60" s="413"/>
      <c r="F60" s="413"/>
      <c r="G60" s="413"/>
      <c r="H60" s="413"/>
    </row>
    <row r="61" spans="1:8" ht="15" hidden="1" customHeight="1">
      <c r="A61" s="2" t="s">
        <v>1045</v>
      </c>
      <c r="B61" s="2"/>
      <c r="C61" s="1119"/>
      <c r="D61" s="1119"/>
      <c r="E61" s="413"/>
      <c r="F61" s="413"/>
      <c r="G61" s="413"/>
      <c r="H61" s="413"/>
    </row>
    <row r="62" spans="1:8" ht="15" customHeight="1">
      <c r="A62" s="777"/>
      <c r="B62" s="777"/>
      <c r="C62" s="1120"/>
      <c r="D62" s="1120"/>
      <c r="E62" s="54"/>
      <c r="F62" s="54"/>
      <c r="G62" s="54"/>
      <c r="H62" s="54"/>
    </row>
  </sheetData>
  <sheetProtection sheet="1" objects="1" scenarios="1" formatCells="0" formatColumns="0" formatRows="0" insertColumns="0" insertRows="0" insertHyperlinks="0" deleteColumns="0" deleteRows="0" selectLockedCells="1" sort="0" autoFilter="0" pivotTables="0"/>
  <mergeCells count="43">
    <mergeCell ref="A60:B60"/>
    <mergeCell ref="A54:B54"/>
    <mergeCell ref="A55:B55"/>
    <mergeCell ref="A56:B56"/>
    <mergeCell ref="A57:B57"/>
    <mergeCell ref="A58:B58"/>
    <mergeCell ref="A59:B59"/>
    <mergeCell ref="A53:B53"/>
    <mergeCell ref="A40:B40"/>
    <mergeCell ref="A41:B41"/>
    <mergeCell ref="A42:B42"/>
    <mergeCell ref="A43:B43"/>
    <mergeCell ref="A44:B44"/>
    <mergeCell ref="A45:B45"/>
    <mergeCell ref="A46:B46"/>
    <mergeCell ref="A47:B47"/>
    <mergeCell ref="A48:B48"/>
    <mergeCell ref="A51:B51"/>
    <mergeCell ref="A52:B52"/>
    <mergeCell ref="A39:B39"/>
    <mergeCell ref="A20:B20"/>
    <mergeCell ref="A21:B21"/>
    <mergeCell ref="A22:B22"/>
    <mergeCell ref="A25:B25"/>
    <mergeCell ref="A26:B26"/>
    <mergeCell ref="B27:B29"/>
    <mergeCell ref="B30:B32"/>
    <mergeCell ref="A33:B33"/>
    <mergeCell ref="A34:B34"/>
    <mergeCell ref="A35:B35"/>
    <mergeCell ref="A36:B36"/>
    <mergeCell ref="A19:B19"/>
    <mergeCell ref="A2:B2"/>
    <mergeCell ref="A3:B3"/>
    <mergeCell ref="B4:B6"/>
    <mergeCell ref="B7:B9"/>
    <mergeCell ref="A10:B10"/>
    <mergeCell ref="A11:B11"/>
    <mergeCell ref="A12:B12"/>
    <mergeCell ref="A13:B13"/>
    <mergeCell ref="A16:B16"/>
    <mergeCell ref="A17:B17"/>
    <mergeCell ref="A18:B18"/>
  </mergeCells>
  <phoneticPr fontId="7" type="noConversion"/>
  <pageMargins left="0.46" right="0.16" top="0.98" bottom="1" header="0.41" footer="0.5"/>
  <pageSetup paperSize="9" scale="88" orientation="portrait" r:id="rId1"/>
  <headerFooter alignWithMargins="0"/>
  <drawing r:id="rId2"/>
</worksheet>
</file>

<file path=xl/worksheets/sheet32.xml><?xml version="1.0" encoding="utf-8"?>
<worksheet xmlns="http://schemas.openxmlformats.org/spreadsheetml/2006/main" xmlns:r="http://schemas.openxmlformats.org/officeDocument/2006/relationships">
  <sheetPr codeName="Sheet20">
    <tabColor rgb="FFFFFF00"/>
  </sheetPr>
  <dimension ref="A1:AS115"/>
  <sheetViews>
    <sheetView showGridLines="0" zoomScale="55" zoomScaleNormal="55" workbookViewId="0">
      <pane xSplit="7" ySplit="2" topLeftCell="H53" activePane="bottomRight" state="frozen"/>
      <selection pane="topRight" activeCell="H1" sqref="H1"/>
      <selection pane="bottomLeft" activeCell="A3" sqref="A3"/>
      <selection pane="bottomRight" activeCell="AC74" sqref="AC74"/>
    </sheetView>
  </sheetViews>
  <sheetFormatPr defaultRowHeight="15.75"/>
  <cols>
    <col min="1" max="1" width="20" style="274" customWidth="1"/>
    <col min="2" max="2" width="28.5" style="274" customWidth="1"/>
    <col min="3" max="3" width="7.625" style="274" customWidth="1"/>
    <col min="4" max="4" width="8.625" style="43" customWidth="1"/>
    <col min="5" max="5" width="20" style="274" customWidth="1"/>
    <col min="6" max="6" width="12" style="274" hidden="1" customWidth="1"/>
    <col min="7" max="7" width="8" style="274" hidden="1" customWidth="1"/>
    <col min="8" max="8" width="10" style="274" customWidth="1"/>
    <col min="9" max="9" width="6.375" style="274" hidden="1" customWidth="1"/>
    <col min="10" max="10" width="2.5" style="274" customWidth="1"/>
    <col min="11" max="11" width="7.875" style="274" customWidth="1"/>
    <col min="12" max="12" width="4.75" style="274" customWidth="1"/>
    <col min="13" max="13" width="6.25" style="274" hidden="1" customWidth="1"/>
    <col min="14" max="14" width="10.625" style="274" customWidth="1"/>
    <col min="15" max="15" width="11.25" style="274" hidden="1" customWidth="1"/>
    <col min="16" max="16" width="3" style="274" customWidth="1"/>
    <col min="17" max="17" width="8.75" style="274" customWidth="1"/>
    <col min="18" max="18" width="6.5" style="274" customWidth="1"/>
    <col min="19" max="19" width="9" style="274" hidden="1" customWidth="1"/>
    <col min="20" max="20" width="8.375" style="274" customWidth="1"/>
    <col min="21" max="21" width="9" style="274" hidden="1" customWidth="1"/>
    <col min="22" max="22" width="3.75" style="274" customWidth="1"/>
    <col min="23" max="23" width="8.125" style="274" customWidth="1"/>
    <col min="24" max="24" width="4" style="274" customWidth="1"/>
    <col min="25" max="25" width="9" style="274" hidden="1" customWidth="1"/>
    <col min="26" max="26" width="7.75" style="274" customWidth="1"/>
    <col min="27" max="27" width="9" style="274" hidden="1" customWidth="1"/>
    <col min="28" max="28" width="4" style="274" customWidth="1"/>
    <col min="29" max="29" width="7.875" style="274" customWidth="1"/>
    <col min="30" max="30" width="4.875" style="43" customWidth="1"/>
    <col min="31" max="31" width="9" style="274" hidden="1" customWidth="1"/>
    <col min="32" max="32" width="8.375" style="274" customWidth="1"/>
    <col min="33" max="33" width="9" style="274" hidden="1" customWidth="1"/>
    <col min="34" max="34" width="3.75" style="274" customWidth="1"/>
    <col min="35" max="35" width="8.125" style="274" customWidth="1"/>
    <col min="36" max="36" width="4" style="274" customWidth="1"/>
    <col min="37" max="37" width="9" style="274" hidden="1" customWidth="1"/>
    <col min="38" max="38" width="7.75" style="274" customWidth="1"/>
    <col min="39" max="39" width="9" style="274" hidden="1" customWidth="1"/>
    <col min="40" max="40" width="4" style="274" customWidth="1"/>
    <col min="41" max="41" width="7.875" style="274" customWidth="1"/>
    <col min="42" max="42" width="4.875" style="43" customWidth="1"/>
    <col min="43" max="43" width="15" style="274" hidden="1" customWidth="1"/>
    <col min="44" max="44" width="12.5" style="274" customWidth="1"/>
    <col min="45" max="45" width="17" style="274" customWidth="1"/>
    <col min="46" max="16384" width="9" style="274"/>
  </cols>
  <sheetData>
    <row r="1" spans="1:45" ht="48.75" customHeight="1">
      <c r="A1" s="416" t="s">
        <v>1538</v>
      </c>
      <c r="B1" s="1272"/>
      <c r="C1" s="1272"/>
      <c r="D1" s="1272"/>
      <c r="E1" s="1272"/>
      <c r="F1" s="1272"/>
      <c r="G1" s="1272"/>
      <c r="H1" s="1272"/>
      <c r="I1" s="1272"/>
      <c r="J1" s="1272"/>
      <c r="K1" s="1272"/>
      <c r="L1" s="1272"/>
      <c r="M1" s="1272"/>
      <c r="N1" s="1272"/>
      <c r="O1" s="1272"/>
      <c r="P1" s="1272"/>
      <c r="Q1" s="1272"/>
      <c r="R1" s="1272"/>
      <c r="S1" s="1272"/>
      <c r="T1" s="1272"/>
      <c r="U1" s="1272"/>
      <c r="V1" s="1272"/>
      <c r="W1" s="1272"/>
      <c r="X1" s="1272"/>
      <c r="Y1" s="1272"/>
      <c r="Z1" s="1272"/>
      <c r="AA1" s="1272"/>
      <c r="AB1" s="1272"/>
      <c r="AC1" s="1272"/>
      <c r="AD1" s="1272"/>
      <c r="AF1" s="209"/>
      <c r="AH1" s="210" t="s">
        <v>174</v>
      </c>
      <c r="AI1" s="1273"/>
      <c r="AJ1" s="1273"/>
      <c r="AK1" s="1273"/>
      <c r="AL1" s="1273"/>
      <c r="AM1" s="1273"/>
      <c r="AN1" s="1273"/>
      <c r="AO1" s="1273"/>
      <c r="AP1" s="1273"/>
      <c r="AQ1" s="1273"/>
      <c r="AR1" s="1273"/>
    </row>
    <row r="2" spans="1:45" ht="35.25" customHeight="1">
      <c r="A2" s="2099" t="str">
        <f>MENU!$AC$9</f>
        <v>Thứ 3,</v>
      </c>
      <c r="B2" s="2134" t="str">
        <f>MENU!$AD$9</f>
        <v>2024/01/09</v>
      </c>
      <c r="C2" s="1272"/>
      <c r="D2" s="1272"/>
      <c r="E2" s="1272"/>
      <c r="F2" s="1272"/>
      <c r="G2" s="1272"/>
      <c r="H2" s="1272"/>
      <c r="I2" s="1272"/>
      <c r="J2" s="1272"/>
      <c r="K2" s="1272"/>
      <c r="L2" s="1272"/>
      <c r="M2" s="1272"/>
      <c r="N2" s="1272"/>
      <c r="O2" s="1272"/>
      <c r="P2" s="1272"/>
      <c r="Q2" s="1272"/>
      <c r="R2" s="1272"/>
      <c r="S2" s="1272"/>
      <c r="T2" s="1272"/>
      <c r="U2" s="1272"/>
      <c r="V2" s="1272"/>
      <c r="W2" s="1272"/>
      <c r="X2" s="1272"/>
      <c r="Y2" s="1272"/>
      <c r="Z2" s="1272"/>
      <c r="AA2" s="1272"/>
      <c r="AB2" s="1272"/>
      <c r="AC2" s="1272"/>
      <c r="AD2" s="1272"/>
      <c r="AF2" s="1274"/>
      <c r="AH2" s="210" t="s">
        <v>175</v>
      </c>
      <c r="AI2" s="1273"/>
      <c r="AJ2" s="1273"/>
      <c r="AK2" s="1273"/>
      <c r="AL2" s="1273"/>
      <c r="AM2" s="1273"/>
      <c r="AN2" s="1273"/>
      <c r="AO2" s="1273"/>
      <c r="AP2" s="1273"/>
      <c r="AQ2" s="1273"/>
      <c r="AR2" s="1273"/>
    </row>
    <row r="3" spans="1:45" ht="41.25" customHeight="1">
      <c r="A3" s="2102" t="s">
        <v>422</v>
      </c>
      <c r="B3" s="2103"/>
      <c r="C3" s="2104"/>
      <c r="D3" s="2104"/>
      <c r="E3" s="2105"/>
      <c r="F3" s="2106" t="s">
        <v>73</v>
      </c>
      <c r="G3" s="2040"/>
      <c r="H3" s="2107" t="s">
        <v>73</v>
      </c>
      <c r="I3" s="2107"/>
      <c r="J3" s="2107"/>
      <c r="K3" s="2107"/>
      <c r="L3" s="2107"/>
      <c r="M3" s="2107"/>
      <c r="N3" s="2107"/>
      <c r="O3" s="2107"/>
      <c r="P3" s="2107"/>
      <c r="Q3" s="2107"/>
      <c r="R3" s="2107"/>
      <c r="S3" s="2107"/>
      <c r="T3" s="2107"/>
      <c r="U3" s="2107"/>
      <c r="V3" s="2107"/>
      <c r="W3" s="2107"/>
      <c r="X3" s="2107"/>
      <c r="Y3" s="2107"/>
      <c r="Z3" s="2107"/>
      <c r="AA3" s="2107"/>
      <c r="AB3" s="2107"/>
      <c r="AC3" s="2107"/>
      <c r="AD3" s="2107"/>
      <c r="AE3" s="2107"/>
      <c r="AF3" s="2107"/>
      <c r="AG3" s="2107"/>
      <c r="AH3" s="2107"/>
      <c r="AI3" s="2107"/>
      <c r="AJ3" s="2107"/>
      <c r="AK3" s="2107"/>
      <c r="AL3" s="2107"/>
      <c r="AM3" s="2107"/>
      <c r="AN3" s="2107"/>
      <c r="AO3" s="2107"/>
      <c r="AP3" s="2107"/>
      <c r="AS3" s="1934"/>
    </row>
    <row r="4" spans="1:45" s="43" customFormat="1" ht="33" customHeight="1">
      <c r="A4" s="437"/>
      <c r="B4" s="3302" t="s">
        <v>77</v>
      </c>
      <c r="C4" s="3303"/>
      <c r="D4" s="3306" t="s">
        <v>125</v>
      </c>
      <c r="E4" s="3308" t="s">
        <v>65</v>
      </c>
      <c r="F4" s="1275"/>
      <c r="G4" s="87"/>
      <c r="H4" s="3301" t="s">
        <v>473</v>
      </c>
      <c r="I4" s="3301"/>
      <c r="J4" s="3301"/>
      <c r="K4" s="3301"/>
      <c r="L4" s="3301"/>
      <c r="M4" s="1276"/>
      <c r="N4" s="3294" t="s">
        <v>1484</v>
      </c>
      <c r="O4" s="3294"/>
      <c r="P4" s="3294"/>
      <c r="Q4" s="3294"/>
      <c r="R4" s="3294"/>
      <c r="S4" s="1276"/>
      <c r="T4" s="3301" t="s">
        <v>1485</v>
      </c>
      <c r="U4" s="3301"/>
      <c r="V4" s="3301"/>
      <c r="W4" s="3301"/>
      <c r="X4" s="3301"/>
      <c r="Y4" s="1276"/>
      <c r="Z4" s="3301" t="s">
        <v>1486</v>
      </c>
      <c r="AA4" s="3301"/>
      <c r="AB4" s="3301"/>
      <c r="AC4" s="3301"/>
      <c r="AD4" s="3301"/>
      <c r="AE4" s="1276"/>
      <c r="AF4" s="3301" t="s">
        <v>1487</v>
      </c>
      <c r="AG4" s="3301"/>
      <c r="AH4" s="3301"/>
      <c r="AI4" s="3301"/>
      <c r="AJ4" s="3301"/>
      <c r="AK4" s="1276"/>
      <c r="AL4" s="3301" t="s">
        <v>1488</v>
      </c>
      <c r="AM4" s="3301"/>
      <c r="AN4" s="3301"/>
      <c r="AO4" s="3301"/>
      <c r="AP4" s="3301"/>
      <c r="AQ4" s="437"/>
      <c r="AR4" s="423"/>
    </row>
    <row r="5" spans="1:45" s="43" customFormat="1" ht="33" customHeight="1">
      <c r="A5" s="423" t="s">
        <v>239</v>
      </c>
      <c r="B5" s="3304"/>
      <c r="C5" s="3305"/>
      <c r="D5" s="3307"/>
      <c r="E5" s="3309"/>
      <c r="F5" s="1277" t="s">
        <v>423</v>
      </c>
      <c r="G5" s="20"/>
      <c r="H5" s="1252" t="s">
        <v>130</v>
      </c>
      <c r="I5" s="34" t="s">
        <v>1</v>
      </c>
      <c r="J5" s="293" t="s">
        <v>1</v>
      </c>
      <c r="K5" s="293"/>
      <c r="L5" s="294"/>
      <c r="M5" s="89"/>
      <c r="N5" s="1252" t="s">
        <v>130</v>
      </c>
      <c r="O5" s="34" t="s">
        <v>1</v>
      </c>
      <c r="P5" s="293" t="s">
        <v>1</v>
      </c>
      <c r="Q5" s="293"/>
      <c r="R5" s="294"/>
      <c r="S5" s="20"/>
      <c r="T5" s="1252" t="s">
        <v>130</v>
      </c>
      <c r="U5" s="34" t="s">
        <v>1</v>
      </c>
      <c r="V5" s="293" t="s">
        <v>1</v>
      </c>
      <c r="W5" s="293"/>
      <c r="X5" s="294"/>
      <c r="Y5" s="89"/>
      <c r="Z5" s="1252" t="s">
        <v>130</v>
      </c>
      <c r="AA5" s="34" t="s">
        <v>1</v>
      </c>
      <c r="AB5" s="293" t="s">
        <v>1</v>
      </c>
      <c r="AC5" s="293"/>
      <c r="AD5" s="294"/>
      <c r="AE5" s="89"/>
      <c r="AF5" s="1252" t="s">
        <v>130</v>
      </c>
      <c r="AG5" s="34" t="s">
        <v>1</v>
      </c>
      <c r="AH5" s="293" t="s">
        <v>1</v>
      </c>
      <c r="AI5" s="293"/>
      <c r="AJ5" s="294"/>
      <c r="AK5" s="89"/>
      <c r="AL5" s="1252" t="s">
        <v>130</v>
      </c>
      <c r="AM5" s="34" t="s">
        <v>1</v>
      </c>
      <c r="AN5" s="293" t="s">
        <v>1</v>
      </c>
      <c r="AO5" s="293"/>
      <c r="AP5" s="294"/>
      <c r="AQ5" s="423" t="s">
        <v>424</v>
      </c>
      <c r="AR5" s="423"/>
    </row>
    <row r="6" spans="1:45" ht="33.75" customHeight="1">
      <c r="A6" s="1255" t="s">
        <v>425</v>
      </c>
      <c r="B6" s="3150" t="s">
        <v>836</v>
      </c>
      <c r="C6" s="3152"/>
      <c r="D6" s="1073" t="s">
        <v>3</v>
      </c>
      <c r="E6" s="107" t="s">
        <v>427</v>
      </c>
      <c r="F6" s="1278">
        <v>12.5</v>
      </c>
      <c r="G6" s="1279">
        <f>R.HN!C2</f>
        <v>0</v>
      </c>
      <c r="H6" s="35">
        <f>(1*G6*36.5)/(1*10)</f>
        <v>0</v>
      </c>
      <c r="I6" s="35">
        <f>($F$6-H6)*748/32</f>
        <v>292.1875</v>
      </c>
      <c r="J6" s="39" t="s">
        <v>8</v>
      </c>
      <c r="K6" s="40">
        <f>IF(I6&lt;0,0,I6)</f>
        <v>292.1875</v>
      </c>
      <c r="L6" s="219" t="s">
        <v>10</v>
      </c>
      <c r="M6" s="252">
        <f>R.HN!D2</f>
        <v>0</v>
      </c>
      <c r="N6" s="35">
        <f>(1*M6*36.5)/(1*10)</f>
        <v>0</v>
      </c>
      <c r="O6" s="35">
        <f>($F$6-N6)*748/32</f>
        <v>292.1875</v>
      </c>
      <c r="P6" s="39" t="s">
        <v>8</v>
      </c>
      <c r="Q6" s="40">
        <f>IF(O6&lt;0,0,O6)</f>
        <v>292.1875</v>
      </c>
      <c r="R6" s="41" t="s">
        <v>10</v>
      </c>
      <c r="S6" s="92">
        <f>R.HN!E2</f>
        <v>0</v>
      </c>
      <c r="T6" s="35">
        <f>(1*S6*36.5)/(1*10)</f>
        <v>0</v>
      </c>
      <c r="U6" s="35">
        <f>($F$6-T6)*748/32</f>
        <v>292.1875</v>
      </c>
      <c r="V6" s="39" t="s">
        <v>8</v>
      </c>
      <c r="W6" s="40">
        <f>IF(U6&lt;0,0,U6)</f>
        <v>292.1875</v>
      </c>
      <c r="X6" s="41" t="s">
        <v>10</v>
      </c>
      <c r="Y6" s="92">
        <f>R.HN!F2</f>
        <v>0</v>
      </c>
      <c r="Z6" s="35">
        <f>(1*Y6*36.5)/(1*10)</f>
        <v>0</v>
      </c>
      <c r="AA6" s="35">
        <f>($F$6-Z6)*748/32</f>
        <v>292.1875</v>
      </c>
      <c r="AB6" s="39" t="s">
        <v>8</v>
      </c>
      <c r="AC6" s="40">
        <f>IF(AA6&lt;0,0,AA6)</f>
        <v>292.1875</v>
      </c>
      <c r="AD6" s="41" t="s">
        <v>10</v>
      </c>
      <c r="AE6" s="92">
        <f>R.HN!G2</f>
        <v>0</v>
      </c>
      <c r="AF6" s="35">
        <f>(1*AE6*36.5)/(1*10)</f>
        <v>0</v>
      </c>
      <c r="AG6" s="35">
        <f>($F$6-AF6)*748/32</f>
        <v>292.1875</v>
      </c>
      <c r="AH6" s="39" t="s">
        <v>8</v>
      </c>
      <c r="AI6" s="40">
        <f>IF(AG6&lt;0,0,AG6)</f>
        <v>292.1875</v>
      </c>
      <c r="AJ6" s="41" t="s">
        <v>10</v>
      </c>
      <c r="AK6" s="92">
        <f>R.HN!H2</f>
        <v>0</v>
      </c>
      <c r="AL6" s="35">
        <f>(1*AK6*36.5)/(1*10)</f>
        <v>0</v>
      </c>
      <c r="AM6" s="35">
        <f>($F$6-AL6)*748/32</f>
        <v>292.1875</v>
      </c>
      <c r="AN6" s="39" t="s">
        <v>8</v>
      </c>
      <c r="AO6" s="40">
        <f>IF(AM6&lt;0,0,AM6)</f>
        <v>292.1875</v>
      </c>
      <c r="AP6" s="41" t="s">
        <v>10</v>
      </c>
      <c r="AQ6" s="274" t="s">
        <v>428</v>
      </c>
    </row>
    <row r="7" spans="1:45" ht="33.75" customHeight="1">
      <c r="A7" s="1255" t="s">
        <v>429</v>
      </c>
      <c r="B7" s="3150" t="s">
        <v>837</v>
      </c>
      <c r="C7" s="3152"/>
      <c r="D7" s="1073" t="s">
        <v>3</v>
      </c>
      <c r="E7" s="107" t="s">
        <v>427</v>
      </c>
      <c r="F7" s="1278">
        <v>12.5</v>
      </c>
      <c r="G7" s="1279">
        <f>R.HN!C3</f>
        <v>0</v>
      </c>
      <c r="H7" s="35">
        <f>(1*G7*36.5)/(1*10)</f>
        <v>0</v>
      </c>
      <c r="I7" s="35">
        <f>($F$6-H7)*748/32</f>
        <v>292.1875</v>
      </c>
      <c r="J7" s="39" t="s">
        <v>8</v>
      </c>
      <c r="K7" s="40">
        <f>IF(I7&lt;0,0,I7)</f>
        <v>292.1875</v>
      </c>
      <c r="L7" s="219" t="s">
        <v>10</v>
      </c>
      <c r="M7" s="252">
        <f>R.HN!D3</f>
        <v>0</v>
      </c>
      <c r="N7" s="35">
        <f>(1*M7*36.5)/(1*10)</f>
        <v>0</v>
      </c>
      <c r="O7" s="35">
        <f>($F$6-N7)*748/32</f>
        <v>292.1875</v>
      </c>
      <c r="P7" s="39" t="s">
        <v>8</v>
      </c>
      <c r="Q7" s="40">
        <f>IF(O7&lt;0,0,O7)</f>
        <v>292.1875</v>
      </c>
      <c r="R7" s="41" t="s">
        <v>10</v>
      </c>
      <c r="S7" s="92">
        <f>R.HN!E3</f>
        <v>0</v>
      </c>
      <c r="T7" s="35">
        <f>(1*S7*36.5)/(1*10)</f>
        <v>0</v>
      </c>
      <c r="U7" s="35">
        <f>($F$6-T7)*748/32</f>
        <v>292.1875</v>
      </c>
      <c r="V7" s="39" t="s">
        <v>8</v>
      </c>
      <c r="W7" s="40">
        <f>IF(U7&lt;0,0,U7)</f>
        <v>292.1875</v>
      </c>
      <c r="X7" s="41" t="s">
        <v>10</v>
      </c>
      <c r="Y7" s="92">
        <f>R.HN!F3</f>
        <v>0</v>
      </c>
      <c r="Z7" s="35">
        <f>(1*Y7*36.5)/(1*10)</f>
        <v>0</v>
      </c>
      <c r="AA7" s="35">
        <f>($F$6-Z7)*748/32</f>
        <v>292.1875</v>
      </c>
      <c r="AB7" s="39" t="s">
        <v>8</v>
      </c>
      <c r="AC7" s="40">
        <f>IF(AA7&lt;0,0,AA7)</f>
        <v>292.1875</v>
      </c>
      <c r="AD7" s="41" t="s">
        <v>10</v>
      </c>
      <c r="AE7" s="92">
        <f>R.HN!G3</f>
        <v>0</v>
      </c>
      <c r="AF7" s="35">
        <f>(1*AE7*36.5)/(1*10)</f>
        <v>0</v>
      </c>
      <c r="AG7" s="35">
        <f>($F$6-AF7)*748/32</f>
        <v>292.1875</v>
      </c>
      <c r="AH7" s="39" t="s">
        <v>8</v>
      </c>
      <c r="AI7" s="40">
        <f>IF(AG7&lt;0,0,AG7)</f>
        <v>292.1875</v>
      </c>
      <c r="AJ7" s="41" t="s">
        <v>10</v>
      </c>
      <c r="AK7" s="92">
        <f>R.HN!H3</f>
        <v>0</v>
      </c>
      <c r="AL7" s="35">
        <f>(1*AK7*36.5)/(1*10)</f>
        <v>0</v>
      </c>
      <c r="AM7" s="35">
        <f>($F$6-AL7)*748/32</f>
        <v>292.1875</v>
      </c>
      <c r="AN7" s="39" t="s">
        <v>8</v>
      </c>
      <c r="AO7" s="40">
        <f>IF(AM7&lt;0,0,AM7)</f>
        <v>292.1875</v>
      </c>
      <c r="AP7" s="41" t="s">
        <v>10</v>
      </c>
      <c r="AQ7" s="274" t="s">
        <v>428</v>
      </c>
    </row>
    <row r="8" spans="1:45" ht="33.75" customHeight="1">
      <c r="A8" s="1255" t="s">
        <v>430</v>
      </c>
      <c r="B8" s="3080" t="s">
        <v>431</v>
      </c>
      <c r="C8" s="3296">
        <f>R.HN!B4</f>
        <v>3</v>
      </c>
      <c r="D8" s="3076" t="s">
        <v>432</v>
      </c>
      <c r="E8" s="107" t="s">
        <v>1074</v>
      </c>
      <c r="F8" s="1280">
        <v>50</v>
      </c>
      <c r="G8" s="1279">
        <f>R.HN!C4</f>
        <v>0</v>
      </c>
      <c r="H8" s="35">
        <f>G8*10</f>
        <v>0</v>
      </c>
      <c r="I8" s="35">
        <f>($F$8-H8)*2*694/1000</f>
        <v>69.400000000000006</v>
      </c>
      <c r="J8" s="39" t="s">
        <v>8</v>
      </c>
      <c r="K8" s="40">
        <f>IF(I8&lt;0,0,I8)</f>
        <v>69.400000000000006</v>
      </c>
      <c r="L8" s="219" t="s">
        <v>9</v>
      </c>
      <c r="M8" s="252">
        <f>R.HN!D4</f>
        <v>0</v>
      </c>
      <c r="N8" s="35">
        <f>M8*10</f>
        <v>0</v>
      </c>
      <c r="O8" s="35">
        <f>($F$8-N8)*2*694/1000</f>
        <v>69.400000000000006</v>
      </c>
      <c r="P8" s="39" t="s">
        <v>8</v>
      </c>
      <c r="Q8" s="40">
        <f>IF(O8&lt;0,0,O8)</f>
        <v>69.400000000000006</v>
      </c>
      <c r="R8" s="41" t="s">
        <v>9</v>
      </c>
      <c r="S8" s="92">
        <f>R.HN!E4</f>
        <v>0</v>
      </c>
      <c r="T8" s="35">
        <f>S8*10</f>
        <v>0</v>
      </c>
      <c r="U8" s="35">
        <f>($F$8-T8)*2*694/1000</f>
        <v>69.400000000000006</v>
      </c>
      <c r="V8" s="39" t="s">
        <v>8</v>
      </c>
      <c r="W8" s="40">
        <f>IF(U8&lt;0,0,U8)</f>
        <v>69.400000000000006</v>
      </c>
      <c r="X8" s="41" t="s">
        <v>9</v>
      </c>
      <c r="Y8" s="92">
        <f>R.HN!F4</f>
        <v>0</v>
      </c>
      <c r="Z8" s="35">
        <f>Y8*10</f>
        <v>0</v>
      </c>
      <c r="AA8" s="35">
        <f>($F$8-Z8)*2*694/1000</f>
        <v>69.400000000000006</v>
      </c>
      <c r="AB8" s="39" t="s">
        <v>8</v>
      </c>
      <c r="AC8" s="40">
        <f>IF(AA8&lt;0,0,AA8)</f>
        <v>69.400000000000006</v>
      </c>
      <c r="AD8" s="41" t="s">
        <v>9</v>
      </c>
      <c r="AE8" s="92">
        <f>R.HN!G4</f>
        <v>0</v>
      </c>
      <c r="AF8" s="35">
        <f>AE8*10</f>
        <v>0</v>
      </c>
      <c r="AG8" s="35">
        <f>($F$8-AF8)*2*694/1000</f>
        <v>69.400000000000006</v>
      </c>
      <c r="AH8" s="39" t="s">
        <v>8</v>
      </c>
      <c r="AI8" s="40">
        <f>IF(AG8&lt;0,0,AG8)</f>
        <v>69.400000000000006</v>
      </c>
      <c r="AJ8" s="41" t="s">
        <v>9</v>
      </c>
      <c r="AK8" s="92">
        <f>R.HN!H4</f>
        <v>0</v>
      </c>
      <c r="AL8" s="35">
        <f>AK8*10</f>
        <v>0</v>
      </c>
      <c r="AM8" s="35">
        <f>($F$8-AL8)*2*694/1000</f>
        <v>69.400000000000006</v>
      </c>
      <c r="AN8" s="39" t="s">
        <v>8</v>
      </c>
      <c r="AO8" s="40">
        <f>IF(AM8&lt;0,0,AM8)</f>
        <v>69.400000000000006</v>
      </c>
      <c r="AP8" s="41" t="s">
        <v>9</v>
      </c>
      <c r="AQ8" s="274" t="s">
        <v>428</v>
      </c>
    </row>
    <row r="9" spans="1:45" ht="33.75" customHeight="1">
      <c r="A9" s="1255" t="s">
        <v>433</v>
      </c>
      <c r="B9" s="3081"/>
      <c r="C9" s="3297"/>
      <c r="D9" s="3076"/>
      <c r="E9" s="107" t="s">
        <v>1075</v>
      </c>
      <c r="F9" s="1281">
        <v>6.5</v>
      </c>
      <c r="G9" s="1279">
        <f>R.HN!C5</f>
        <v>0</v>
      </c>
      <c r="H9" s="35">
        <f>IFERROR(H8/G9,0)</f>
        <v>0</v>
      </c>
      <c r="I9" s="35">
        <f>($F$9-H9)*694/1000</f>
        <v>4.5110000000000001</v>
      </c>
      <c r="J9" s="39"/>
      <c r="K9" s="40">
        <f>IF(I9&lt;0,0,I9)</f>
        <v>4.5110000000000001</v>
      </c>
      <c r="L9" s="219" t="s">
        <v>9</v>
      </c>
      <c r="M9" s="252">
        <f>R.HN!D5</f>
        <v>0</v>
      </c>
      <c r="N9" s="35">
        <f>IFERROR(N8/M9,0)</f>
        <v>0</v>
      </c>
      <c r="O9" s="35">
        <f>($F$9-N9)*694/1000</f>
        <v>4.5110000000000001</v>
      </c>
      <c r="P9" s="39"/>
      <c r="Q9" s="40">
        <f>IF(O9&lt;0,0,O9)</f>
        <v>4.5110000000000001</v>
      </c>
      <c r="R9" s="41" t="s">
        <v>9</v>
      </c>
      <c r="S9" s="92">
        <f>R.HN!E5</f>
        <v>0</v>
      </c>
      <c r="T9" s="35">
        <f>IFERROR(T8/S9,0)</f>
        <v>0</v>
      </c>
      <c r="U9" s="35">
        <f>($F$9-T9)*694/1000</f>
        <v>4.5110000000000001</v>
      </c>
      <c r="V9" s="39"/>
      <c r="W9" s="40">
        <f>IF(U9&lt;0,0,U9)</f>
        <v>4.5110000000000001</v>
      </c>
      <c r="X9" s="41" t="s">
        <v>9</v>
      </c>
      <c r="Y9" s="92">
        <f>R.HN!F5</f>
        <v>0</v>
      </c>
      <c r="Z9" s="35">
        <f>IFERROR(Z8/Y9,0)</f>
        <v>0</v>
      </c>
      <c r="AA9" s="35">
        <f>($F$9-Z9)*694/1000</f>
        <v>4.5110000000000001</v>
      </c>
      <c r="AB9" s="39"/>
      <c r="AC9" s="40">
        <f>IF(AA9&lt;0,0,AA9)</f>
        <v>4.5110000000000001</v>
      </c>
      <c r="AD9" s="41" t="s">
        <v>9</v>
      </c>
      <c r="AE9" s="92">
        <f>R.HN!G5</f>
        <v>0</v>
      </c>
      <c r="AF9" s="35">
        <f>IFERROR(AF8/AE9,0)</f>
        <v>0</v>
      </c>
      <c r="AG9" s="35">
        <f>($F$9-AF9)*694/1000</f>
        <v>4.5110000000000001</v>
      </c>
      <c r="AH9" s="39"/>
      <c r="AI9" s="40">
        <f>IF(AG9&lt;0,0,AG9)</f>
        <v>4.5110000000000001</v>
      </c>
      <c r="AJ9" s="41" t="s">
        <v>9</v>
      </c>
      <c r="AK9" s="92">
        <f>R.HN!H5</f>
        <v>0</v>
      </c>
      <c r="AL9" s="35">
        <f>IFERROR(AL8/AK9,0)</f>
        <v>0</v>
      </c>
      <c r="AM9" s="35">
        <f>($F$9-AL9)*694/1000</f>
        <v>4.5110000000000001</v>
      </c>
      <c r="AN9" s="39"/>
      <c r="AO9" s="40">
        <f>IF(AM9&lt;0,0,AM9)</f>
        <v>4.5110000000000001</v>
      </c>
      <c r="AP9" s="41" t="s">
        <v>9</v>
      </c>
      <c r="AQ9" s="274" t="s">
        <v>428</v>
      </c>
    </row>
    <row r="10" spans="1:45" ht="33.75" customHeight="1">
      <c r="A10" s="1255" t="s">
        <v>434</v>
      </c>
      <c r="B10" s="3295"/>
      <c r="C10" s="3298"/>
      <c r="D10" s="3076"/>
      <c r="E10" s="107" t="s">
        <v>1076</v>
      </c>
      <c r="F10" s="1278">
        <v>0.4</v>
      </c>
      <c r="G10" s="1279">
        <f>R.HN!C6</f>
        <v>0</v>
      </c>
      <c r="H10" s="1282">
        <f>G10</f>
        <v>0</v>
      </c>
      <c r="I10" s="35">
        <f>($F$10-H10)*5</f>
        <v>2</v>
      </c>
      <c r="J10" s="39"/>
      <c r="K10" s="42"/>
      <c r="L10" s="219" t="s">
        <v>9</v>
      </c>
      <c r="M10" s="252">
        <f>R.HN!D6</f>
        <v>0</v>
      </c>
      <c r="N10" s="1282">
        <f>M10</f>
        <v>0</v>
      </c>
      <c r="O10" s="35">
        <f>($F$10-N10)*5</f>
        <v>2</v>
      </c>
      <c r="P10" s="39"/>
      <c r="Q10" s="42"/>
      <c r="R10" s="41" t="s">
        <v>9</v>
      </c>
      <c r="S10" s="92">
        <f>R.HN!E6</f>
        <v>0</v>
      </c>
      <c r="T10" s="1282">
        <f>S10</f>
        <v>0</v>
      </c>
      <c r="U10" s="35">
        <f>($F$10-T10)*5</f>
        <v>2</v>
      </c>
      <c r="V10" s="39"/>
      <c r="W10" s="42"/>
      <c r="X10" s="41" t="s">
        <v>9</v>
      </c>
      <c r="Y10" s="92">
        <f>R.HN!F6</f>
        <v>0</v>
      </c>
      <c r="Z10" s="1282">
        <f>Y10</f>
        <v>0</v>
      </c>
      <c r="AA10" s="35">
        <f>($F$10-Z10)*5</f>
        <v>2</v>
      </c>
      <c r="AB10" s="39"/>
      <c r="AC10" s="42"/>
      <c r="AD10" s="41" t="s">
        <v>9</v>
      </c>
      <c r="AE10" s="92">
        <f>R.HN!G6</f>
        <v>0</v>
      </c>
      <c r="AF10" s="1282">
        <f>AE10</f>
        <v>0</v>
      </c>
      <c r="AG10" s="35">
        <f>($F$10-AF10)*5</f>
        <v>2</v>
      </c>
      <c r="AH10" s="39"/>
      <c r="AI10" s="42"/>
      <c r="AJ10" s="41" t="s">
        <v>9</v>
      </c>
      <c r="AK10" s="92">
        <f>R.HN!H6</f>
        <v>0</v>
      </c>
      <c r="AL10" s="1282">
        <f>AK10</f>
        <v>0</v>
      </c>
      <c r="AM10" s="35">
        <f>($F$10-AL10)*5</f>
        <v>2</v>
      </c>
      <c r="AN10" s="39"/>
      <c r="AO10" s="42" t="s">
        <v>435</v>
      </c>
      <c r="AP10" s="41" t="s">
        <v>9</v>
      </c>
      <c r="AQ10" s="274" t="s">
        <v>428</v>
      </c>
    </row>
    <row r="11" spans="1:45" ht="33.75" customHeight="1">
      <c r="A11" s="1255" t="s">
        <v>436</v>
      </c>
      <c r="B11" s="3080" t="s">
        <v>437</v>
      </c>
      <c r="C11" s="3296">
        <f>R.HN!B7</f>
        <v>4</v>
      </c>
      <c r="D11" s="3076" t="s">
        <v>432</v>
      </c>
      <c r="E11" s="107" t="s">
        <v>1074</v>
      </c>
      <c r="F11" s="1280">
        <v>50</v>
      </c>
      <c r="G11" s="1279">
        <f>R.HN!C7</f>
        <v>0</v>
      </c>
      <c r="H11" s="35">
        <f>G11*10</f>
        <v>0</v>
      </c>
      <c r="I11" s="35">
        <f>($F$8-H11)*2*694/1000</f>
        <v>69.400000000000006</v>
      </c>
      <c r="J11" s="39" t="s">
        <v>8</v>
      </c>
      <c r="K11" s="40">
        <f>IF(I11&lt;0,0,I11)</f>
        <v>69.400000000000006</v>
      </c>
      <c r="L11" s="219" t="s">
        <v>9</v>
      </c>
      <c r="M11" s="252">
        <f>R.HN!D7</f>
        <v>0</v>
      </c>
      <c r="N11" s="35">
        <f>M11*10</f>
        <v>0</v>
      </c>
      <c r="O11" s="35">
        <f>($F$8-N11)*2*694/1000</f>
        <v>69.400000000000006</v>
      </c>
      <c r="P11" s="39" t="s">
        <v>8</v>
      </c>
      <c r="Q11" s="40">
        <f>IF(O11&lt;0,0,O11)</f>
        <v>69.400000000000006</v>
      </c>
      <c r="R11" s="41" t="s">
        <v>9</v>
      </c>
      <c r="S11" s="92">
        <f>R.HN!E7</f>
        <v>0</v>
      </c>
      <c r="T11" s="35">
        <f>S11*10</f>
        <v>0</v>
      </c>
      <c r="U11" s="35">
        <f>($F$8-T11)*2*694/1000</f>
        <v>69.400000000000006</v>
      </c>
      <c r="V11" s="39" t="s">
        <v>8</v>
      </c>
      <c r="W11" s="40">
        <f>IF(U11&lt;0,0,U11)</f>
        <v>69.400000000000006</v>
      </c>
      <c r="X11" s="41" t="s">
        <v>9</v>
      </c>
      <c r="Y11" s="92">
        <f>R.HN!F7</f>
        <v>0</v>
      </c>
      <c r="Z11" s="35">
        <f>Y11*10</f>
        <v>0</v>
      </c>
      <c r="AA11" s="35">
        <f>($F$8-Z11)*2*694/1000</f>
        <v>69.400000000000006</v>
      </c>
      <c r="AB11" s="39" t="s">
        <v>8</v>
      </c>
      <c r="AC11" s="40">
        <f>IF(AA11&lt;0,0,AA11)</f>
        <v>69.400000000000006</v>
      </c>
      <c r="AD11" s="41" t="s">
        <v>9</v>
      </c>
      <c r="AE11" s="92">
        <f>R.HN!G7</f>
        <v>0</v>
      </c>
      <c r="AF11" s="35">
        <f>AE11*10</f>
        <v>0</v>
      </c>
      <c r="AG11" s="35">
        <f>($F$8-AF11)*2*694/1000</f>
        <v>69.400000000000006</v>
      </c>
      <c r="AH11" s="39" t="s">
        <v>8</v>
      </c>
      <c r="AI11" s="40">
        <f>IF(AG11&lt;0,0,AG11)</f>
        <v>69.400000000000006</v>
      </c>
      <c r="AJ11" s="41" t="s">
        <v>9</v>
      </c>
      <c r="AK11" s="92">
        <f>R.HN!H7</f>
        <v>0</v>
      </c>
      <c r="AL11" s="35">
        <f>AK11*10</f>
        <v>0</v>
      </c>
      <c r="AM11" s="35">
        <f>($F$8-AL11)*2*694/1000</f>
        <v>69.400000000000006</v>
      </c>
      <c r="AN11" s="39" t="s">
        <v>8</v>
      </c>
      <c r="AO11" s="40">
        <f>IF(AM11&lt;0,0,AM11)</f>
        <v>69.400000000000006</v>
      </c>
      <c r="AP11" s="41" t="s">
        <v>9</v>
      </c>
      <c r="AQ11" s="274" t="s">
        <v>428</v>
      </c>
    </row>
    <row r="12" spans="1:45" ht="33.75" customHeight="1">
      <c r="A12" s="1255" t="s">
        <v>438</v>
      </c>
      <c r="B12" s="3081"/>
      <c r="C12" s="3297"/>
      <c r="D12" s="3076"/>
      <c r="E12" s="107" t="s">
        <v>1075</v>
      </c>
      <c r="F12" s="1281">
        <v>6.5</v>
      </c>
      <c r="G12" s="1279">
        <f>R.HN!C8</f>
        <v>0</v>
      </c>
      <c r="H12" s="35">
        <f>IFERROR(H11/G12,0)</f>
        <v>0</v>
      </c>
      <c r="I12" s="35">
        <f>($F$9-H12)*694/1000</f>
        <v>4.5110000000000001</v>
      </c>
      <c r="J12" s="39"/>
      <c r="K12" s="40">
        <f>IF(I12&lt;0,0,I12)</f>
        <v>4.5110000000000001</v>
      </c>
      <c r="L12" s="219" t="s">
        <v>9</v>
      </c>
      <c r="M12" s="252">
        <f>R.HN!D8</f>
        <v>0</v>
      </c>
      <c r="N12" s="35">
        <f>IFERROR(N11/M12,0)</f>
        <v>0</v>
      </c>
      <c r="O12" s="35">
        <f>($F$9-N12)*694/1000</f>
        <v>4.5110000000000001</v>
      </c>
      <c r="P12" s="39"/>
      <c r="Q12" s="40">
        <f>IF(O12&lt;0,0,O12)</f>
        <v>4.5110000000000001</v>
      </c>
      <c r="R12" s="41" t="s">
        <v>9</v>
      </c>
      <c r="S12" s="92">
        <f>R.HN!E8</f>
        <v>0</v>
      </c>
      <c r="T12" s="35">
        <f>IFERROR(T11/S12,0)</f>
        <v>0</v>
      </c>
      <c r="U12" s="35">
        <f>($F$9-T12)*694/1000</f>
        <v>4.5110000000000001</v>
      </c>
      <c r="V12" s="39"/>
      <c r="W12" s="40">
        <f>IF(U12&lt;0,0,U12)</f>
        <v>4.5110000000000001</v>
      </c>
      <c r="X12" s="41" t="s">
        <v>9</v>
      </c>
      <c r="Y12" s="92">
        <f>R.HN!F8</f>
        <v>0</v>
      </c>
      <c r="Z12" s="35">
        <f>IFERROR(Z11/Y12,0)</f>
        <v>0</v>
      </c>
      <c r="AA12" s="35">
        <f>($F$9-Z12)*694/1000</f>
        <v>4.5110000000000001</v>
      </c>
      <c r="AB12" s="39"/>
      <c r="AC12" s="40">
        <f>IF(AA12&lt;0,0,AA12)</f>
        <v>4.5110000000000001</v>
      </c>
      <c r="AD12" s="41" t="s">
        <v>9</v>
      </c>
      <c r="AE12" s="92">
        <f>R.HN!G8</f>
        <v>0</v>
      </c>
      <c r="AF12" s="35">
        <f>IFERROR(AF11/AE12,0)</f>
        <v>0</v>
      </c>
      <c r="AG12" s="35">
        <f>($F$9-AF12)*694/1000</f>
        <v>4.5110000000000001</v>
      </c>
      <c r="AH12" s="39"/>
      <c r="AI12" s="40">
        <f>IF(AG12&lt;0,0,AG12)</f>
        <v>4.5110000000000001</v>
      </c>
      <c r="AJ12" s="41" t="s">
        <v>9</v>
      </c>
      <c r="AK12" s="92">
        <f>R.HN!H8</f>
        <v>0</v>
      </c>
      <c r="AL12" s="35">
        <f>IFERROR(AL11/AK12,0)</f>
        <v>0</v>
      </c>
      <c r="AM12" s="35">
        <f>($F$9-AL12)*694/1000</f>
        <v>4.5110000000000001</v>
      </c>
      <c r="AN12" s="39"/>
      <c r="AO12" s="40">
        <f>IF(AM12&lt;0,0,AM12)</f>
        <v>4.5110000000000001</v>
      </c>
      <c r="AP12" s="41" t="s">
        <v>9</v>
      </c>
      <c r="AQ12" s="274" t="s">
        <v>428</v>
      </c>
    </row>
    <row r="13" spans="1:45" ht="33.75" customHeight="1">
      <c r="A13" s="1255" t="s">
        <v>439</v>
      </c>
      <c r="B13" s="3295"/>
      <c r="C13" s="3298"/>
      <c r="D13" s="3076"/>
      <c r="E13" s="107" t="s">
        <v>1076</v>
      </c>
      <c r="F13" s="1278">
        <v>0.4</v>
      </c>
      <c r="G13" s="1279">
        <f>R.HN!C9</f>
        <v>0</v>
      </c>
      <c r="H13" s="1282">
        <f>G13</f>
        <v>0</v>
      </c>
      <c r="I13" s="35">
        <f>($F$10-H13)*5</f>
        <v>2</v>
      </c>
      <c r="J13" s="39"/>
      <c r="K13" s="42"/>
      <c r="L13" s="219" t="s">
        <v>9</v>
      </c>
      <c r="M13" s="252">
        <f>R.HN!D9</f>
        <v>0</v>
      </c>
      <c r="N13" s="1282">
        <f>M13</f>
        <v>0</v>
      </c>
      <c r="O13" s="35">
        <f>($F$10-N13)*5</f>
        <v>2</v>
      </c>
      <c r="P13" s="39"/>
      <c r="Q13" s="42"/>
      <c r="R13" s="41" t="s">
        <v>9</v>
      </c>
      <c r="S13" s="92">
        <f>R.HN!E9</f>
        <v>0</v>
      </c>
      <c r="T13" s="1282">
        <f>S13</f>
        <v>0</v>
      </c>
      <c r="U13" s="35">
        <f>($F$10-T13)*5</f>
        <v>2</v>
      </c>
      <c r="V13" s="39"/>
      <c r="W13" s="42"/>
      <c r="X13" s="41" t="s">
        <v>9</v>
      </c>
      <c r="Y13" s="92">
        <f>R.HN!F9</f>
        <v>0</v>
      </c>
      <c r="Z13" s="1282">
        <f>Y13</f>
        <v>0</v>
      </c>
      <c r="AA13" s="35">
        <f>($F$10-Z13)*5</f>
        <v>2</v>
      </c>
      <c r="AB13" s="39"/>
      <c r="AC13" s="42"/>
      <c r="AD13" s="41" t="s">
        <v>9</v>
      </c>
      <c r="AE13" s="92">
        <f>R.HN!G9</f>
        <v>0</v>
      </c>
      <c r="AF13" s="1282">
        <f>AE13</f>
        <v>0</v>
      </c>
      <c r="AG13" s="35">
        <f>($F$10-AF13)*5</f>
        <v>2</v>
      </c>
      <c r="AH13" s="39"/>
      <c r="AI13" s="42"/>
      <c r="AJ13" s="41" t="s">
        <v>9</v>
      </c>
      <c r="AK13" s="92">
        <f>R.HN!H9</f>
        <v>0</v>
      </c>
      <c r="AL13" s="1282">
        <f>AK13</f>
        <v>0</v>
      </c>
      <c r="AM13" s="35">
        <f>($F$10-AL13)*5</f>
        <v>2</v>
      </c>
      <c r="AN13" s="39"/>
      <c r="AO13" s="42" t="s">
        <v>435</v>
      </c>
      <c r="AP13" s="41" t="s">
        <v>9</v>
      </c>
      <c r="AQ13" s="274" t="s">
        <v>428</v>
      </c>
    </row>
    <row r="14" spans="1:45" ht="33.75" customHeight="1">
      <c r="A14" s="1255" t="s">
        <v>440</v>
      </c>
      <c r="B14" s="3288" t="s">
        <v>441</v>
      </c>
      <c r="C14" s="3289"/>
      <c r="D14" s="47" t="s">
        <v>432</v>
      </c>
      <c r="E14" s="107" t="s">
        <v>442</v>
      </c>
      <c r="F14" s="1281">
        <v>1</v>
      </c>
      <c r="G14" s="1279">
        <f>R.HN!C10</f>
        <v>0</v>
      </c>
      <c r="H14" s="35">
        <f>G14</f>
        <v>0</v>
      </c>
      <c r="I14" s="35">
        <f>($F$14-H14)*546/1000*8</f>
        <v>4.3680000000000003</v>
      </c>
      <c r="J14" s="39" t="s">
        <v>8</v>
      </c>
      <c r="K14" s="42">
        <f>IF(I14&lt;0,0,I14)</f>
        <v>4.3680000000000003</v>
      </c>
      <c r="L14" s="219" t="s">
        <v>9</v>
      </c>
      <c r="M14" s="252">
        <f>R.HN!D10</f>
        <v>0</v>
      </c>
      <c r="N14" s="35">
        <f>M14</f>
        <v>0</v>
      </c>
      <c r="O14" s="35">
        <f>($F$14-N14)*546/1000*8</f>
        <v>4.3680000000000003</v>
      </c>
      <c r="P14" s="39" t="s">
        <v>8</v>
      </c>
      <c r="Q14" s="42">
        <f>IF(O14&lt;0,0,O14)</f>
        <v>4.3680000000000003</v>
      </c>
      <c r="R14" s="41" t="s">
        <v>9</v>
      </c>
      <c r="S14" s="92">
        <f>R.HN!E10</f>
        <v>0</v>
      </c>
      <c r="T14" s="35">
        <f>S14</f>
        <v>0</v>
      </c>
      <c r="U14" s="35">
        <f>($F$14-T14)*546/1000*8</f>
        <v>4.3680000000000003</v>
      </c>
      <c r="V14" s="39" t="s">
        <v>8</v>
      </c>
      <c r="W14" s="42">
        <f>IF(U14&lt;0,0,U14)</f>
        <v>4.3680000000000003</v>
      </c>
      <c r="X14" s="41" t="s">
        <v>9</v>
      </c>
      <c r="Y14" s="92">
        <f>R.HN!F10</f>
        <v>0</v>
      </c>
      <c r="Z14" s="35">
        <f>Y14</f>
        <v>0</v>
      </c>
      <c r="AA14" s="35">
        <f>($F$14-Z14)*546/1000*8</f>
        <v>4.3680000000000003</v>
      </c>
      <c r="AB14" s="39" t="s">
        <v>8</v>
      </c>
      <c r="AC14" s="42">
        <f>IF(AA14&lt;0,0,AA14)</f>
        <v>4.3680000000000003</v>
      </c>
      <c r="AD14" s="41" t="s">
        <v>9</v>
      </c>
      <c r="AE14" s="92">
        <f>R.HN!G10</f>
        <v>0</v>
      </c>
      <c r="AF14" s="35">
        <f>AE14</f>
        <v>0</v>
      </c>
      <c r="AG14" s="35">
        <f>($F$14-AF14)*546/1000*8</f>
        <v>4.3680000000000003</v>
      </c>
      <c r="AH14" s="39" t="s">
        <v>8</v>
      </c>
      <c r="AI14" s="42">
        <f>IF(AG14&lt;0,0,AG14)</f>
        <v>4.3680000000000003</v>
      </c>
      <c r="AJ14" s="41" t="s">
        <v>9</v>
      </c>
      <c r="AK14" s="92">
        <f>R.HN!H10</f>
        <v>0</v>
      </c>
      <c r="AL14" s="35">
        <f>AK14</f>
        <v>0</v>
      </c>
      <c r="AM14" s="35">
        <f>($F$14-AL14)*546/1000*8</f>
        <v>4.3680000000000003</v>
      </c>
      <c r="AN14" s="39" t="s">
        <v>8</v>
      </c>
      <c r="AO14" s="42">
        <f>IF(AM14&lt;0,0,AM14)</f>
        <v>4.3680000000000003</v>
      </c>
      <c r="AP14" s="41" t="s">
        <v>9</v>
      </c>
      <c r="AQ14" s="274" t="s">
        <v>428</v>
      </c>
    </row>
    <row r="15" spans="1:45" ht="31.5" customHeight="1">
      <c r="A15" s="1255" t="s">
        <v>443</v>
      </c>
      <c r="B15" s="3299"/>
      <c r="C15" s="3300"/>
      <c r="D15" s="47" t="s">
        <v>5</v>
      </c>
      <c r="E15" s="107" t="s">
        <v>1185</v>
      </c>
      <c r="F15" s="1283">
        <v>9.5</v>
      </c>
      <c r="G15" s="1279">
        <f>R.HN!C11</f>
        <v>0</v>
      </c>
      <c r="H15" s="35">
        <f>G15</f>
        <v>0</v>
      </c>
      <c r="I15" s="35"/>
      <c r="J15" s="39"/>
      <c r="K15" s="40"/>
      <c r="L15" s="219"/>
      <c r="M15" s="252">
        <f>R.HN!D11</f>
        <v>0</v>
      </c>
      <c r="N15" s="35">
        <f>M15</f>
        <v>0</v>
      </c>
      <c r="O15" s="35"/>
      <c r="P15" s="39"/>
      <c r="Q15" s="40"/>
      <c r="R15" s="41"/>
      <c r="S15" s="92">
        <f>R.HN!E11</f>
        <v>0</v>
      </c>
      <c r="T15" s="35">
        <f>S15</f>
        <v>0</v>
      </c>
      <c r="U15" s="35"/>
      <c r="V15" s="39"/>
      <c r="W15" s="40"/>
      <c r="X15" s="41"/>
      <c r="Y15" s="92">
        <f>R.HN!F11</f>
        <v>0</v>
      </c>
      <c r="Z15" s="35">
        <f>Y15</f>
        <v>0</v>
      </c>
      <c r="AA15" s="35"/>
      <c r="AB15" s="39"/>
      <c r="AC15" s="40"/>
      <c r="AD15" s="41"/>
      <c r="AE15" s="92">
        <f>R.HN!G11</f>
        <v>0</v>
      </c>
      <c r="AF15" s="35">
        <f>AE15</f>
        <v>0</v>
      </c>
      <c r="AG15" s="35"/>
      <c r="AH15" s="39"/>
      <c r="AI15" s="40"/>
      <c r="AJ15" s="41"/>
      <c r="AK15" s="92">
        <f>R.HN!H11</f>
        <v>0</v>
      </c>
      <c r="AL15" s="35">
        <f>AK15</f>
        <v>0</v>
      </c>
      <c r="AM15" s="35"/>
      <c r="AN15" s="39"/>
      <c r="AO15" s="40"/>
      <c r="AP15" s="41"/>
      <c r="AQ15" s="274" t="s">
        <v>428</v>
      </c>
    </row>
    <row r="16" spans="1:45" ht="39" customHeight="1">
      <c r="A16" s="295" t="s">
        <v>74</v>
      </c>
      <c r="B16" s="296"/>
      <c r="C16" s="296"/>
      <c r="D16" s="296"/>
      <c r="E16" s="293"/>
      <c r="F16" s="296"/>
      <c r="G16" s="296"/>
      <c r="H16" s="296"/>
      <c r="I16" s="296"/>
      <c r="J16" s="296"/>
      <c r="K16" s="296"/>
      <c r="L16" s="296"/>
      <c r="M16" s="296"/>
      <c r="N16" s="297"/>
      <c r="O16" s="296"/>
      <c r="P16" s="296"/>
      <c r="Q16" s="296"/>
      <c r="R16" s="297"/>
      <c r="S16" s="296"/>
      <c r="T16" s="297"/>
      <c r="U16" s="296"/>
      <c r="V16" s="296"/>
      <c r="W16" s="296"/>
      <c r="X16" s="296"/>
      <c r="Y16" s="296"/>
      <c r="Z16" s="296"/>
      <c r="AA16" s="296"/>
      <c r="AB16" s="296"/>
      <c r="AC16" s="296"/>
      <c r="AD16" s="296"/>
      <c r="AE16" s="297"/>
      <c r="AF16" s="297"/>
      <c r="AG16" s="297"/>
      <c r="AH16" s="297"/>
      <c r="AI16" s="297"/>
      <c r="AJ16" s="297"/>
      <c r="AK16" s="297"/>
      <c r="AL16" s="297"/>
      <c r="AM16" s="297"/>
      <c r="AN16" s="297"/>
      <c r="AO16" s="297"/>
      <c r="AP16" s="1036"/>
    </row>
    <row r="17" spans="1:43" ht="50.25" customHeight="1">
      <c r="A17" s="1255" t="s">
        <v>239</v>
      </c>
      <c r="B17" s="3112" t="s">
        <v>62</v>
      </c>
      <c r="C17" s="3114"/>
      <c r="D17" s="288" t="s">
        <v>64</v>
      </c>
      <c r="E17" s="288" t="s">
        <v>65</v>
      </c>
      <c r="F17" s="1284"/>
      <c r="G17" s="1284"/>
      <c r="H17" s="290" t="s">
        <v>46</v>
      </c>
      <c r="I17" s="291"/>
      <c r="J17" s="291"/>
      <c r="K17" s="290" t="s">
        <v>63</v>
      </c>
      <c r="L17" s="304"/>
      <c r="M17" s="288"/>
      <c r="N17" s="290" t="s">
        <v>46</v>
      </c>
      <c r="O17" s="291"/>
      <c r="P17" s="291"/>
      <c r="Q17" s="290" t="s">
        <v>63</v>
      </c>
      <c r="R17" s="304"/>
      <c r="S17" s="95"/>
      <c r="T17" s="290" t="s">
        <v>46</v>
      </c>
      <c r="U17" s="291"/>
      <c r="V17" s="291"/>
      <c r="W17" s="290" t="s">
        <v>63</v>
      </c>
      <c r="X17" s="304"/>
      <c r="Y17" s="96"/>
      <c r="Z17" s="290" t="s">
        <v>46</v>
      </c>
      <c r="AA17" s="291"/>
      <c r="AB17" s="291"/>
      <c r="AC17" s="290" t="s">
        <v>63</v>
      </c>
      <c r="AD17" s="304"/>
      <c r="AE17" s="96"/>
      <c r="AF17" s="290" t="s">
        <v>46</v>
      </c>
      <c r="AG17" s="291"/>
      <c r="AH17" s="291"/>
      <c r="AI17" s="290" t="s">
        <v>63</v>
      </c>
      <c r="AJ17" s="304"/>
      <c r="AK17" s="96"/>
      <c r="AL17" s="290" t="s">
        <v>46</v>
      </c>
      <c r="AM17" s="291"/>
      <c r="AN17" s="291"/>
      <c r="AO17" s="290" t="s">
        <v>63</v>
      </c>
      <c r="AP17" s="304"/>
    </row>
    <row r="18" spans="1:43" ht="40.5" customHeight="1">
      <c r="A18" s="1255" t="s">
        <v>445</v>
      </c>
      <c r="B18" s="3112" t="s">
        <v>446</v>
      </c>
      <c r="C18" s="3114"/>
      <c r="D18" s="21" t="s">
        <v>106</v>
      </c>
      <c r="E18" s="107" t="s">
        <v>1186</v>
      </c>
      <c r="F18" s="100"/>
      <c r="G18" s="100"/>
      <c r="H18" s="2831"/>
      <c r="I18" s="2832"/>
      <c r="J18" s="2832"/>
      <c r="K18" s="2831"/>
      <c r="L18" s="2832"/>
      <c r="M18" s="96"/>
      <c r="N18" s="2831"/>
      <c r="O18" s="2832"/>
      <c r="P18" s="2832"/>
      <c r="Q18" s="2831"/>
      <c r="R18" s="2832"/>
      <c r="S18" s="96"/>
      <c r="T18" s="2831"/>
      <c r="U18" s="2832"/>
      <c r="V18" s="2832"/>
      <c r="W18" s="2831"/>
      <c r="X18" s="2832"/>
      <c r="Y18" s="96"/>
      <c r="Z18" s="2831"/>
      <c r="AA18" s="2832"/>
      <c r="AB18" s="2832"/>
      <c r="AC18" s="2831"/>
      <c r="AD18" s="2832"/>
      <c r="AE18" s="96"/>
      <c r="AF18" s="2831"/>
      <c r="AG18" s="2832"/>
      <c r="AH18" s="2832"/>
      <c r="AI18" s="2831"/>
      <c r="AJ18" s="2832"/>
      <c r="AK18" s="96"/>
      <c r="AL18" s="2831"/>
      <c r="AM18" s="2832"/>
      <c r="AN18" s="2832"/>
      <c r="AO18" s="2926"/>
      <c r="AP18" s="2926"/>
      <c r="AQ18" s="274" t="s">
        <v>428</v>
      </c>
    </row>
    <row r="19" spans="1:43" ht="40.5" customHeight="1">
      <c r="A19" s="1255" t="s">
        <v>447</v>
      </c>
      <c r="B19" s="3112" t="s">
        <v>448</v>
      </c>
      <c r="C19" s="3114"/>
      <c r="D19" s="21" t="s">
        <v>106</v>
      </c>
      <c r="E19" s="107" t="s">
        <v>1186</v>
      </c>
      <c r="F19" s="100"/>
      <c r="G19" s="100"/>
      <c r="H19" s="2831"/>
      <c r="I19" s="2832"/>
      <c r="J19" s="2832"/>
      <c r="K19" s="2831"/>
      <c r="L19" s="2832"/>
      <c r="M19" s="96"/>
      <c r="N19" s="2831"/>
      <c r="O19" s="2832"/>
      <c r="P19" s="2832"/>
      <c r="Q19" s="2831"/>
      <c r="R19" s="2832"/>
      <c r="S19" s="96"/>
      <c r="T19" s="2831"/>
      <c r="U19" s="2832"/>
      <c r="V19" s="2832"/>
      <c r="W19" s="2831"/>
      <c r="X19" s="2832"/>
      <c r="Y19" s="96"/>
      <c r="Z19" s="2831"/>
      <c r="AA19" s="2832"/>
      <c r="AB19" s="2832"/>
      <c r="AC19" s="2831"/>
      <c r="AD19" s="2832"/>
      <c r="AE19" s="96"/>
      <c r="AF19" s="2831"/>
      <c r="AG19" s="2832"/>
      <c r="AH19" s="2832"/>
      <c r="AI19" s="2831"/>
      <c r="AJ19" s="2832"/>
      <c r="AK19" s="96"/>
      <c r="AL19" s="2831"/>
      <c r="AM19" s="2832"/>
      <c r="AN19" s="2832"/>
      <c r="AO19" s="2926"/>
      <c r="AP19" s="2926"/>
      <c r="AQ19" s="274" t="s">
        <v>428</v>
      </c>
    </row>
    <row r="20" spans="1:43" ht="40.5" customHeight="1">
      <c r="A20" s="1255" t="s">
        <v>449</v>
      </c>
      <c r="B20" s="3112" t="s">
        <v>441</v>
      </c>
      <c r="C20" s="3114"/>
      <c r="D20" s="21" t="s">
        <v>106</v>
      </c>
      <c r="E20" s="107" t="s">
        <v>1187</v>
      </c>
      <c r="F20" s="100"/>
      <c r="G20" s="100"/>
      <c r="H20" s="2831"/>
      <c r="I20" s="2832"/>
      <c r="J20" s="2832"/>
      <c r="K20" s="2831"/>
      <c r="L20" s="2832"/>
      <c r="M20" s="96"/>
      <c r="N20" s="2831"/>
      <c r="O20" s="2832"/>
      <c r="P20" s="2832"/>
      <c r="Q20" s="2831"/>
      <c r="R20" s="2832"/>
      <c r="S20" s="96"/>
      <c r="T20" s="2831"/>
      <c r="U20" s="2832"/>
      <c r="V20" s="2832"/>
      <c r="W20" s="2831"/>
      <c r="X20" s="2832"/>
      <c r="Y20" s="96"/>
      <c r="Z20" s="2831"/>
      <c r="AA20" s="2832"/>
      <c r="AB20" s="2832"/>
      <c r="AC20" s="2831"/>
      <c r="AD20" s="2832"/>
      <c r="AE20" s="96"/>
      <c r="AF20" s="2831"/>
      <c r="AG20" s="2832"/>
      <c r="AH20" s="2832"/>
      <c r="AI20" s="2831"/>
      <c r="AJ20" s="2832"/>
      <c r="AK20" s="96"/>
      <c r="AL20" s="2831"/>
      <c r="AM20" s="2832"/>
      <c r="AN20" s="2832"/>
      <c r="AO20" s="2926"/>
      <c r="AP20" s="2926"/>
      <c r="AQ20" s="274" t="s">
        <v>428</v>
      </c>
    </row>
    <row r="21" spans="1:43" ht="23.25" customHeight="1">
      <c r="A21" s="1285"/>
      <c r="B21" s="1285"/>
      <c r="C21" s="1285"/>
      <c r="D21" s="1285"/>
      <c r="E21" s="1285"/>
      <c r="F21" s="1285"/>
      <c r="G21" s="1285"/>
      <c r="H21" s="1286"/>
      <c r="I21" s="1286"/>
      <c r="J21" s="1286"/>
      <c r="K21" s="1286"/>
      <c r="L21" s="1286"/>
      <c r="M21" s="1286"/>
      <c r="N21" s="1286"/>
      <c r="O21" s="1286"/>
      <c r="P21" s="1286"/>
      <c r="Q21" s="1286"/>
      <c r="R21" s="1286"/>
      <c r="S21" s="1286"/>
      <c r="T21" s="1286"/>
      <c r="U21" s="1286"/>
      <c r="V21" s="1286"/>
      <c r="W21" s="1286"/>
      <c r="X21" s="1286"/>
      <c r="Y21" s="1286"/>
      <c r="Z21" s="1286"/>
      <c r="AA21" s="1286"/>
      <c r="AB21" s="1286"/>
      <c r="AC21" s="1286"/>
      <c r="AD21" s="1286"/>
      <c r="AP21" s="274"/>
    </row>
    <row r="22" spans="1:43" ht="41.25" customHeight="1">
      <c r="A22" s="2102" t="s">
        <v>912</v>
      </c>
      <c r="B22" s="2103"/>
      <c r="C22" s="2104"/>
      <c r="D22" s="2104"/>
      <c r="E22" s="2105"/>
      <c r="F22" s="2106" t="s">
        <v>73</v>
      </c>
      <c r="G22" s="2040"/>
      <c r="H22" s="2107" t="s">
        <v>73</v>
      </c>
      <c r="I22" s="2107"/>
      <c r="J22" s="2107"/>
      <c r="K22" s="2107"/>
      <c r="L22" s="2107"/>
      <c r="M22" s="2107"/>
      <c r="N22" s="2107"/>
      <c r="O22" s="2107"/>
      <c r="P22" s="2107"/>
      <c r="Q22" s="2107"/>
      <c r="R22" s="2107"/>
      <c r="S22" s="2107"/>
      <c r="T22" s="2107"/>
      <c r="U22" s="2107"/>
      <c r="V22" s="2107"/>
      <c r="W22" s="2107"/>
      <c r="X22" s="2107"/>
      <c r="Y22" s="2107"/>
      <c r="Z22" s="2107"/>
      <c r="AA22" s="2107"/>
      <c r="AB22" s="2107"/>
      <c r="AC22" s="2107"/>
      <c r="AD22" s="2107"/>
      <c r="AE22" s="2107"/>
      <c r="AF22" s="2107"/>
      <c r="AG22" s="2107"/>
      <c r="AH22" s="2107"/>
      <c r="AI22" s="2107"/>
      <c r="AJ22" s="2107"/>
      <c r="AK22" s="2107"/>
      <c r="AL22" s="2107"/>
      <c r="AM22" s="2107"/>
      <c r="AN22" s="2107"/>
      <c r="AO22" s="2107"/>
      <c r="AP22" s="2107"/>
    </row>
    <row r="23" spans="1:43" ht="30" customHeight="1">
      <c r="A23" s="437"/>
      <c r="B23" s="3302" t="s">
        <v>77</v>
      </c>
      <c r="C23" s="3303"/>
      <c r="D23" s="3306" t="s">
        <v>125</v>
      </c>
      <c r="E23" s="3308" t="s">
        <v>65</v>
      </c>
      <c r="F23" s="1287"/>
      <c r="G23" s="88"/>
      <c r="H23" s="3301" t="s">
        <v>473</v>
      </c>
      <c r="I23" s="3301"/>
      <c r="J23" s="3301"/>
      <c r="K23" s="3301"/>
      <c r="L23" s="3301"/>
      <c r="M23" s="1276"/>
      <c r="N23" s="3294" t="s">
        <v>1484</v>
      </c>
      <c r="O23" s="3294"/>
      <c r="P23" s="3294"/>
      <c r="Q23" s="3294"/>
      <c r="R23" s="3294"/>
      <c r="S23" s="1276"/>
      <c r="T23" s="3301" t="s">
        <v>1485</v>
      </c>
      <c r="U23" s="3301"/>
      <c r="V23" s="3301"/>
      <c r="W23" s="3301"/>
      <c r="X23" s="3301"/>
      <c r="Y23" s="1276"/>
      <c r="Z23" s="3301" t="s">
        <v>1486</v>
      </c>
      <c r="AA23" s="3301"/>
      <c r="AB23" s="3301"/>
      <c r="AC23" s="3301"/>
      <c r="AD23" s="3301"/>
      <c r="AE23" s="1276"/>
      <c r="AF23" s="3301" t="s">
        <v>1487</v>
      </c>
      <c r="AG23" s="3301"/>
      <c r="AH23" s="3301"/>
      <c r="AI23" s="3301"/>
      <c r="AJ23" s="3301"/>
      <c r="AK23" s="1276"/>
      <c r="AL23" s="3301" t="s">
        <v>1488</v>
      </c>
      <c r="AM23" s="3301"/>
      <c r="AN23" s="3301"/>
      <c r="AO23" s="3301"/>
      <c r="AP23" s="3301"/>
    </row>
    <row r="24" spans="1:43" ht="30" customHeight="1">
      <c r="A24" s="1254" t="s">
        <v>239</v>
      </c>
      <c r="B24" s="3304"/>
      <c r="C24" s="3305"/>
      <c r="D24" s="3307"/>
      <c r="E24" s="3309"/>
      <c r="F24" s="1277" t="s">
        <v>423</v>
      </c>
      <c r="G24" s="20"/>
      <c r="H24" s="1252" t="s">
        <v>130</v>
      </c>
      <c r="I24" s="34" t="s">
        <v>1</v>
      </c>
      <c r="J24" s="293" t="s">
        <v>1</v>
      </c>
      <c r="K24" s="293"/>
      <c r="L24" s="294"/>
      <c r="M24" s="89"/>
      <c r="N24" s="1252" t="s">
        <v>130</v>
      </c>
      <c r="O24" s="34" t="s">
        <v>1</v>
      </c>
      <c r="P24" s="293" t="s">
        <v>1</v>
      </c>
      <c r="Q24" s="293"/>
      <c r="R24" s="294"/>
      <c r="S24" s="20"/>
      <c r="T24" s="1252" t="s">
        <v>130</v>
      </c>
      <c r="U24" s="34" t="s">
        <v>1</v>
      </c>
      <c r="V24" s="293" t="s">
        <v>1</v>
      </c>
      <c r="W24" s="293"/>
      <c r="X24" s="294"/>
      <c r="Y24" s="89"/>
      <c r="Z24" s="1252" t="s">
        <v>130</v>
      </c>
      <c r="AA24" s="34" t="s">
        <v>1</v>
      </c>
      <c r="AB24" s="293" t="s">
        <v>1</v>
      </c>
      <c r="AC24" s="293"/>
      <c r="AD24" s="294"/>
      <c r="AE24" s="89"/>
      <c r="AF24" s="1252" t="s">
        <v>130</v>
      </c>
      <c r="AG24" s="34" t="s">
        <v>1</v>
      </c>
      <c r="AH24" s="293" t="s">
        <v>1</v>
      </c>
      <c r="AI24" s="293"/>
      <c r="AJ24" s="294"/>
      <c r="AK24" s="89"/>
      <c r="AL24" s="1252" t="s">
        <v>130</v>
      </c>
      <c r="AM24" s="34" t="s">
        <v>1</v>
      </c>
      <c r="AN24" s="293" t="s">
        <v>1</v>
      </c>
      <c r="AO24" s="293"/>
      <c r="AP24" s="294"/>
    </row>
    <row r="25" spans="1:43" ht="30" customHeight="1">
      <c r="A25" s="1255" t="s">
        <v>1188</v>
      </c>
      <c r="B25" s="3150" t="s">
        <v>450</v>
      </c>
      <c r="C25" s="3152"/>
      <c r="D25" s="285" t="s">
        <v>432</v>
      </c>
      <c r="E25" s="107" t="s">
        <v>451</v>
      </c>
      <c r="F25" s="1280">
        <v>40</v>
      </c>
      <c r="G25" s="1279">
        <f>R.HN!C16</f>
        <v>0</v>
      </c>
      <c r="H25" s="35">
        <f>G25*10</f>
        <v>0</v>
      </c>
      <c r="I25" s="35">
        <f>($F$25-H25)*2330/1000</f>
        <v>93.2</v>
      </c>
      <c r="J25" s="39" t="s">
        <v>8</v>
      </c>
      <c r="K25" s="42">
        <f>IF(I25&lt;0,0,I25)</f>
        <v>93.2</v>
      </c>
      <c r="L25" s="219" t="s">
        <v>9</v>
      </c>
      <c r="M25" s="1279">
        <f>R.HN!D16</f>
        <v>0</v>
      </c>
      <c r="N25" s="35">
        <f>M25*10</f>
        <v>0</v>
      </c>
      <c r="O25" s="35">
        <f>($F$25-N25)*2330/1000</f>
        <v>93.2</v>
      </c>
      <c r="P25" s="39" t="s">
        <v>8</v>
      </c>
      <c r="Q25" s="42">
        <f>IF(O25&lt;0,0,O25)</f>
        <v>93.2</v>
      </c>
      <c r="R25" s="219" t="s">
        <v>9</v>
      </c>
      <c r="S25" s="1279">
        <f>R.HN!E16</f>
        <v>0</v>
      </c>
      <c r="T25" s="35">
        <f>S25*10</f>
        <v>0</v>
      </c>
      <c r="U25" s="35">
        <f>($F$25-T25)*2330/1000</f>
        <v>93.2</v>
      </c>
      <c r="V25" s="39" t="s">
        <v>8</v>
      </c>
      <c r="W25" s="42">
        <f>IF(U25&lt;0,0,U25)</f>
        <v>93.2</v>
      </c>
      <c r="X25" s="219" t="s">
        <v>9</v>
      </c>
      <c r="Y25" s="1279">
        <f>R.HN!F16</f>
        <v>0</v>
      </c>
      <c r="Z25" s="35">
        <f>Y25*10</f>
        <v>0</v>
      </c>
      <c r="AA25" s="35">
        <f>($F$25-Z25)*2330/1000</f>
        <v>93.2</v>
      </c>
      <c r="AB25" s="39" t="s">
        <v>8</v>
      </c>
      <c r="AC25" s="42">
        <f>IF(AA25&lt;0,0,AA25)</f>
        <v>93.2</v>
      </c>
      <c r="AD25" s="219" t="s">
        <v>9</v>
      </c>
      <c r="AE25" s="1279">
        <f>R.HN!G16</f>
        <v>0</v>
      </c>
      <c r="AF25" s="35">
        <f>AE25*10</f>
        <v>0</v>
      </c>
      <c r="AG25" s="35">
        <f>($F$25-AF25)*2330/1000</f>
        <v>93.2</v>
      </c>
      <c r="AH25" s="39" t="s">
        <v>8</v>
      </c>
      <c r="AI25" s="42">
        <f>IF(AG25&lt;0,0,AG25)</f>
        <v>93.2</v>
      </c>
      <c r="AJ25" s="219" t="s">
        <v>9</v>
      </c>
      <c r="AK25" s="1279">
        <f>R.HN!H16</f>
        <v>0</v>
      </c>
      <c r="AL25" s="35">
        <f>AK25*10</f>
        <v>0</v>
      </c>
      <c r="AM25" s="35">
        <f>($F$25-AL25)*2330/1000</f>
        <v>93.2</v>
      </c>
      <c r="AN25" s="39" t="s">
        <v>8</v>
      </c>
      <c r="AO25" s="42">
        <f>IF(AM25&lt;0,0,AM25)</f>
        <v>93.2</v>
      </c>
      <c r="AP25" s="41" t="s">
        <v>9</v>
      </c>
      <c r="AQ25" s="274" t="s">
        <v>452</v>
      </c>
    </row>
    <row r="26" spans="1:43" ht="30" customHeight="1">
      <c r="A26" s="1255" t="s">
        <v>931</v>
      </c>
      <c r="B26" s="3150" t="s">
        <v>838</v>
      </c>
      <c r="C26" s="3152"/>
      <c r="D26" s="1073" t="s">
        <v>3</v>
      </c>
      <c r="E26" s="107" t="s">
        <v>427</v>
      </c>
      <c r="F26" s="1278">
        <v>12.5</v>
      </c>
      <c r="G26" s="1279">
        <f>R.HN!C17</f>
        <v>0</v>
      </c>
      <c r="H26" s="35">
        <f>(1*G26*36.5)/(1*10)</f>
        <v>0</v>
      </c>
      <c r="I26" s="35">
        <f>($F$26-H26)*2605/32</f>
        <v>1017.578125</v>
      </c>
      <c r="J26" s="39" t="s">
        <v>8</v>
      </c>
      <c r="K26" s="40">
        <f>IF(I26&lt;0,0,I26)</f>
        <v>1017.578125</v>
      </c>
      <c r="L26" s="219" t="s">
        <v>10</v>
      </c>
      <c r="M26" s="1279">
        <f>R.HN!D17</f>
        <v>0</v>
      </c>
      <c r="N26" s="35">
        <f>(1*M26*36.5)/(1*10)</f>
        <v>0</v>
      </c>
      <c r="O26" s="35">
        <f>($F$26-N26)*2605/32</f>
        <v>1017.578125</v>
      </c>
      <c r="P26" s="39" t="s">
        <v>8</v>
      </c>
      <c r="Q26" s="40">
        <f>IF(O26&lt;0,0,O26)</f>
        <v>1017.578125</v>
      </c>
      <c r="R26" s="219" t="s">
        <v>10</v>
      </c>
      <c r="S26" s="1279">
        <f>R.HN!E17</f>
        <v>0</v>
      </c>
      <c r="T26" s="35">
        <f>(1*S26*36.5)/(1*10)</f>
        <v>0</v>
      </c>
      <c r="U26" s="35">
        <f>($F$26-T26)*2605/32</f>
        <v>1017.578125</v>
      </c>
      <c r="V26" s="39" t="s">
        <v>8</v>
      </c>
      <c r="W26" s="40">
        <f>IF(U26&lt;0,0,U26)</f>
        <v>1017.578125</v>
      </c>
      <c r="X26" s="219" t="s">
        <v>10</v>
      </c>
      <c r="Y26" s="1279">
        <f>R.HN!F17</f>
        <v>0</v>
      </c>
      <c r="Z26" s="35">
        <f>(1*Y26*36.5)/(1*10)</f>
        <v>0</v>
      </c>
      <c r="AA26" s="35">
        <f>($F$26-Z26)*2605/32</f>
        <v>1017.578125</v>
      </c>
      <c r="AB26" s="39" t="s">
        <v>8</v>
      </c>
      <c r="AC26" s="40">
        <f>IF(AA26&lt;0,0,AA26)</f>
        <v>1017.578125</v>
      </c>
      <c r="AD26" s="219" t="s">
        <v>10</v>
      </c>
      <c r="AE26" s="1279">
        <f>R.HN!G17</f>
        <v>0</v>
      </c>
      <c r="AF26" s="35">
        <f>(1*AE26*36.5)/(1*10)</f>
        <v>0</v>
      </c>
      <c r="AG26" s="35">
        <f>($F$26-AF26)*2605/32</f>
        <v>1017.578125</v>
      </c>
      <c r="AH26" s="39" t="s">
        <v>8</v>
      </c>
      <c r="AI26" s="40">
        <f>IF(AG26&lt;0,0,AG26)</f>
        <v>1017.578125</v>
      </c>
      <c r="AJ26" s="219" t="s">
        <v>10</v>
      </c>
      <c r="AK26" s="1279">
        <f>R.HN!H17</f>
        <v>0</v>
      </c>
      <c r="AL26" s="35">
        <f>(1*AK26*36.5)/(1*10)</f>
        <v>0</v>
      </c>
      <c r="AM26" s="35">
        <f>($F$26-AL26)*2605/32</f>
        <v>1017.578125</v>
      </c>
      <c r="AN26" s="39" t="s">
        <v>8</v>
      </c>
      <c r="AO26" s="40">
        <f>IF(AM26&lt;0,0,AM26)</f>
        <v>1017.578125</v>
      </c>
      <c r="AP26" s="41" t="s">
        <v>10</v>
      </c>
      <c r="AQ26" s="274" t="s">
        <v>452</v>
      </c>
    </row>
    <row r="27" spans="1:43" ht="30" customHeight="1">
      <c r="A27" s="1255" t="s">
        <v>935</v>
      </c>
      <c r="B27" s="3288" t="s">
        <v>431</v>
      </c>
      <c r="C27" s="3289"/>
      <c r="D27" s="3076" t="s">
        <v>432</v>
      </c>
      <c r="E27" s="107" t="s">
        <v>1074</v>
      </c>
      <c r="F27" s="1288">
        <v>50</v>
      </c>
      <c r="G27" s="1279">
        <f>R.HN!C18</f>
        <v>0</v>
      </c>
      <c r="H27" s="35">
        <f>G27*10</f>
        <v>0</v>
      </c>
      <c r="I27" s="35">
        <f>($F$43-H27)*4935/1000</f>
        <v>246.75</v>
      </c>
      <c r="J27" s="39" t="s">
        <v>8</v>
      </c>
      <c r="K27" s="40">
        <f>IF(I27&lt;0,0,I27)</f>
        <v>246.75</v>
      </c>
      <c r="L27" s="219" t="s">
        <v>9</v>
      </c>
      <c r="M27" s="1279">
        <f>R.HN!D18</f>
        <v>0</v>
      </c>
      <c r="N27" s="35">
        <f>M27*10</f>
        <v>0</v>
      </c>
      <c r="O27" s="35">
        <f>($F$43-N27)*4935/1000</f>
        <v>246.75</v>
      </c>
      <c r="P27" s="39" t="s">
        <v>8</v>
      </c>
      <c r="Q27" s="40">
        <f>IF(O27&lt;0,0,O27)</f>
        <v>246.75</v>
      </c>
      <c r="R27" s="219" t="s">
        <v>9</v>
      </c>
      <c r="S27" s="1279">
        <f>R.HN!E18</f>
        <v>0</v>
      </c>
      <c r="T27" s="35">
        <f>S27*10</f>
        <v>0</v>
      </c>
      <c r="U27" s="35">
        <f>($F$43-T27)*4935/1000</f>
        <v>246.75</v>
      </c>
      <c r="V27" s="39" t="s">
        <v>8</v>
      </c>
      <c r="W27" s="40">
        <f>IF(U27&lt;0,0,U27)</f>
        <v>246.75</v>
      </c>
      <c r="X27" s="219" t="s">
        <v>9</v>
      </c>
      <c r="Y27" s="1279">
        <f>R.HN!F18</f>
        <v>0</v>
      </c>
      <c r="Z27" s="35">
        <f>Y27*10</f>
        <v>0</v>
      </c>
      <c r="AA27" s="35">
        <f>($F$43-Z27)*4935/1000</f>
        <v>246.75</v>
      </c>
      <c r="AB27" s="39" t="s">
        <v>8</v>
      </c>
      <c r="AC27" s="40">
        <f>IF(AA27&lt;0,0,AA27)</f>
        <v>246.75</v>
      </c>
      <c r="AD27" s="219" t="s">
        <v>9</v>
      </c>
      <c r="AE27" s="1279">
        <f>R.HN!G18</f>
        <v>0</v>
      </c>
      <c r="AF27" s="35">
        <f>AE27*10</f>
        <v>0</v>
      </c>
      <c r="AG27" s="35">
        <f>($F$43-AF27)*4935/1000</f>
        <v>246.75</v>
      </c>
      <c r="AH27" s="39" t="s">
        <v>8</v>
      </c>
      <c r="AI27" s="40">
        <f>IF(AG27&lt;0,0,AG27)</f>
        <v>246.75</v>
      </c>
      <c r="AJ27" s="219" t="s">
        <v>9</v>
      </c>
      <c r="AK27" s="1279">
        <f>R.HN!H18</f>
        <v>0</v>
      </c>
      <c r="AL27" s="35">
        <f>AK27*10</f>
        <v>0</v>
      </c>
      <c r="AM27" s="35">
        <f>($F$43-AL27)*4935/1000</f>
        <v>246.75</v>
      </c>
      <c r="AN27" s="39" t="s">
        <v>8</v>
      </c>
      <c r="AO27" s="40">
        <f>IF(AM27&lt;0,0,AM27)</f>
        <v>246.75</v>
      </c>
      <c r="AP27" s="41" t="s">
        <v>9</v>
      </c>
      <c r="AQ27" s="274" t="s">
        <v>452</v>
      </c>
    </row>
    <row r="28" spans="1:43" ht="30" customHeight="1">
      <c r="A28" s="1255" t="s">
        <v>1189</v>
      </c>
      <c r="B28" s="3290"/>
      <c r="C28" s="3291"/>
      <c r="D28" s="3076"/>
      <c r="E28" s="107" t="s">
        <v>1075</v>
      </c>
      <c r="F28" s="1279">
        <v>6.5</v>
      </c>
      <c r="G28" s="1279">
        <f>R.HN!C19</f>
        <v>0</v>
      </c>
      <c r="H28" s="35">
        <f>IFERROR(H27/G28,0)</f>
        <v>0</v>
      </c>
      <c r="I28" s="35">
        <f>($F$44-H28)*4935/1000</f>
        <v>32.077500000000001</v>
      </c>
      <c r="J28" s="39"/>
      <c r="K28" s="40">
        <f>IF(I28&lt;0,0,I28)</f>
        <v>32.077500000000001</v>
      </c>
      <c r="L28" s="219" t="s">
        <v>9</v>
      </c>
      <c r="M28" s="1279">
        <f>R.HN!D19</f>
        <v>0</v>
      </c>
      <c r="N28" s="35">
        <f>IFERROR(N27/M28,0)</f>
        <v>0</v>
      </c>
      <c r="O28" s="35">
        <f>($F$44-N28)*4935/1000</f>
        <v>32.077500000000001</v>
      </c>
      <c r="P28" s="39"/>
      <c r="Q28" s="40">
        <f>IF(O28&lt;0,0,O28)</f>
        <v>32.077500000000001</v>
      </c>
      <c r="R28" s="219" t="s">
        <v>9</v>
      </c>
      <c r="S28" s="1279">
        <f>R.HN!E19</f>
        <v>0</v>
      </c>
      <c r="T28" s="35">
        <f>IFERROR(T27/S28,0)</f>
        <v>0</v>
      </c>
      <c r="U28" s="35">
        <f>($F$44-T28)*4935/1000</f>
        <v>32.077500000000001</v>
      </c>
      <c r="V28" s="39"/>
      <c r="W28" s="40">
        <f>IF(U28&lt;0,0,U28)</f>
        <v>32.077500000000001</v>
      </c>
      <c r="X28" s="219" t="s">
        <v>9</v>
      </c>
      <c r="Y28" s="1279">
        <f>R.HN!F19</f>
        <v>0</v>
      </c>
      <c r="Z28" s="35">
        <f>IFERROR(Z27/Y28,0)</f>
        <v>0</v>
      </c>
      <c r="AA28" s="35">
        <f>($F$44-Z28)*4935/1000</f>
        <v>32.077500000000001</v>
      </c>
      <c r="AB28" s="39"/>
      <c r="AC28" s="40">
        <f>IF(AA28&lt;0,0,AA28)</f>
        <v>32.077500000000001</v>
      </c>
      <c r="AD28" s="219" t="s">
        <v>9</v>
      </c>
      <c r="AE28" s="1279">
        <f>R.HN!G19</f>
        <v>0</v>
      </c>
      <c r="AF28" s="35">
        <f>IFERROR(AF27/AE28,0)</f>
        <v>0</v>
      </c>
      <c r="AG28" s="35">
        <f>($F$44-AF28)*4935/1000</f>
        <v>32.077500000000001</v>
      </c>
      <c r="AH28" s="39"/>
      <c r="AI28" s="40">
        <f>IF(AG28&lt;0,0,AG28)</f>
        <v>32.077500000000001</v>
      </c>
      <c r="AJ28" s="219" t="s">
        <v>9</v>
      </c>
      <c r="AK28" s="1279">
        <f>R.HN!H19</f>
        <v>0</v>
      </c>
      <c r="AL28" s="35">
        <f>IFERROR(AL27/AK28,0)</f>
        <v>0</v>
      </c>
      <c r="AM28" s="35">
        <f>($F$44-AL28)*4935/1000</f>
        <v>32.077500000000001</v>
      </c>
      <c r="AN28" s="39"/>
      <c r="AO28" s="40">
        <f>IF(AM28&lt;0,0,AM28)</f>
        <v>32.077500000000001</v>
      </c>
      <c r="AP28" s="41" t="s">
        <v>9</v>
      </c>
      <c r="AQ28" s="274" t="s">
        <v>452</v>
      </c>
    </row>
    <row r="29" spans="1:43" ht="30" customHeight="1">
      <c r="A29" s="1255" t="s">
        <v>1190</v>
      </c>
      <c r="B29" s="3292"/>
      <c r="C29" s="3293"/>
      <c r="D29" s="3076"/>
      <c r="E29" s="107" t="s">
        <v>1076</v>
      </c>
      <c r="F29" s="1289">
        <v>0.4</v>
      </c>
      <c r="G29" s="1279">
        <f>R.HN!C20</f>
        <v>0</v>
      </c>
      <c r="H29" s="1282">
        <f>G29</f>
        <v>0</v>
      </c>
      <c r="I29" s="35"/>
      <c r="J29" s="39"/>
      <c r="K29" s="42"/>
      <c r="L29" s="219" t="s">
        <v>9</v>
      </c>
      <c r="M29" s="1279">
        <f>R.HN!D20</f>
        <v>0</v>
      </c>
      <c r="N29" s="1282">
        <f>M29</f>
        <v>0</v>
      </c>
      <c r="O29" s="35"/>
      <c r="P29" s="39"/>
      <c r="Q29" s="42"/>
      <c r="R29" s="219" t="s">
        <v>9</v>
      </c>
      <c r="S29" s="1279">
        <f>R.HN!E20</f>
        <v>0</v>
      </c>
      <c r="T29" s="1282">
        <f>S29</f>
        <v>0</v>
      </c>
      <c r="U29" s="35"/>
      <c r="V29" s="39"/>
      <c r="W29" s="42"/>
      <c r="X29" s="219" t="s">
        <v>9</v>
      </c>
      <c r="Y29" s="1279">
        <f>R.HN!F20</f>
        <v>0</v>
      </c>
      <c r="Z29" s="1282">
        <f>Y29</f>
        <v>0</v>
      </c>
      <c r="AA29" s="35"/>
      <c r="AB29" s="39"/>
      <c r="AC29" s="42"/>
      <c r="AD29" s="219" t="s">
        <v>9</v>
      </c>
      <c r="AE29" s="1279">
        <f>R.HN!G20</f>
        <v>0</v>
      </c>
      <c r="AF29" s="1282">
        <f>AE29</f>
        <v>0</v>
      </c>
      <c r="AG29" s="35"/>
      <c r="AH29" s="39"/>
      <c r="AI29" s="42"/>
      <c r="AJ29" s="219" t="s">
        <v>9</v>
      </c>
      <c r="AK29" s="1279">
        <f>R.HN!H20</f>
        <v>0</v>
      </c>
      <c r="AL29" s="1282">
        <f>AK29</f>
        <v>0</v>
      </c>
      <c r="AM29" s="35"/>
      <c r="AN29" s="39"/>
      <c r="AO29" s="42" t="s">
        <v>435</v>
      </c>
      <c r="AP29" s="41" t="s">
        <v>9</v>
      </c>
      <c r="AQ29" s="274" t="s">
        <v>452</v>
      </c>
    </row>
    <row r="30" spans="1:43" ht="30" customHeight="1">
      <c r="A30" s="1255" t="s">
        <v>1191</v>
      </c>
      <c r="B30" s="3288" t="s">
        <v>441</v>
      </c>
      <c r="C30" s="3289"/>
      <c r="D30" s="47" t="s">
        <v>432</v>
      </c>
      <c r="E30" s="107" t="s">
        <v>442</v>
      </c>
      <c r="F30" s="1281">
        <v>1</v>
      </c>
      <c r="G30" s="1279">
        <f>R.HN!C21</f>
        <v>0</v>
      </c>
      <c r="H30" s="35">
        <f>G30</f>
        <v>0</v>
      </c>
      <c r="I30" s="35">
        <f>($F$30-H30)*1234/1000</f>
        <v>1.234</v>
      </c>
      <c r="J30" s="39" t="s">
        <v>8</v>
      </c>
      <c r="K30" s="42">
        <f>IF(I30&lt;0,0,I30)</f>
        <v>1.234</v>
      </c>
      <c r="L30" s="219" t="s">
        <v>9</v>
      </c>
      <c r="M30" s="1279">
        <f>R.HN!D21</f>
        <v>0</v>
      </c>
      <c r="N30" s="35">
        <f>M30</f>
        <v>0</v>
      </c>
      <c r="O30" s="35">
        <f>($F$30-N30)*1234/1000</f>
        <v>1.234</v>
      </c>
      <c r="P30" s="39" t="s">
        <v>8</v>
      </c>
      <c r="Q30" s="42">
        <f>IF(O30&lt;0,0,O30)</f>
        <v>1.234</v>
      </c>
      <c r="R30" s="219" t="s">
        <v>9</v>
      </c>
      <c r="S30" s="1279">
        <f>R.HN!E21</f>
        <v>0</v>
      </c>
      <c r="T30" s="35">
        <f>S30</f>
        <v>0</v>
      </c>
      <c r="U30" s="35">
        <f>($F$30-T30)*1234/1000</f>
        <v>1.234</v>
      </c>
      <c r="V30" s="39" t="s">
        <v>8</v>
      </c>
      <c r="W30" s="42">
        <f>IF(U30&lt;0,0,U30)</f>
        <v>1.234</v>
      </c>
      <c r="X30" s="219" t="s">
        <v>9</v>
      </c>
      <c r="Y30" s="1279">
        <f>R.HN!F21</f>
        <v>0</v>
      </c>
      <c r="Z30" s="35">
        <f>Y30</f>
        <v>0</v>
      </c>
      <c r="AA30" s="35">
        <f>($F$30-Z30)*1234/1000</f>
        <v>1.234</v>
      </c>
      <c r="AB30" s="39" t="s">
        <v>8</v>
      </c>
      <c r="AC30" s="42">
        <f>IF(AA30&lt;0,0,AA30)</f>
        <v>1.234</v>
      </c>
      <c r="AD30" s="219" t="s">
        <v>9</v>
      </c>
      <c r="AE30" s="1279">
        <f>R.HN!G21</f>
        <v>0</v>
      </c>
      <c r="AF30" s="35">
        <f>AE30</f>
        <v>0</v>
      </c>
      <c r="AG30" s="35">
        <f>($F$30-AF30)*1234/1000</f>
        <v>1.234</v>
      </c>
      <c r="AH30" s="39" t="s">
        <v>8</v>
      </c>
      <c r="AI30" s="42">
        <f>IF(AG30&lt;0,0,AG30)</f>
        <v>1.234</v>
      </c>
      <c r="AJ30" s="219" t="s">
        <v>9</v>
      </c>
      <c r="AK30" s="1279">
        <f>R.HN!H21</f>
        <v>0</v>
      </c>
      <c r="AL30" s="35">
        <f>AK30</f>
        <v>0</v>
      </c>
      <c r="AM30" s="35">
        <f>($F$30-AL30)*1234/1000</f>
        <v>1.234</v>
      </c>
      <c r="AN30" s="39" t="s">
        <v>8</v>
      </c>
      <c r="AO30" s="42">
        <f>IF(AM30&lt;0,0,AM30)</f>
        <v>1.234</v>
      </c>
      <c r="AP30" s="41" t="s">
        <v>9</v>
      </c>
      <c r="AQ30" s="274" t="s">
        <v>452</v>
      </c>
    </row>
    <row r="31" spans="1:43" ht="30" customHeight="1">
      <c r="A31" s="1255" t="s">
        <v>1192</v>
      </c>
      <c r="B31" s="3299"/>
      <c r="C31" s="3300"/>
      <c r="D31" s="47" t="s">
        <v>5</v>
      </c>
      <c r="E31" s="107" t="s">
        <v>1193</v>
      </c>
      <c r="F31" s="1283">
        <v>9.5</v>
      </c>
      <c r="G31" s="1279">
        <f>R.HN!C22</f>
        <v>0</v>
      </c>
      <c r="H31" s="35">
        <f>G31</f>
        <v>0</v>
      </c>
      <c r="I31" s="35"/>
      <c r="J31" s="39"/>
      <c r="K31" s="40"/>
      <c r="L31" s="219"/>
      <c r="M31" s="1279">
        <f>R.HN!D22</f>
        <v>0</v>
      </c>
      <c r="N31" s="35">
        <f>M31</f>
        <v>0</v>
      </c>
      <c r="O31" s="35"/>
      <c r="P31" s="39"/>
      <c r="Q31" s="40"/>
      <c r="R31" s="219"/>
      <c r="S31" s="1279">
        <f>R.HN!E22</f>
        <v>0</v>
      </c>
      <c r="T31" s="35">
        <f>S31</f>
        <v>0</v>
      </c>
      <c r="U31" s="35"/>
      <c r="V31" s="39"/>
      <c r="W31" s="40"/>
      <c r="X31" s="219"/>
      <c r="Y31" s="1279">
        <f>R.HN!F22</f>
        <v>0</v>
      </c>
      <c r="Z31" s="35">
        <f>Y31</f>
        <v>0</v>
      </c>
      <c r="AA31" s="35"/>
      <c r="AB31" s="39"/>
      <c r="AC31" s="40"/>
      <c r="AD31" s="219"/>
      <c r="AE31" s="1279">
        <f>R.HN!G22</f>
        <v>0</v>
      </c>
      <c r="AF31" s="35">
        <f>AE31</f>
        <v>0</v>
      </c>
      <c r="AG31" s="35"/>
      <c r="AH31" s="39"/>
      <c r="AI31" s="40"/>
      <c r="AJ31" s="219"/>
      <c r="AK31" s="1279">
        <f>R.HN!H22</f>
        <v>0</v>
      </c>
      <c r="AL31" s="35">
        <f>AK31</f>
        <v>0</v>
      </c>
      <c r="AM31" s="35"/>
      <c r="AN31" s="39"/>
      <c r="AO31" s="40"/>
      <c r="AP31" s="41"/>
      <c r="AQ31" s="274" t="s">
        <v>452</v>
      </c>
    </row>
    <row r="32" spans="1:43" ht="44.25" customHeight="1">
      <c r="A32" s="295" t="s">
        <v>74</v>
      </c>
      <c r="B32" s="296"/>
      <c r="C32" s="296"/>
      <c r="D32" s="296"/>
      <c r="E32" s="293"/>
      <c r="F32" s="296"/>
      <c r="G32" s="296"/>
      <c r="H32" s="296"/>
      <c r="I32" s="296"/>
      <c r="J32" s="296"/>
      <c r="K32" s="296"/>
      <c r="L32" s="296"/>
      <c r="M32" s="296"/>
      <c r="N32" s="297"/>
      <c r="O32" s="296"/>
      <c r="P32" s="296"/>
      <c r="Q32" s="296"/>
      <c r="R32" s="297"/>
      <c r="S32" s="296"/>
      <c r="T32" s="297"/>
      <c r="U32" s="296"/>
      <c r="V32" s="296"/>
      <c r="W32" s="296"/>
      <c r="X32" s="296"/>
      <c r="Y32" s="296"/>
      <c r="Z32" s="296"/>
      <c r="AA32" s="296"/>
      <c r="AB32" s="296"/>
      <c r="AC32" s="296"/>
      <c r="AD32" s="296"/>
      <c r="AE32" s="297"/>
      <c r="AF32" s="297"/>
      <c r="AG32" s="297"/>
      <c r="AH32" s="297"/>
      <c r="AI32" s="297"/>
      <c r="AJ32" s="297"/>
      <c r="AK32" s="297"/>
      <c r="AL32" s="297"/>
      <c r="AM32" s="297"/>
      <c r="AN32" s="297"/>
      <c r="AO32" s="297"/>
      <c r="AP32" s="1036"/>
      <c r="AQ32" s="274" t="s">
        <v>452</v>
      </c>
    </row>
    <row r="33" spans="1:43" ht="33.75" customHeight="1">
      <c r="A33" s="1073" t="s">
        <v>239</v>
      </c>
      <c r="B33" s="3112" t="s">
        <v>62</v>
      </c>
      <c r="C33" s="3114"/>
      <c r="D33" s="288" t="s">
        <v>64</v>
      </c>
      <c r="E33" s="288" t="s">
        <v>65</v>
      </c>
      <c r="F33" s="1284"/>
      <c r="G33" s="1284"/>
      <c r="H33" s="290" t="s">
        <v>46</v>
      </c>
      <c r="I33" s="291"/>
      <c r="J33" s="291"/>
      <c r="K33" s="290" t="s">
        <v>63</v>
      </c>
      <c r="L33" s="304"/>
      <c r="M33" s="288"/>
      <c r="N33" s="290" t="s">
        <v>46</v>
      </c>
      <c r="O33" s="291"/>
      <c r="P33" s="291"/>
      <c r="Q33" s="290" t="s">
        <v>63</v>
      </c>
      <c r="R33" s="304"/>
      <c r="S33" s="95"/>
      <c r="T33" s="290" t="s">
        <v>46</v>
      </c>
      <c r="U33" s="291"/>
      <c r="V33" s="291"/>
      <c r="W33" s="290" t="s">
        <v>63</v>
      </c>
      <c r="X33" s="304"/>
      <c r="Y33" s="96"/>
      <c r="Z33" s="290" t="s">
        <v>46</v>
      </c>
      <c r="AA33" s="291"/>
      <c r="AB33" s="291"/>
      <c r="AC33" s="290" t="s">
        <v>63</v>
      </c>
      <c r="AD33" s="304"/>
      <c r="AE33" s="96"/>
      <c r="AF33" s="290" t="s">
        <v>46</v>
      </c>
      <c r="AG33" s="291"/>
      <c r="AH33" s="291"/>
      <c r="AI33" s="290" t="s">
        <v>63</v>
      </c>
      <c r="AJ33" s="304"/>
      <c r="AK33" s="96"/>
      <c r="AL33" s="290" t="s">
        <v>46</v>
      </c>
      <c r="AM33" s="291"/>
      <c r="AN33" s="291"/>
      <c r="AO33" s="290" t="s">
        <v>63</v>
      </c>
      <c r="AP33" s="304"/>
      <c r="AQ33" s="274" t="s">
        <v>452</v>
      </c>
    </row>
    <row r="34" spans="1:43" ht="30" customHeight="1">
      <c r="A34" s="1255" t="s">
        <v>1194</v>
      </c>
      <c r="B34" s="3112" t="s">
        <v>455</v>
      </c>
      <c r="C34" s="3114"/>
      <c r="D34" s="21" t="s">
        <v>106</v>
      </c>
      <c r="E34" s="107" t="s">
        <v>1195</v>
      </c>
      <c r="F34" s="100"/>
      <c r="G34" s="100"/>
      <c r="H34" s="2831"/>
      <c r="I34" s="2832"/>
      <c r="J34" s="2832"/>
      <c r="K34" s="2831"/>
      <c r="L34" s="2832"/>
      <c r="M34" s="96"/>
      <c r="N34" s="2831"/>
      <c r="O34" s="2832"/>
      <c r="P34" s="2832"/>
      <c r="Q34" s="2831"/>
      <c r="R34" s="2832"/>
      <c r="S34" s="96"/>
      <c r="T34" s="2831"/>
      <c r="U34" s="2832"/>
      <c r="V34" s="2832"/>
      <c r="W34" s="2831"/>
      <c r="X34" s="2832"/>
      <c r="Y34" s="96"/>
      <c r="Z34" s="2831"/>
      <c r="AA34" s="2832"/>
      <c r="AB34" s="2832"/>
      <c r="AC34" s="2831"/>
      <c r="AD34" s="2832"/>
      <c r="AE34" s="96"/>
      <c r="AF34" s="2831"/>
      <c r="AG34" s="2832"/>
      <c r="AH34" s="2832"/>
      <c r="AI34" s="2831"/>
      <c r="AJ34" s="2832"/>
      <c r="AK34" s="96"/>
      <c r="AL34" s="2831"/>
      <c r="AM34" s="2832"/>
      <c r="AN34" s="2832"/>
      <c r="AO34" s="2926"/>
      <c r="AP34" s="2926"/>
      <c r="AQ34" s="274" t="s">
        <v>452</v>
      </c>
    </row>
    <row r="35" spans="1:43" ht="30" customHeight="1">
      <c r="A35" s="1255" t="s">
        <v>1196</v>
      </c>
      <c r="B35" s="3112" t="s">
        <v>457</v>
      </c>
      <c r="C35" s="3114"/>
      <c r="D35" s="21" t="s">
        <v>106</v>
      </c>
      <c r="E35" s="107" t="s">
        <v>1186</v>
      </c>
      <c r="F35" s="100"/>
      <c r="G35" s="100"/>
      <c r="H35" s="2831"/>
      <c r="I35" s="2832"/>
      <c r="J35" s="2832"/>
      <c r="K35" s="2831"/>
      <c r="L35" s="2832"/>
      <c r="M35" s="96"/>
      <c r="N35" s="2831"/>
      <c r="O35" s="2832"/>
      <c r="P35" s="2832"/>
      <c r="Q35" s="2831"/>
      <c r="R35" s="2832"/>
      <c r="S35" s="96"/>
      <c r="T35" s="2831"/>
      <c r="U35" s="2832"/>
      <c r="V35" s="2832"/>
      <c r="W35" s="2831"/>
      <c r="X35" s="2832"/>
      <c r="Y35" s="96"/>
      <c r="Z35" s="2831"/>
      <c r="AA35" s="2832"/>
      <c r="AB35" s="2832"/>
      <c r="AC35" s="2831"/>
      <c r="AD35" s="2832"/>
      <c r="AE35" s="96"/>
      <c r="AF35" s="2831"/>
      <c r="AG35" s="2832"/>
      <c r="AH35" s="2832"/>
      <c r="AI35" s="2831"/>
      <c r="AJ35" s="2832"/>
      <c r="AK35" s="96"/>
      <c r="AL35" s="2831"/>
      <c r="AM35" s="2832"/>
      <c r="AN35" s="2832"/>
      <c r="AO35" s="2926"/>
      <c r="AP35" s="2926"/>
      <c r="AQ35" s="274" t="s">
        <v>452</v>
      </c>
    </row>
    <row r="36" spans="1:43" ht="30" customHeight="1">
      <c r="A36" s="1255" t="s">
        <v>1197</v>
      </c>
      <c r="B36" s="3112" t="s">
        <v>441</v>
      </c>
      <c r="C36" s="3114"/>
      <c r="D36" s="21" t="s">
        <v>106</v>
      </c>
      <c r="E36" s="107" t="s">
        <v>1187</v>
      </c>
      <c r="F36" s="1290"/>
      <c r="G36" s="1290"/>
      <c r="H36" s="2831"/>
      <c r="I36" s="2832"/>
      <c r="J36" s="2832"/>
      <c r="K36" s="2831"/>
      <c r="L36" s="2832"/>
      <c r="M36" s="96"/>
      <c r="N36" s="2831"/>
      <c r="O36" s="2832"/>
      <c r="P36" s="2832"/>
      <c r="Q36" s="2831"/>
      <c r="R36" s="2832"/>
      <c r="S36" s="96"/>
      <c r="T36" s="2831"/>
      <c r="U36" s="2832"/>
      <c r="V36" s="2832"/>
      <c r="W36" s="2831"/>
      <c r="X36" s="2832"/>
      <c r="Y36" s="96"/>
      <c r="Z36" s="2831"/>
      <c r="AA36" s="2832"/>
      <c r="AB36" s="2832"/>
      <c r="AC36" s="2831"/>
      <c r="AD36" s="2832"/>
      <c r="AE36" s="96"/>
      <c r="AF36" s="2831"/>
      <c r="AG36" s="2832"/>
      <c r="AH36" s="2832"/>
      <c r="AI36" s="2831"/>
      <c r="AJ36" s="2832"/>
      <c r="AK36" s="96"/>
      <c r="AL36" s="2831"/>
      <c r="AM36" s="2832"/>
      <c r="AN36" s="2832"/>
      <c r="AO36" s="2926"/>
      <c r="AP36" s="2926"/>
      <c r="AQ36" s="274" t="s">
        <v>452</v>
      </c>
    </row>
    <row r="37" spans="1:43" ht="25.5" customHeight="1">
      <c r="A37" s="1291"/>
      <c r="B37" s="1291"/>
      <c r="C37" s="1291"/>
      <c r="D37" s="1291"/>
      <c r="E37" s="1291"/>
      <c r="F37" s="1291"/>
      <c r="G37" s="1291"/>
      <c r="H37" s="1291"/>
      <c r="I37" s="1291"/>
      <c r="J37" s="1291"/>
      <c r="K37" s="1291"/>
      <c r="L37" s="1291"/>
      <c r="M37" s="1291"/>
      <c r="N37" s="1291"/>
      <c r="O37" s="1291"/>
      <c r="P37" s="1291"/>
      <c r="Q37" s="1291"/>
      <c r="R37" s="1291"/>
      <c r="S37" s="1291"/>
      <c r="T37" s="1291"/>
      <c r="U37" s="1291"/>
      <c r="V37" s="1291"/>
      <c r="W37" s="1291"/>
      <c r="X37" s="1291"/>
      <c r="Y37" s="1291"/>
      <c r="Z37" s="1291"/>
      <c r="AA37" s="1291"/>
      <c r="AB37" s="1291"/>
      <c r="AC37" s="1291"/>
      <c r="AD37" s="1291"/>
      <c r="AP37" s="274"/>
    </row>
    <row r="38" spans="1:43" ht="41.25" customHeight="1">
      <c r="A38" s="2102" t="s">
        <v>1198</v>
      </c>
      <c r="B38" s="2103"/>
      <c r="C38" s="2104"/>
      <c r="D38" s="2104"/>
      <c r="E38" s="2105"/>
      <c r="F38" s="2106" t="s">
        <v>73</v>
      </c>
      <c r="G38" s="2040"/>
      <c r="H38" s="2107" t="s">
        <v>73</v>
      </c>
      <c r="I38" s="2107"/>
      <c r="J38" s="2107"/>
      <c r="K38" s="2107"/>
      <c r="L38" s="2107"/>
      <c r="M38" s="2107"/>
      <c r="N38" s="2107"/>
      <c r="O38" s="2107"/>
      <c r="P38" s="2107"/>
      <c r="Q38" s="2107"/>
      <c r="R38" s="2107"/>
      <c r="S38" s="2107"/>
      <c r="T38" s="2107"/>
      <c r="U38" s="2107"/>
      <c r="V38" s="2107"/>
      <c r="W38" s="2107"/>
      <c r="X38" s="2107"/>
      <c r="Y38" s="2107"/>
      <c r="Z38" s="2107"/>
      <c r="AA38" s="2107"/>
      <c r="AB38" s="2107"/>
      <c r="AC38" s="2107"/>
      <c r="AD38" s="2107"/>
      <c r="AE38" s="2107"/>
      <c r="AF38" s="2107"/>
      <c r="AG38" s="2107"/>
      <c r="AH38" s="2107"/>
      <c r="AI38" s="2107"/>
      <c r="AJ38" s="2107"/>
      <c r="AK38" s="2107"/>
      <c r="AL38" s="2107"/>
      <c r="AM38" s="2107"/>
      <c r="AN38" s="2107"/>
      <c r="AO38" s="2107"/>
      <c r="AP38" s="2107"/>
    </row>
    <row r="39" spans="1:43" ht="31.5" customHeight="1">
      <c r="A39" s="437"/>
      <c r="B39" s="3302" t="s">
        <v>77</v>
      </c>
      <c r="C39" s="3303"/>
      <c r="D39" s="3306" t="s">
        <v>125</v>
      </c>
      <c r="E39" s="3308" t="s">
        <v>65</v>
      </c>
      <c r="F39" s="1287"/>
      <c r="G39" s="88"/>
      <c r="H39" s="3301" t="s">
        <v>473</v>
      </c>
      <c r="I39" s="3301"/>
      <c r="J39" s="3301"/>
      <c r="K39" s="3301"/>
      <c r="L39" s="3301"/>
      <c r="M39" s="1276"/>
      <c r="N39" s="3294" t="s">
        <v>1484</v>
      </c>
      <c r="O39" s="3294"/>
      <c r="P39" s="3294"/>
      <c r="Q39" s="3294"/>
      <c r="R39" s="3294"/>
      <c r="S39" s="1276"/>
      <c r="T39" s="3301" t="s">
        <v>1485</v>
      </c>
      <c r="U39" s="3301"/>
      <c r="V39" s="3301"/>
      <c r="W39" s="3301"/>
      <c r="X39" s="3301"/>
      <c r="Y39" s="1276"/>
      <c r="Z39" s="3301" t="s">
        <v>1486</v>
      </c>
      <c r="AA39" s="3301"/>
      <c r="AB39" s="3301"/>
      <c r="AC39" s="3301"/>
      <c r="AD39" s="3301"/>
      <c r="AE39" s="1276"/>
      <c r="AF39" s="3301" t="s">
        <v>1487</v>
      </c>
      <c r="AG39" s="3301"/>
      <c r="AH39" s="3301"/>
      <c r="AI39" s="3301"/>
      <c r="AJ39" s="3301"/>
      <c r="AK39" s="1276"/>
      <c r="AL39" s="3301" t="s">
        <v>1488</v>
      </c>
      <c r="AM39" s="3301"/>
      <c r="AN39" s="3301"/>
      <c r="AO39" s="3301"/>
      <c r="AP39" s="3301"/>
    </row>
    <row r="40" spans="1:43" ht="31.5" customHeight="1">
      <c r="A40" s="1254" t="s">
        <v>239</v>
      </c>
      <c r="B40" s="3304"/>
      <c r="C40" s="3305"/>
      <c r="D40" s="3307"/>
      <c r="E40" s="3309"/>
      <c r="F40" s="1277" t="s">
        <v>423</v>
      </c>
      <c r="G40" s="20"/>
      <c r="H40" s="1252" t="s">
        <v>130</v>
      </c>
      <c r="I40" s="34" t="s">
        <v>1</v>
      </c>
      <c r="J40" s="293" t="s">
        <v>1</v>
      </c>
      <c r="K40" s="293"/>
      <c r="L40" s="294"/>
      <c r="M40" s="89"/>
      <c r="N40" s="1252" t="s">
        <v>130</v>
      </c>
      <c r="O40" s="34" t="s">
        <v>1</v>
      </c>
      <c r="P40" s="293" t="s">
        <v>1</v>
      </c>
      <c r="Q40" s="293"/>
      <c r="R40" s="294"/>
      <c r="S40" s="20"/>
      <c r="T40" s="1252" t="s">
        <v>130</v>
      </c>
      <c r="U40" s="34" t="s">
        <v>1</v>
      </c>
      <c r="V40" s="293" t="s">
        <v>1</v>
      </c>
      <c r="W40" s="293"/>
      <c r="X40" s="294"/>
      <c r="Y40" s="89"/>
      <c r="Z40" s="1252" t="s">
        <v>130</v>
      </c>
      <c r="AA40" s="34" t="s">
        <v>1</v>
      </c>
      <c r="AB40" s="293" t="s">
        <v>1</v>
      </c>
      <c r="AC40" s="293"/>
      <c r="AD40" s="294"/>
      <c r="AE40" s="89"/>
      <c r="AF40" s="1252" t="s">
        <v>130</v>
      </c>
      <c r="AG40" s="34" t="s">
        <v>1</v>
      </c>
      <c r="AH40" s="293" t="s">
        <v>1</v>
      </c>
      <c r="AI40" s="293"/>
      <c r="AJ40" s="294"/>
      <c r="AK40" s="89"/>
      <c r="AL40" s="1252" t="s">
        <v>130</v>
      </c>
      <c r="AM40" s="34" t="s">
        <v>1</v>
      </c>
      <c r="AN40" s="293" t="s">
        <v>1</v>
      </c>
      <c r="AO40" s="293"/>
      <c r="AP40" s="294"/>
    </row>
    <row r="41" spans="1:43" ht="31.5" customHeight="1">
      <c r="A41" s="1255" t="s">
        <v>1199</v>
      </c>
      <c r="B41" s="3150" t="s">
        <v>450</v>
      </c>
      <c r="C41" s="3152"/>
      <c r="D41" s="285" t="s">
        <v>432</v>
      </c>
      <c r="E41" s="107" t="s">
        <v>451</v>
      </c>
      <c r="F41" s="1280">
        <v>40</v>
      </c>
      <c r="G41" s="1279">
        <f>R.HN!C25</f>
        <v>4.8</v>
      </c>
      <c r="H41" s="35">
        <f>G41*10</f>
        <v>48</v>
      </c>
      <c r="I41" s="35">
        <f>($F$25-H41)*2330/1000</f>
        <v>-18.64</v>
      </c>
      <c r="J41" s="39" t="s">
        <v>8</v>
      </c>
      <c r="K41" s="42">
        <f>IF(I41&lt;0,0,I41)</f>
        <v>0</v>
      </c>
      <c r="L41" s="219" t="s">
        <v>9</v>
      </c>
      <c r="M41" s="1279">
        <f>R.HN!D25</f>
        <v>4.8</v>
      </c>
      <c r="N41" s="35">
        <f>M41*10</f>
        <v>48</v>
      </c>
      <c r="O41" s="35">
        <f>($F$25-N41)*2330/1000</f>
        <v>-18.64</v>
      </c>
      <c r="P41" s="39" t="s">
        <v>8</v>
      </c>
      <c r="Q41" s="42">
        <f>IF(O41&lt;0,0,O41)</f>
        <v>0</v>
      </c>
      <c r="R41" s="219" t="s">
        <v>9</v>
      </c>
      <c r="S41" s="1279">
        <f>R.HN!E25</f>
        <v>4.5999999999999996</v>
      </c>
      <c r="T41" s="35">
        <f>S41*10</f>
        <v>46</v>
      </c>
      <c r="U41" s="35">
        <f>($F$25-T41)*2330/1000</f>
        <v>-13.98</v>
      </c>
      <c r="V41" s="39" t="s">
        <v>8</v>
      </c>
      <c r="W41" s="42">
        <f>IF(U41&lt;0,0,U41)</f>
        <v>0</v>
      </c>
      <c r="X41" s="219" t="s">
        <v>9</v>
      </c>
      <c r="Y41" s="1279">
        <f>R.HN!F25</f>
        <v>4.5</v>
      </c>
      <c r="Z41" s="35">
        <f>Y41*10</f>
        <v>45</v>
      </c>
      <c r="AA41" s="35">
        <f>($F$25-Z41)*2330/1000</f>
        <v>-11.65</v>
      </c>
      <c r="AB41" s="39" t="s">
        <v>8</v>
      </c>
      <c r="AC41" s="42">
        <f>IF(AA41&lt;0,0,AA41)</f>
        <v>0</v>
      </c>
      <c r="AD41" s="219" t="s">
        <v>9</v>
      </c>
      <c r="AE41" s="1279">
        <f>R.HN!G25</f>
        <v>4</v>
      </c>
      <c r="AF41" s="35">
        <f>AE41*10</f>
        <v>40</v>
      </c>
      <c r="AG41" s="35">
        <f>($F$25-AF41)*2330/1000</f>
        <v>0</v>
      </c>
      <c r="AH41" s="39" t="s">
        <v>8</v>
      </c>
      <c r="AI41" s="42">
        <f>IF(AG41&lt;0,0,AG41)</f>
        <v>0</v>
      </c>
      <c r="AJ41" s="219" t="s">
        <v>9</v>
      </c>
      <c r="AK41" s="1279">
        <f>R.HN!H25</f>
        <v>3.7</v>
      </c>
      <c r="AL41" s="35">
        <v>40</v>
      </c>
      <c r="AM41" s="35">
        <f>($F$25-AL41)*2330/1000</f>
        <v>0</v>
      </c>
      <c r="AN41" s="39" t="s">
        <v>8</v>
      </c>
      <c r="AO41" s="42">
        <f>IF(AM41&lt;0,0,AM41)</f>
        <v>0</v>
      </c>
      <c r="AP41" s="41" t="s">
        <v>9</v>
      </c>
      <c r="AQ41" s="274" t="s">
        <v>459</v>
      </c>
    </row>
    <row r="42" spans="1:43" ht="31.5" customHeight="1">
      <c r="A42" s="1255" t="s">
        <v>1200</v>
      </c>
      <c r="B42" s="3150" t="s">
        <v>838</v>
      </c>
      <c r="C42" s="3152"/>
      <c r="D42" s="1073" t="s">
        <v>3</v>
      </c>
      <c r="E42" s="107" t="s">
        <v>427</v>
      </c>
      <c r="F42" s="1278">
        <v>12.5</v>
      </c>
      <c r="G42" s="1279">
        <f>R.HN!C26</f>
        <v>3</v>
      </c>
      <c r="H42" s="35">
        <f>(1*G42*36.5)/(1*10)</f>
        <v>10.95</v>
      </c>
      <c r="I42" s="35">
        <f>($F$26-H42)*2605/32</f>
        <v>126.17968750000006</v>
      </c>
      <c r="J42" s="39" t="s">
        <v>8</v>
      </c>
      <c r="K42" s="40">
        <f>IF(I42&lt;0,0,I42)</f>
        <v>126.17968750000006</v>
      </c>
      <c r="L42" s="219" t="s">
        <v>10</v>
      </c>
      <c r="M42" s="1279">
        <f>R.HN!D26</f>
        <v>3.1</v>
      </c>
      <c r="N42" s="35">
        <f>(1*M42*36.5)/(1*10)</f>
        <v>11.315000000000001</v>
      </c>
      <c r="O42" s="35">
        <f>($F$26-N42)*2605/32</f>
        <v>96.466406249999892</v>
      </c>
      <c r="P42" s="39" t="s">
        <v>8</v>
      </c>
      <c r="Q42" s="40">
        <f>IF(O42&lt;0,0,O42)</f>
        <v>96.466406249999892</v>
      </c>
      <c r="R42" s="219" t="s">
        <v>10</v>
      </c>
      <c r="S42" s="1279">
        <f>R.HN!E26</f>
        <v>2.8</v>
      </c>
      <c r="T42" s="35">
        <f>(1*S42*36.5)/(1*10)</f>
        <v>10.219999999999999</v>
      </c>
      <c r="U42" s="35">
        <f>($F$26-T42)*2605/32</f>
        <v>185.6062500000001</v>
      </c>
      <c r="V42" s="39" t="s">
        <v>8</v>
      </c>
      <c r="W42" s="40">
        <f>IF(U42&lt;0,0,U42)</f>
        <v>185.6062500000001</v>
      </c>
      <c r="X42" s="219" t="s">
        <v>10</v>
      </c>
      <c r="Y42" s="1279">
        <f>R.HN!F26</f>
        <v>2.9</v>
      </c>
      <c r="Z42" s="35">
        <f>(1*Y42*36.5)/(1*10)</f>
        <v>10.584999999999999</v>
      </c>
      <c r="AA42" s="35">
        <f>($F$26-Z42)*2605/32</f>
        <v>155.89296875000008</v>
      </c>
      <c r="AB42" s="39" t="s">
        <v>8</v>
      </c>
      <c r="AC42" s="40">
        <f>IF(AA42&lt;0,0,AA42)</f>
        <v>155.89296875000008</v>
      </c>
      <c r="AD42" s="219" t="s">
        <v>10</v>
      </c>
      <c r="AE42" s="1279">
        <f>R.HN!G26</f>
        <v>2.5</v>
      </c>
      <c r="AF42" s="35">
        <v>12.3</v>
      </c>
      <c r="AG42" s="35">
        <f>($F$26-AF42)*2605/32</f>
        <v>16.281249999999943</v>
      </c>
      <c r="AH42" s="39" t="s">
        <v>8</v>
      </c>
      <c r="AI42" s="40">
        <f>IF(AG42&lt;0,0,AG42)</f>
        <v>16.281249999999943</v>
      </c>
      <c r="AJ42" s="219" t="s">
        <v>10</v>
      </c>
      <c r="AK42" s="1279">
        <f>R.HN!H26</f>
        <v>2.9</v>
      </c>
      <c r="AL42" s="35">
        <v>13</v>
      </c>
      <c r="AM42" s="35">
        <f>($F$26-AL42)*2605/32</f>
        <v>-40.703125</v>
      </c>
      <c r="AN42" s="39" t="s">
        <v>8</v>
      </c>
      <c r="AO42" s="40">
        <f>IF(AM42&lt;0,0,AM42)</f>
        <v>0</v>
      </c>
      <c r="AP42" s="41" t="s">
        <v>10</v>
      </c>
      <c r="AQ42" s="274" t="s">
        <v>459</v>
      </c>
    </row>
    <row r="43" spans="1:43" ht="31.5" customHeight="1">
      <c r="A43" s="1255" t="s">
        <v>1201</v>
      </c>
      <c r="B43" s="3288" t="s">
        <v>431</v>
      </c>
      <c r="C43" s="3289"/>
      <c r="D43" s="3076" t="s">
        <v>432</v>
      </c>
      <c r="E43" s="107" t="s">
        <v>1074</v>
      </c>
      <c r="F43" s="1288">
        <v>50</v>
      </c>
      <c r="G43" s="1279">
        <f>R.HN!C27</f>
        <v>5.5</v>
      </c>
      <c r="H43" s="35">
        <f>G43*10</f>
        <v>55</v>
      </c>
      <c r="I43" s="35">
        <f>($F$43-H43)*4935/1000</f>
        <v>-24.675000000000001</v>
      </c>
      <c r="J43" s="39" t="s">
        <v>8</v>
      </c>
      <c r="K43" s="40">
        <f>IF(I43&lt;0,0,I43)</f>
        <v>0</v>
      </c>
      <c r="L43" s="219" t="s">
        <v>9</v>
      </c>
      <c r="M43" s="1279">
        <f>R.HN!D27</f>
        <v>4.9000000000000004</v>
      </c>
      <c r="N43" s="35">
        <f>M43*10</f>
        <v>49</v>
      </c>
      <c r="O43" s="35">
        <f>($F$43-N43)*4935/1000</f>
        <v>4.9349999999999996</v>
      </c>
      <c r="P43" s="39" t="s">
        <v>8</v>
      </c>
      <c r="Q43" s="40">
        <f>IF(O43&lt;0,0,O43)</f>
        <v>4.9349999999999996</v>
      </c>
      <c r="R43" s="219" t="s">
        <v>9</v>
      </c>
      <c r="S43" s="1279">
        <f>R.HN!E27</f>
        <v>5.0999999999999996</v>
      </c>
      <c r="T43" s="35">
        <f>S43*10</f>
        <v>51</v>
      </c>
      <c r="U43" s="35">
        <f>($F$43-T43)*4935/1000</f>
        <v>-4.9349999999999996</v>
      </c>
      <c r="V43" s="39" t="s">
        <v>8</v>
      </c>
      <c r="W43" s="40">
        <f>IF(U43&lt;0,0,U43)</f>
        <v>0</v>
      </c>
      <c r="X43" s="219" t="s">
        <v>9</v>
      </c>
      <c r="Y43" s="1279">
        <f>R.HN!F27</f>
        <v>5</v>
      </c>
      <c r="Z43" s="35">
        <f>Y43*10</f>
        <v>50</v>
      </c>
      <c r="AA43" s="35">
        <f>($F$43-Z43)*4935/1000</f>
        <v>0</v>
      </c>
      <c r="AB43" s="39" t="s">
        <v>8</v>
      </c>
      <c r="AC43" s="40">
        <f>IF(AA43&lt;0,0,AA43)</f>
        <v>0</v>
      </c>
      <c r="AD43" s="219" t="s">
        <v>9</v>
      </c>
      <c r="AE43" s="1279">
        <f>R.HN!G27</f>
        <v>4.5</v>
      </c>
      <c r="AF43" s="35">
        <f>AE43*10</f>
        <v>45</v>
      </c>
      <c r="AG43" s="35">
        <f>($F$43-AF43)*4935/1000</f>
        <v>24.675000000000001</v>
      </c>
      <c r="AH43" s="39" t="s">
        <v>8</v>
      </c>
      <c r="AI43" s="40">
        <f>IF(AG43&lt;0,0,AG43)</f>
        <v>24.675000000000001</v>
      </c>
      <c r="AJ43" s="219" t="s">
        <v>9</v>
      </c>
      <c r="AK43" s="1279">
        <f>R.HN!H27</f>
        <v>4.5</v>
      </c>
      <c r="AL43" s="35">
        <v>48</v>
      </c>
      <c r="AM43" s="35">
        <f>($F$43-AL43)*4935/1000</f>
        <v>9.8699999999999992</v>
      </c>
      <c r="AN43" s="39" t="s">
        <v>8</v>
      </c>
      <c r="AO43" s="40">
        <f>IF(AM43&lt;0,0,AM43)</f>
        <v>9.8699999999999992</v>
      </c>
      <c r="AP43" s="41" t="s">
        <v>9</v>
      </c>
      <c r="AQ43" s="274" t="s">
        <v>459</v>
      </c>
    </row>
    <row r="44" spans="1:43" ht="31.5" customHeight="1">
      <c r="A44" s="1255" t="s">
        <v>1202</v>
      </c>
      <c r="B44" s="3290"/>
      <c r="C44" s="3291"/>
      <c r="D44" s="3076"/>
      <c r="E44" s="107" t="s">
        <v>1075</v>
      </c>
      <c r="F44" s="1279">
        <v>6.5</v>
      </c>
      <c r="G44" s="1279">
        <f>R.HN!C28</f>
        <v>6.1</v>
      </c>
      <c r="H44" s="35">
        <v>7.5</v>
      </c>
      <c r="I44" s="35">
        <f>($F$44-H44)*4935/1000</f>
        <v>-4.9349999999999996</v>
      </c>
      <c r="J44" s="39"/>
      <c r="K44" s="40">
        <f>IF(I44&lt;0,0,I44)</f>
        <v>0</v>
      </c>
      <c r="L44" s="219" t="s">
        <v>9</v>
      </c>
      <c r="M44" s="1279">
        <f>R.HN!D28</f>
        <v>5</v>
      </c>
      <c r="N44" s="35">
        <v>7.1</v>
      </c>
      <c r="O44" s="35">
        <f>($F$44-N44)*4935/1000</f>
        <v>-2.9609999999999981</v>
      </c>
      <c r="P44" s="39"/>
      <c r="Q44" s="40">
        <f>IF(O44&lt;0,0,O44)</f>
        <v>0</v>
      </c>
      <c r="R44" s="219" t="s">
        <v>9</v>
      </c>
      <c r="S44" s="1279">
        <f>R.HN!E28</f>
        <v>5</v>
      </c>
      <c r="T44" s="35">
        <v>6.5</v>
      </c>
      <c r="U44" s="35">
        <f>($F$44-T44)*4935/1000</f>
        <v>0</v>
      </c>
      <c r="V44" s="39"/>
      <c r="W44" s="40">
        <f>IF(U44&lt;0,0,U44)</f>
        <v>0</v>
      </c>
      <c r="X44" s="219" t="s">
        <v>9</v>
      </c>
      <c r="Y44" s="1279">
        <f>R.HN!F28</f>
        <v>5.2</v>
      </c>
      <c r="Z44" s="35">
        <v>6.9</v>
      </c>
      <c r="AA44" s="35">
        <f>($F$44-Z44)*4935/1000</f>
        <v>-1.9740000000000018</v>
      </c>
      <c r="AB44" s="39"/>
      <c r="AC44" s="40">
        <f>IF(AA44&lt;0,0,AA44)</f>
        <v>0</v>
      </c>
      <c r="AD44" s="219" t="s">
        <v>9</v>
      </c>
      <c r="AE44" s="1279">
        <f>R.HN!G28</f>
        <v>5.2</v>
      </c>
      <c r="AF44" s="35">
        <v>7</v>
      </c>
      <c r="AG44" s="35">
        <f>($F$44-AF44)*4935/1000</f>
        <v>-2.4674999999999998</v>
      </c>
      <c r="AH44" s="39"/>
      <c r="AI44" s="40">
        <f>IF(AG44&lt;0,0,AG44)</f>
        <v>0</v>
      </c>
      <c r="AJ44" s="219" t="s">
        <v>9</v>
      </c>
      <c r="AK44" s="1279">
        <f>R.HN!H28</f>
        <v>5.3</v>
      </c>
      <c r="AL44" s="35">
        <v>7.2</v>
      </c>
      <c r="AM44" s="35">
        <f>($F$44-AL44)*4935/1000</f>
        <v>-3.4545000000000008</v>
      </c>
      <c r="AN44" s="39"/>
      <c r="AO44" s="40">
        <f>IF(AM44&lt;0,0,AM44)</f>
        <v>0</v>
      </c>
      <c r="AP44" s="41" t="s">
        <v>9</v>
      </c>
      <c r="AQ44" s="274" t="s">
        <v>459</v>
      </c>
    </row>
    <row r="45" spans="1:43" ht="31.5" customHeight="1">
      <c r="A45" s="1255" t="s">
        <v>1203</v>
      </c>
      <c r="B45" s="3292"/>
      <c r="C45" s="3293"/>
      <c r="D45" s="3076"/>
      <c r="E45" s="107" t="s">
        <v>1076</v>
      </c>
      <c r="F45" s="1289">
        <v>0.4</v>
      </c>
      <c r="G45" s="1279">
        <f>R.HN!C29</f>
        <v>0.4</v>
      </c>
      <c r="H45" s="1282">
        <f>G45</f>
        <v>0.4</v>
      </c>
      <c r="I45" s="35"/>
      <c r="J45" s="39"/>
      <c r="K45" s="42"/>
      <c r="L45" s="219" t="s">
        <v>9</v>
      </c>
      <c r="M45" s="1279">
        <f>R.HN!D29</f>
        <v>0.42</v>
      </c>
      <c r="N45" s="1282">
        <v>0.32</v>
      </c>
      <c r="O45" s="35"/>
      <c r="P45" s="39"/>
      <c r="Q45" s="42"/>
      <c r="R45" s="219" t="s">
        <v>9</v>
      </c>
      <c r="S45" s="1279">
        <f>R.HN!E29</f>
        <v>0.72</v>
      </c>
      <c r="T45" s="1282">
        <v>0.26</v>
      </c>
      <c r="U45" s="35"/>
      <c r="V45" s="39"/>
      <c r="W45" s="42"/>
      <c r="X45" s="219" t="s">
        <v>9</v>
      </c>
      <c r="Y45" s="1279">
        <f>R.HN!F29</f>
        <v>0.56000000000000005</v>
      </c>
      <c r="Z45" s="1282">
        <v>0.3</v>
      </c>
      <c r="AA45" s="35"/>
      <c r="AB45" s="39"/>
      <c r="AC45" s="42"/>
      <c r="AD45" s="219" t="s">
        <v>9</v>
      </c>
      <c r="AE45" s="1279">
        <f>R.HN!G29</f>
        <v>0.8</v>
      </c>
      <c r="AF45" s="1282">
        <v>0.32</v>
      </c>
      <c r="AG45" s="35"/>
      <c r="AH45" s="39"/>
      <c r="AI45" s="42"/>
      <c r="AJ45" s="219" t="s">
        <v>9</v>
      </c>
      <c r="AK45" s="1279">
        <f>R.HN!H29</f>
        <v>0.64</v>
      </c>
      <c r="AL45" s="1282">
        <v>0.36</v>
      </c>
      <c r="AM45" s="35"/>
      <c r="AN45" s="39"/>
      <c r="AO45" s="42"/>
      <c r="AP45" s="41" t="s">
        <v>9</v>
      </c>
      <c r="AQ45" s="274" t="s">
        <v>459</v>
      </c>
    </row>
    <row r="46" spans="1:43" ht="31.5" customHeight="1">
      <c r="A46" s="1255" t="s">
        <v>1204</v>
      </c>
      <c r="B46" s="3288" t="s">
        <v>441</v>
      </c>
      <c r="C46" s="3289"/>
      <c r="D46" s="47" t="s">
        <v>432</v>
      </c>
      <c r="E46" s="107" t="s">
        <v>442</v>
      </c>
      <c r="F46" s="1281">
        <v>1</v>
      </c>
      <c r="G46" s="1279">
        <f>R.HN!C33</f>
        <v>0.9</v>
      </c>
      <c r="H46" s="35">
        <f>G46</f>
        <v>0.9</v>
      </c>
      <c r="I46" s="35">
        <f>($F$30-H46)*1234/1000</f>
        <v>0.12339999999999998</v>
      </c>
      <c r="J46" s="39" t="s">
        <v>8</v>
      </c>
      <c r="K46" s="42">
        <f>IF(I46&lt;0,0,I46)</f>
        <v>0.12339999999999998</v>
      </c>
      <c r="L46" s="219" t="s">
        <v>9</v>
      </c>
      <c r="M46" s="1279">
        <f>R.HN!D33</f>
        <v>0.95</v>
      </c>
      <c r="N46" s="35">
        <f>M46</f>
        <v>0.95</v>
      </c>
      <c r="O46" s="35">
        <f>($F$30-N46)*1234/1000</f>
        <v>6.1700000000000053E-2</v>
      </c>
      <c r="P46" s="39" t="s">
        <v>8</v>
      </c>
      <c r="Q46" s="42">
        <f>IF(O46&lt;0,0,O46)</f>
        <v>6.1700000000000053E-2</v>
      </c>
      <c r="R46" s="219" t="s">
        <v>9</v>
      </c>
      <c r="S46" s="1279">
        <f>R.HN!E33</f>
        <v>0.9</v>
      </c>
      <c r="T46" s="35">
        <f>S46</f>
        <v>0.9</v>
      </c>
      <c r="U46" s="35">
        <f>($F$30-T46)*1234/1000</f>
        <v>0.12339999999999998</v>
      </c>
      <c r="V46" s="39" t="s">
        <v>8</v>
      </c>
      <c r="W46" s="42">
        <f>IF(U46&lt;0,0,U46)</f>
        <v>0.12339999999999998</v>
      </c>
      <c r="X46" s="219" t="s">
        <v>9</v>
      </c>
      <c r="Y46" s="1279">
        <f>R.HN!F33</f>
        <v>0.95</v>
      </c>
      <c r="Z46" s="35">
        <f>Y46</f>
        <v>0.95</v>
      </c>
      <c r="AA46" s="35">
        <f>($F$30-Z46)*1234/1000</f>
        <v>6.1700000000000053E-2</v>
      </c>
      <c r="AB46" s="39" t="s">
        <v>8</v>
      </c>
      <c r="AC46" s="42">
        <f>IF(AA46&lt;0,0,AA46)</f>
        <v>6.1700000000000053E-2</v>
      </c>
      <c r="AD46" s="219" t="s">
        <v>9</v>
      </c>
      <c r="AE46" s="1279">
        <f>R.HN!G33</f>
        <v>0.95</v>
      </c>
      <c r="AF46" s="35">
        <f>AE46</f>
        <v>0.95</v>
      </c>
      <c r="AG46" s="35">
        <f>($F$30-AF46)*1234/1000</f>
        <v>6.1700000000000053E-2</v>
      </c>
      <c r="AH46" s="39" t="s">
        <v>8</v>
      </c>
      <c r="AI46" s="42">
        <f>IF(AG46&lt;0,0,AG46)</f>
        <v>6.1700000000000053E-2</v>
      </c>
      <c r="AJ46" s="219" t="s">
        <v>9</v>
      </c>
      <c r="AK46" s="1279">
        <f>R.HN!H33</f>
        <v>0.9</v>
      </c>
      <c r="AL46" s="35">
        <v>0.9</v>
      </c>
      <c r="AM46" s="35">
        <f>($F$30-AL46)*1234/1000</f>
        <v>0.12339999999999998</v>
      </c>
      <c r="AN46" s="39" t="s">
        <v>8</v>
      </c>
      <c r="AO46" s="42">
        <f>IF(AM46&lt;0,0,AM46)</f>
        <v>0.12339999999999998</v>
      </c>
      <c r="AP46" s="41" t="s">
        <v>9</v>
      </c>
      <c r="AQ46" s="274" t="s">
        <v>459</v>
      </c>
    </row>
    <row r="47" spans="1:43" ht="31.5" customHeight="1">
      <c r="A47" s="1255" t="s">
        <v>1205</v>
      </c>
      <c r="B47" s="3299"/>
      <c r="C47" s="3300"/>
      <c r="D47" s="47" t="s">
        <v>5</v>
      </c>
      <c r="E47" s="107" t="s">
        <v>1193</v>
      </c>
      <c r="F47" s="1283">
        <v>9.5</v>
      </c>
      <c r="G47" s="1279">
        <f>R.HN!C34</f>
        <v>9</v>
      </c>
      <c r="H47" s="35">
        <f>G47</f>
        <v>9</v>
      </c>
      <c r="I47" s="35"/>
      <c r="J47" s="39"/>
      <c r="K47" s="40"/>
      <c r="L47" s="219"/>
      <c r="M47" s="1279">
        <f>R.HN!D34</f>
        <v>10</v>
      </c>
      <c r="N47" s="35">
        <f>M47</f>
        <v>10</v>
      </c>
      <c r="O47" s="35"/>
      <c r="P47" s="39"/>
      <c r="Q47" s="40"/>
      <c r="R47" s="219"/>
      <c r="S47" s="1279">
        <f>R.HN!E34</f>
        <v>10</v>
      </c>
      <c r="T47" s="35">
        <f>S47</f>
        <v>10</v>
      </c>
      <c r="U47" s="35"/>
      <c r="V47" s="39"/>
      <c r="W47" s="40"/>
      <c r="X47" s="219"/>
      <c r="Y47" s="1279">
        <f>R.HN!F34</f>
        <v>9.5</v>
      </c>
      <c r="Z47" s="35">
        <f>Y47</f>
        <v>9.5</v>
      </c>
      <c r="AA47" s="35"/>
      <c r="AB47" s="39"/>
      <c r="AC47" s="40"/>
      <c r="AD47" s="219"/>
      <c r="AE47" s="1279">
        <f>R.HN!G34</f>
        <v>10</v>
      </c>
      <c r="AF47" s="35">
        <f>AE47</f>
        <v>10</v>
      </c>
      <c r="AG47" s="35"/>
      <c r="AH47" s="39"/>
      <c r="AI47" s="40"/>
      <c r="AJ47" s="219"/>
      <c r="AK47" s="1279">
        <f>R.HN!H34</f>
        <v>9</v>
      </c>
      <c r="AL47" s="35">
        <v>9</v>
      </c>
      <c r="AM47" s="35"/>
      <c r="AN47" s="39"/>
      <c r="AO47" s="40"/>
      <c r="AP47" s="41"/>
      <c r="AQ47" s="274" t="s">
        <v>459</v>
      </c>
    </row>
    <row r="48" spans="1:43" ht="33" customHeight="1">
      <c r="A48" s="295" t="s">
        <v>74</v>
      </c>
      <c r="B48" s="296"/>
      <c r="C48" s="296"/>
      <c r="D48" s="296"/>
      <c r="E48" s="293"/>
      <c r="F48" s="296"/>
      <c r="G48" s="296"/>
      <c r="H48" s="296"/>
      <c r="I48" s="296"/>
      <c r="J48" s="296"/>
      <c r="K48" s="296"/>
      <c r="L48" s="296"/>
      <c r="M48" s="296"/>
      <c r="N48" s="297"/>
      <c r="O48" s="296"/>
      <c r="P48" s="296"/>
      <c r="Q48" s="296"/>
      <c r="R48" s="297"/>
      <c r="S48" s="296"/>
      <c r="T48" s="297"/>
      <c r="U48" s="296"/>
      <c r="V48" s="296"/>
      <c r="W48" s="296"/>
      <c r="X48" s="296"/>
      <c r="Y48" s="296"/>
      <c r="Z48" s="296"/>
      <c r="AA48" s="296"/>
      <c r="AB48" s="296"/>
      <c r="AC48" s="296"/>
      <c r="AD48" s="296"/>
      <c r="AE48" s="297"/>
      <c r="AF48" s="297"/>
      <c r="AG48" s="297"/>
      <c r="AH48" s="297"/>
      <c r="AI48" s="297"/>
      <c r="AJ48" s="297"/>
      <c r="AK48" s="297"/>
      <c r="AL48" s="297"/>
      <c r="AM48" s="297"/>
      <c r="AN48" s="297"/>
      <c r="AO48" s="297"/>
      <c r="AP48" s="1036"/>
    </row>
    <row r="49" spans="1:43" ht="51.75" customHeight="1">
      <c r="A49" s="1255" t="s">
        <v>239</v>
      </c>
      <c r="B49" s="3112" t="s">
        <v>62</v>
      </c>
      <c r="C49" s="3114"/>
      <c r="D49" s="288" t="s">
        <v>64</v>
      </c>
      <c r="E49" s="288" t="s">
        <v>65</v>
      </c>
      <c r="F49" s="1284"/>
      <c r="G49" s="1284"/>
      <c r="H49" s="290" t="s">
        <v>46</v>
      </c>
      <c r="I49" s="291"/>
      <c r="J49" s="291"/>
      <c r="K49" s="290" t="s">
        <v>63</v>
      </c>
      <c r="L49" s="304"/>
      <c r="M49" s="288"/>
      <c r="N49" s="290" t="s">
        <v>46</v>
      </c>
      <c r="O49" s="291"/>
      <c r="P49" s="291"/>
      <c r="Q49" s="290" t="s">
        <v>63</v>
      </c>
      <c r="R49" s="304"/>
      <c r="S49" s="95"/>
      <c r="T49" s="290" t="s">
        <v>46</v>
      </c>
      <c r="U49" s="291"/>
      <c r="V49" s="291"/>
      <c r="W49" s="290" t="s">
        <v>63</v>
      </c>
      <c r="X49" s="304"/>
      <c r="Y49" s="96"/>
      <c r="Z49" s="290" t="s">
        <v>46</v>
      </c>
      <c r="AA49" s="291"/>
      <c r="AB49" s="291"/>
      <c r="AC49" s="290" t="s">
        <v>63</v>
      </c>
      <c r="AD49" s="304"/>
      <c r="AE49" s="96"/>
      <c r="AF49" s="290" t="s">
        <v>46</v>
      </c>
      <c r="AG49" s="291"/>
      <c r="AH49" s="291"/>
      <c r="AI49" s="290" t="s">
        <v>63</v>
      </c>
      <c r="AJ49" s="304"/>
      <c r="AK49" s="96"/>
      <c r="AL49" s="290" t="s">
        <v>46</v>
      </c>
      <c r="AM49" s="291"/>
      <c r="AN49" s="291"/>
      <c r="AO49" s="290" t="s">
        <v>63</v>
      </c>
      <c r="AP49" s="304"/>
    </row>
    <row r="50" spans="1:43" ht="30" customHeight="1">
      <c r="A50" s="1255" t="s">
        <v>1206</v>
      </c>
      <c r="B50" s="3112" t="s">
        <v>455</v>
      </c>
      <c r="C50" s="3114"/>
      <c r="D50" s="21" t="s">
        <v>106</v>
      </c>
      <c r="E50" s="107" t="s">
        <v>1195</v>
      </c>
      <c r="F50" s="100"/>
      <c r="G50" s="100"/>
      <c r="H50" s="2831"/>
      <c r="I50" s="2832"/>
      <c r="J50" s="2832"/>
      <c r="K50" s="2831">
        <v>60</v>
      </c>
      <c r="L50" s="2832"/>
      <c r="M50" s="2832"/>
      <c r="N50" s="2831"/>
      <c r="O50" s="2832"/>
      <c r="P50" s="2832"/>
      <c r="Q50" s="2831">
        <v>60</v>
      </c>
      <c r="R50" s="2832"/>
      <c r="S50" s="2832"/>
      <c r="T50" s="2831"/>
      <c r="U50" s="2832"/>
      <c r="V50" s="2832"/>
      <c r="W50" s="2831">
        <v>59</v>
      </c>
      <c r="X50" s="2832"/>
      <c r="Y50" s="2832"/>
      <c r="Z50" s="2831"/>
      <c r="AA50" s="2832"/>
      <c r="AB50" s="2832"/>
      <c r="AC50" s="2831">
        <v>60</v>
      </c>
      <c r="AD50" s="2832"/>
      <c r="AE50" s="2832"/>
      <c r="AF50" s="2831"/>
      <c r="AG50" s="2832"/>
      <c r="AH50" s="2832"/>
      <c r="AI50" s="2831">
        <v>58</v>
      </c>
      <c r="AJ50" s="2832"/>
      <c r="AK50" s="2832"/>
      <c r="AL50" s="2831"/>
      <c r="AM50" s="2832"/>
      <c r="AN50" s="2832"/>
      <c r="AO50" s="2926">
        <v>60</v>
      </c>
      <c r="AP50" s="2926"/>
      <c r="AQ50" s="2926"/>
    </row>
    <row r="51" spans="1:43" ht="30" customHeight="1">
      <c r="A51" s="1255" t="s">
        <v>1207</v>
      </c>
      <c r="B51" s="3112" t="s">
        <v>448</v>
      </c>
      <c r="C51" s="3114"/>
      <c r="D51" s="21" t="s">
        <v>106</v>
      </c>
      <c r="E51" s="107" t="s">
        <v>1186</v>
      </c>
      <c r="F51" s="100"/>
      <c r="G51" s="100"/>
      <c r="H51" s="2831"/>
      <c r="I51" s="2832"/>
      <c r="J51" s="2832"/>
      <c r="K51" s="2831">
        <v>69</v>
      </c>
      <c r="L51" s="2832"/>
      <c r="M51" s="2832"/>
      <c r="N51" s="2831"/>
      <c r="O51" s="2832"/>
      <c r="P51" s="2832"/>
      <c r="Q51" s="2831">
        <v>69</v>
      </c>
      <c r="R51" s="2832"/>
      <c r="S51" s="2832"/>
      <c r="T51" s="2831"/>
      <c r="U51" s="2832"/>
      <c r="V51" s="2832"/>
      <c r="W51" s="2831">
        <v>70</v>
      </c>
      <c r="X51" s="2832"/>
      <c r="Y51" s="2832"/>
      <c r="Z51" s="2831"/>
      <c r="AA51" s="2832"/>
      <c r="AB51" s="2832"/>
      <c r="AC51" s="2831">
        <v>70</v>
      </c>
      <c r="AD51" s="2832"/>
      <c r="AE51" s="2832"/>
      <c r="AF51" s="2831"/>
      <c r="AG51" s="2832"/>
      <c r="AH51" s="2832"/>
      <c r="AI51" s="2831">
        <v>70</v>
      </c>
      <c r="AJ51" s="2832"/>
      <c r="AK51" s="2832"/>
      <c r="AL51" s="2831"/>
      <c r="AM51" s="2832"/>
      <c r="AN51" s="2832"/>
      <c r="AO51" s="2926">
        <v>70</v>
      </c>
      <c r="AP51" s="2926"/>
      <c r="AQ51" s="2926"/>
    </row>
    <row r="52" spans="1:43" ht="30" customHeight="1">
      <c r="A52" s="1255" t="s">
        <v>1208</v>
      </c>
      <c r="B52" s="3112" t="s">
        <v>441</v>
      </c>
      <c r="C52" s="3114"/>
      <c r="D52" s="21" t="s">
        <v>106</v>
      </c>
      <c r="E52" s="107" t="s">
        <v>1187</v>
      </c>
      <c r="F52" s="1290"/>
      <c r="G52" s="1290"/>
      <c r="H52" s="2831"/>
      <c r="I52" s="2832"/>
      <c r="J52" s="2832"/>
      <c r="K52" s="2831">
        <v>84</v>
      </c>
      <c r="L52" s="2832"/>
      <c r="M52" s="2832"/>
      <c r="N52" s="2831"/>
      <c r="O52" s="2832"/>
      <c r="P52" s="2832"/>
      <c r="Q52" s="2831">
        <v>79</v>
      </c>
      <c r="R52" s="2832"/>
      <c r="S52" s="2832"/>
      <c r="T52" s="2831"/>
      <c r="U52" s="2832"/>
      <c r="V52" s="2832"/>
      <c r="W52" s="2831">
        <v>85</v>
      </c>
      <c r="X52" s="2832"/>
      <c r="Y52" s="2832"/>
      <c r="Z52" s="2831"/>
      <c r="AA52" s="2832"/>
      <c r="AB52" s="2832"/>
      <c r="AC52" s="2831">
        <v>81</v>
      </c>
      <c r="AD52" s="2832"/>
      <c r="AE52" s="2832"/>
      <c r="AF52" s="2831"/>
      <c r="AG52" s="2832"/>
      <c r="AH52" s="2832"/>
      <c r="AI52" s="2831">
        <v>79</v>
      </c>
      <c r="AJ52" s="2832"/>
      <c r="AK52" s="2832"/>
      <c r="AL52" s="2831"/>
      <c r="AM52" s="2832"/>
      <c r="AN52" s="2832"/>
      <c r="AO52" s="2926">
        <v>79</v>
      </c>
      <c r="AP52" s="2926"/>
      <c r="AQ52" s="2926"/>
    </row>
    <row r="53" spans="1:43" ht="23.25" customHeight="1">
      <c r="A53" s="423"/>
      <c r="B53" s="94"/>
      <c r="C53" s="94"/>
      <c r="D53" s="1292"/>
      <c r="E53" s="635"/>
      <c r="F53" s="1290"/>
      <c r="G53" s="1290"/>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105"/>
      <c r="AP53" s="105"/>
    </row>
    <row r="54" spans="1:43" ht="33.75" customHeight="1">
      <c r="A54" s="2108" t="s">
        <v>472</v>
      </c>
      <c r="B54" s="2109"/>
      <c r="C54" s="2109"/>
      <c r="D54" s="2109"/>
      <c r="E54" s="2110"/>
      <c r="F54" s="2111" t="s">
        <v>73</v>
      </c>
      <c r="G54" s="2112"/>
      <c r="H54" s="2113" t="s">
        <v>73</v>
      </c>
      <c r="I54" s="2114"/>
      <c r="J54" s="2114"/>
      <c r="K54" s="2114"/>
      <c r="L54" s="2114"/>
      <c r="M54" s="2114"/>
      <c r="N54" s="2114"/>
      <c r="O54" s="2114"/>
      <c r="P54" s="2114"/>
      <c r="Q54" s="2114"/>
      <c r="R54" s="2115"/>
      <c r="S54" s="1293"/>
      <c r="AD54" s="274"/>
      <c r="AP54" s="274"/>
    </row>
    <row r="55" spans="1:43" ht="30" customHeight="1">
      <c r="A55" s="437"/>
      <c r="B55" s="3302" t="s">
        <v>77</v>
      </c>
      <c r="C55" s="3303"/>
      <c r="D55" s="3306" t="s">
        <v>125</v>
      </c>
      <c r="E55" s="3308" t="s">
        <v>65</v>
      </c>
      <c r="F55" s="1275"/>
      <c r="G55" s="87"/>
      <c r="H55" s="3310" t="s">
        <v>473</v>
      </c>
      <c r="I55" s="3310"/>
      <c r="J55" s="3310"/>
      <c r="K55" s="3310"/>
      <c r="L55" s="3310"/>
      <c r="M55" s="88"/>
      <c r="N55" s="3311" t="s">
        <v>1490</v>
      </c>
      <c r="O55" s="3312"/>
      <c r="P55" s="3312"/>
      <c r="Q55" s="3312"/>
      <c r="R55" s="3313"/>
      <c r="S55" s="88"/>
      <c r="T55" s="1294"/>
      <c r="U55" s="1294"/>
      <c r="V55" s="1294"/>
      <c r="W55" s="2240" t="str">
        <f>A2</f>
        <v>Thứ 3,</v>
      </c>
      <c r="X55" s="1294"/>
      <c r="Y55" s="1295"/>
      <c r="Z55" s="1294"/>
      <c r="AA55" s="1294"/>
      <c r="AB55" s="1294"/>
      <c r="AC55" s="1294"/>
      <c r="AD55" s="1294"/>
      <c r="AE55" s="1295"/>
      <c r="AF55" s="1294"/>
      <c r="AG55" s="1294"/>
      <c r="AH55" s="1294"/>
      <c r="AI55" s="1294"/>
      <c r="AJ55" s="1294"/>
      <c r="AK55" s="1295"/>
      <c r="AL55" s="1294"/>
      <c r="AM55" s="1294"/>
      <c r="AN55" s="1294"/>
      <c r="AO55" s="1294"/>
      <c r="AP55" s="1294"/>
    </row>
    <row r="56" spans="1:43" ht="30" customHeight="1">
      <c r="A56" s="1254" t="s">
        <v>239</v>
      </c>
      <c r="B56" s="3304"/>
      <c r="C56" s="3305"/>
      <c r="D56" s="3307"/>
      <c r="E56" s="3309"/>
      <c r="F56" s="1277" t="s">
        <v>423</v>
      </c>
      <c r="G56" s="20"/>
      <c r="H56" s="1252" t="s">
        <v>130</v>
      </c>
      <c r="I56" s="34" t="s">
        <v>1</v>
      </c>
      <c r="J56" s="293" t="s">
        <v>1</v>
      </c>
      <c r="K56" s="293"/>
      <c r="L56" s="294"/>
      <c r="M56" s="89"/>
      <c r="N56" s="1252" t="s">
        <v>130</v>
      </c>
      <c r="O56" s="34" t="s">
        <v>1</v>
      </c>
      <c r="P56" s="293" t="s">
        <v>1</v>
      </c>
      <c r="Q56" s="293"/>
      <c r="R56" s="294"/>
      <c r="S56" s="1296"/>
      <c r="T56" s="2241">
        <f>W56-1</f>
        <v>45299</v>
      </c>
      <c r="U56" s="2238"/>
      <c r="V56" s="2238"/>
      <c r="W56" s="2242" t="str">
        <f>B2</f>
        <v>2024/01/09</v>
      </c>
      <c r="X56" s="2239"/>
      <c r="Y56" s="423"/>
      <c r="Z56" s="423"/>
      <c r="AA56" s="1297"/>
      <c r="AB56" s="1297"/>
      <c r="AC56" s="1297"/>
      <c r="AD56" s="1297"/>
      <c r="AE56" s="1298"/>
      <c r="AF56" s="423"/>
      <c r="AG56" s="1297"/>
      <c r="AH56" s="1297"/>
      <c r="AI56" s="1297"/>
      <c r="AJ56" s="1297"/>
      <c r="AK56" s="423"/>
      <c r="AL56" s="423"/>
      <c r="AM56" s="1297"/>
      <c r="AN56" s="1297"/>
      <c r="AO56" s="1297"/>
      <c r="AP56" s="1297"/>
    </row>
    <row r="57" spans="1:43" ht="36.75" customHeight="1">
      <c r="A57" s="1255" t="s">
        <v>474</v>
      </c>
      <c r="B57" s="3150" t="s">
        <v>475</v>
      </c>
      <c r="C57" s="3152"/>
      <c r="D57" s="47" t="s">
        <v>432</v>
      </c>
      <c r="E57" s="107" t="s">
        <v>476</v>
      </c>
      <c r="F57" s="1281">
        <v>15</v>
      </c>
      <c r="G57" s="1279">
        <f>R.HN!C39</f>
        <v>19</v>
      </c>
      <c r="H57" s="35">
        <v>15</v>
      </c>
      <c r="I57" s="35">
        <f>($F$57-H57)*2160*3.34/1000</f>
        <v>0</v>
      </c>
      <c r="J57" s="39" t="s">
        <v>8</v>
      </c>
      <c r="K57" s="40">
        <f>IF(I57&lt;0,0,I57)</f>
        <v>0</v>
      </c>
      <c r="L57" s="41" t="s">
        <v>9</v>
      </c>
      <c r="M57" s="92">
        <f>R.HN!D39</f>
        <v>19</v>
      </c>
      <c r="N57" s="35">
        <v>15</v>
      </c>
      <c r="O57" s="35">
        <f>($F$57-N57)*2160*3.34/1000</f>
        <v>0</v>
      </c>
      <c r="P57" s="39" t="s">
        <v>8</v>
      </c>
      <c r="Q57" s="40">
        <f t="shared" ref="Q57:Q63" si="0">IF(O57&lt;0,0,O57)</f>
        <v>0</v>
      </c>
      <c r="R57" s="41" t="s">
        <v>9</v>
      </c>
      <c r="S57" s="1299">
        <f>R.HN!E39</f>
        <v>0</v>
      </c>
      <c r="T57" s="2235">
        <f>'XM.FILE GOC'!BE6</f>
        <v>15.2</v>
      </c>
      <c r="U57" s="1300"/>
      <c r="V57" s="1301"/>
      <c r="W57" s="2236">
        <f>N57</f>
        <v>15</v>
      </c>
      <c r="X57" s="1303"/>
      <c r="Y57" s="1304"/>
      <c r="Z57" s="1300"/>
      <c r="AA57" s="1300"/>
      <c r="AB57" s="1301"/>
      <c r="AC57" s="1302"/>
      <c r="AD57" s="1303"/>
      <c r="AE57" s="1304"/>
      <c r="AF57" s="1300"/>
      <c r="AG57" s="1300"/>
      <c r="AH57" s="1301"/>
      <c r="AI57" s="1302"/>
      <c r="AJ57" s="1303"/>
      <c r="AK57" s="1304"/>
      <c r="AL57" s="1300"/>
      <c r="AM57" s="1300"/>
      <c r="AN57" s="1301"/>
      <c r="AO57" s="1302"/>
      <c r="AP57" s="1303"/>
      <c r="AQ57" s="274" t="s">
        <v>477</v>
      </c>
    </row>
    <row r="58" spans="1:43" ht="30" customHeight="1">
      <c r="A58" s="1255" t="s">
        <v>478</v>
      </c>
      <c r="B58" s="3150" t="s">
        <v>479</v>
      </c>
      <c r="C58" s="3152"/>
      <c r="D58" s="47" t="s">
        <v>432</v>
      </c>
      <c r="E58" s="107" t="s">
        <v>476</v>
      </c>
      <c r="F58" s="1281">
        <v>15</v>
      </c>
      <c r="G58" s="1279">
        <f>R.HN!C40</f>
        <v>9.3000000000000007</v>
      </c>
      <c r="H58" s="35">
        <v>15.1</v>
      </c>
      <c r="I58" s="35">
        <f>($F$58-H58)*2160*3.34/1000</f>
        <v>-0.72143999999999742</v>
      </c>
      <c r="J58" s="39" t="s">
        <v>8</v>
      </c>
      <c r="K58" s="40">
        <f>IF(I58&lt;0,0,I58)</f>
        <v>0</v>
      </c>
      <c r="L58" s="41" t="s">
        <v>9</v>
      </c>
      <c r="M58" s="92">
        <f>R.HN!D40</f>
        <v>9.4</v>
      </c>
      <c r="N58" s="35">
        <v>15</v>
      </c>
      <c r="O58" s="35">
        <f>($F$58-N58)*2160*3.34/1000</f>
        <v>0</v>
      </c>
      <c r="P58" s="39" t="s">
        <v>8</v>
      </c>
      <c r="Q58" s="40">
        <f t="shared" si="0"/>
        <v>0</v>
      </c>
      <c r="R58" s="41" t="s">
        <v>9</v>
      </c>
      <c r="S58" s="1299">
        <f>R.HN!E40</f>
        <v>0</v>
      </c>
      <c r="T58" s="2235">
        <f>'XM.FILE GOC'!BE7</f>
        <v>15.3</v>
      </c>
      <c r="U58" s="1300"/>
      <c r="V58" s="1301"/>
      <c r="W58" s="2236">
        <f t="shared" ref="W58:W65" si="1">N58</f>
        <v>15</v>
      </c>
      <c r="X58" s="1303"/>
      <c r="Y58" s="1304"/>
      <c r="Z58" s="1300"/>
      <c r="AA58" s="1300"/>
      <c r="AB58" s="1301"/>
      <c r="AC58" s="1302"/>
      <c r="AD58" s="1303"/>
      <c r="AE58" s="1304"/>
      <c r="AF58" s="1300"/>
      <c r="AG58" s="1300"/>
      <c r="AH58" s="1301"/>
      <c r="AI58" s="1302"/>
      <c r="AJ58" s="1303"/>
      <c r="AK58" s="1304"/>
      <c r="AL58" s="1300"/>
      <c r="AM58" s="1300"/>
      <c r="AN58" s="1301"/>
      <c r="AO58" s="1302"/>
      <c r="AP58" s="1303"/>
      <c r="AQ58" s="274" t="s">
        <v>477</v>
      </c>
    </row>
    <row r="59" spans="1:43" ht="33" customHeight="1">
      <c r="A59" s="1255" t="s">
        <v>480</v>
      </c>
      <c r="B59" s="3150" t="s">
        <v>481</v>
      </c>
      <c r="C59" s="3152"/>
      <c r="D59" s="47" t="s">
        <v>432</v>
      </c>
      <c r="E59" s="107" t="s">
        <v>476</v>
      </c>
      <c r="F59" s="1281">
        <v>15</v>
      </c>
      <c r="G59" s="1279">
        <f>R.HN!C41</f>
        <v>9.6</v>
      </c>
      <c r="H59" s="35">
        <v>15</v>
      </c>
      <c r="I59" s="35">
        <f>($F$59-H59)*2700*3.33/1000</f>
        <v>0</v>
      </c>
      <c r="J59" s="39" t="s">
        <v>8</v>
      </c>
      <c r="K59" s="40">
        <f>IF(I59&lt;0,0,I59)</f>
        <v>0</v>
      </c>
      <c r="L59" s="41" t="s">
        <v>9</v>
      </c>
      <c r="M59" s="92">
        <f>R.HN!D41</f>
        <v>9.6999999999999993</v>
      </c>
      <c r="N59" s="35">
        <v>15</v>
      </c>
      <c r="O59" s="35">
        <f>($F$59-N59)*2700*3.33/1000</f>
        <v>0</v>
      </c>
      <c r="P59" s="39" t="s">
        <v>8</v>
      </c>
      <c r="Q59" s="40">
        <f t="shared" si="0"/>
        <v>0</v>
      </c>
      <c r="R59" s="41" t="s">
        <v>9</v>
      </c>
      <c r="S59" s="1299">
        <f>R.HN!E41</f>
        <v>0</v>
      </c>
      <c r="T59" s="2235">
        <f>'XM.FILE GOC'!BE8</f>
        <v>15</v>
      </c>
      <c r="U59" s="1300"/>
      <c r="V59" s="1301"/>
      <c r="W59" s="2236">
        <f t="shared" si="1"/>
        <v>15</v>
      </c>
      <c r="X59" s="1303"/>
      <c r="Y59" s="1304"/>
      <c r="Z59" s="1300"/>
      <c r="AA59" s="1300"/>
      <c r="AB59" s="1301"/>
      <c r="AC59" s="1302"/>
      <c r="AD59" s="1303"/>
      <c r="AE59" s="1304"/>
      <c r="AF59" s="1300"/>
      <c r="AG59" s="1300"/>
      <c r="AH59" s="1301"/>
      <c r="AI59" s="1302"/>
      <c r="AJ59" s="1303"/>
      <c r="AK59" s="1304"/>
      <c r="AL59" s="1300"/>
      <c r="AM59" s="1300"/>
      <c r="AN59" s="1301"/>
      <c r="AO59" s="1302"/>
      <c r="AP59" s="1303"/>
      <c r="AQ59" s="274" t="s">
        <v>477</v>
      </c>
    </row>
    <row r="60" spans="1:43" ht="35.25" customHeight="1">
      <c r="A60" s="1255" t="s">
        <v>482</v>
      </c>
      <c r="B60" s="3150" t="s">
        <v>483</v>
      </c>
      <c r="C60" s="3152"/>
      <c r="D60" s="47" t="s">
        <v>432</v>
      </c>
      <c r="E60" s="107" t="s">
        <v>1209</v>
      </c>
      <c r="F60" s="1281">
        <v>10</v>
      </c>
      <c r="G60" s="1279">
        <f>R.HN!C42</f>
        <v>0</v>
      </c>
      <c r="H60" s="35">
        <v>10</v>
      </c>
      <c r="I60" s="35">
        <f>($F$60-H60)*2160*5.77/1000</f>
        <v>0</v>
      </c>
      <c r="J60" s="39" t="s">
        <v>8</v>
      </c>
      <c r="K60" s="40">
        <f>IF(I60&lt;0,0,I60)</f>
        <v>0</v>
      </c>
      <c r="L60" s="41" t="s">
        <v>10</v>
      </c>
      <c r="M60" s="92">
        <f>R.HN!D42</f>
        <v>0</v>
      </c>
      <c r="N60" s="35">
        <v>9.9</v>
      </c>
      <c r="O60" s="35">
        <f>($F$60-N60)*2160*5.77/1000</f>
        <v>1.2463199999999954</v>
      </c>
      <c r="P60" s="39" t="s">
        <v>8</v>
      </c>
      <c r="Q60" s="40">
        <f t="shared" si="0"/>
        <v>1.2463199999999954</v>
      </c>
      <c r="R60" s="41" t="s">
        <v>10</v>
      </c>
      <c r="S60" s="1299">
        <f>R.HN!E42</f>
        <v>0</v>
      </c>
      <c r="T60" s="2235">
        <f>'XM.FILE GOC'!BE9</f>
        <v>10.1</v>
      </c>
      <c r="U60" s="1300"/>
      <c r="V60" s="1301"/>
      <c r="W60" s="2236">
        <f t="shared" si="1"/>
        <v>9.9</v>
      </c>
      <c r="X60" s="1303"/>
      <c r="Y60" s="1304"/>
      <c r="Z60" s="1300"/>
      <c r="AA60" s="1300"/>
      <c r="AB60" s="1301"/>
      <c r="AC60" s="1302"/>
      <c r="AD60" s="1303"/>
      <c r="AE60" s="1304"/>
      <c r="AF60" s="1300"/>
      <c r="AG60" s="1300"/>
      <c r="AH60" s="1301"/>
      <c r="AI60" s="1302"/>
      <c r="AJ60" s="1303"/>
      <c r="AK60" s="1304"/>
      <c r="AL60" s="1300"/>
      <c r="AM60" s="1300"/>
      <c r="AN60" s="1301"/>
      <c r="AO60" s="1302"/>
      <c r="AP60" s="1303"/>
      <c r="AQ60" s="274" t="s">
        <v>477</v>
      </c>
    </row>
    <row r="61" spans="1:43" ht="38.25" customHeight="1">
      <c r="A61" s="1255" t="s">
        <v>484</v>
      </c>
      <c r="B61" s="3150" t="s">
        <v>485</v>
      </c>
      <c r="C61" s="3152"/>
      <c r="D61" s="47" t="s">
        <v>432</v>
      </c>
      <c r="E61" s="107" t="s">
        <v>486</v>
      </c>
      <c r="F61" s="1278">
        <v>1.5</v>
      </c>
      <c r="G61" s="1279">
        <f>R.HN!C43</f>
        <v>1.2</v>
      </c>
      <c r="H61" s="1282">
        <f t="shared" ref="H61:H63" si="2">G61</f>
        <v>1.2</v>
      </c>
      <c r="I61" s="35">
        <f>(H61-$F$61)*2430*3.3/1000</f>
        <v>-2.4057000000000004</v>
      </c>
      <c r="J61" s="39" t="s">
        <v>8</v>
      </c>
      <c r="K61" s="42">
        <f>IF(I61&lt;0,0,I61)</f>
        <v>0</v>
      </c>
      <c r="L61" s="41" t="s">
        <v>9</v>
      </c>
      <c r="M61" s="92">
        <f>R.HN!D43</f>
        <v>0.96</v>
      </c>
      <c r="N61" s="1282">
        <f t="shared" ref="N61:N63" si="3">M61</f>
        <v>0.96</v>
      </c>
      <c r="O61" s="35">
        <f>(N61-$F$61)*2430*3.3/1000</f>
        <v>-4.33026</v>
      </c>
      <c r="P61" s="39" t="s">
        <v>8</v>
      </c>
      <c r="Q61" s="42">
        <f t="shared" si="0"/>
        <v>0</v>
      </c>
      <c r="R61" s="41" t="s">
        <v>9</v>
      </c>
      <c r="S61" s="1299">
        <f>R.HN!E43</f>
        <v>0</v>
      </c>
      <c r="T61" s="2235">
        <f>'XM.FILE GOC'!BE10</f>
        <v>1.34</v>
      </c>
      <c r="U61" s="1300"/>
      <c r="V61" s="1301"/>
      <c r="W61" s="2236">
        <f t="shared" si="1"/>
        <v>0.96</v>
      </c>
      <c r="X61" s="1303"/>
      <c r="Y61" s="1304"/>
      <c r="Z61" s="1300"/>
      <c r="AA61" s="1300"/>
      <c r="AB61" s="1301"/>
      <c r="AC61" s="1305"/>
      <c r="AD61" s="1303"/>
      <c r="AE61" s="1304"/>
      <c r="AF61" s="1300"/>
      <c r="AG61" s="1300"/>
      <c r="AH61" s="1301"/>
      <c r="AI61" s="1305"/>
      <c r="AJ61" s="1303"/>
      <c r="AK61" s="1304"/>
      <c r="AL61" s="1300"/>
      <c r="AM61" s="1300"/>
      <c r="AN61" s="1301"/>
      <c r="AO61" s="1305"/>
      <c r="AP61" s="1303"/>
      <c r="AQ61" s="274" t="s">
        <v>477</v>
      </c>
    </row>
    <row r="62" spans="1:43" ht="36.75" customHeight="1">
      <c r="A62" s="1255" t="s">
        <v>487</v>
      </c>
      <c r="B62" s="3150" t="s">
        <v>488</v>
      </c>
      <c r="C62" s="3152"/>
      <c r="D62" s="47" t="s">
        <v>432</v>
      </c>
      <c r="E62" s="107" t="s">
        <v>489</v>
      </c>
      <c r="F62" s="1281">
        <v>22</v>
      </c>
      <c r="G62" s="1279">
        <f>R.HN!C44</f>
        <v>24.7</v>
      </c>
      <c r="H62" s="35">
        <v>22.8</v>
      </c>
      <c r="I62" s="35">
        <f>($F$62-H62)*2430*4/1000</f>
        <v>-7.7760000000000069</v>
      </c>
      <c r="J62" s="39" t="s">
        <v>8</v>
      </c>
      <c r="K62" s="40">
        <f t="shared" ref="K62:K63" si="4">IF(I62&lt;0,0,I62)</f>
        <v>0</v>
      </c>
      <c r="L62" s="41" t="s">
        <v>9</v>
      </c>
      <c r="M62" s="92">
        <f>R.HN!D44</f>
        <v>24.2</v>
      </c>
      <c r="N62" s="35">
        <v>22.5</v>
      </c>
      <c r="O62" s="35">
        <f>($F$62-N62)*2430*4/1000</f>
        <v>-4.8600000000000003</v>
      </c>
      <c r="P62" s="39" t="s">
        <v>8</v>
      </c>
      <c r="Q62" s="40">
        <f t="shared" si="0"/>
        <v>0</v>
      </c>
      <c r="R62" s="41" t="s">
        <v>9</v>
      </c>
      <c r="S62" s="1299">
        <f>R.HN!E44</f>
        <v>0</v>
      </c>
      <c r="T62" s="2235">
        <f>'XM.FILE GOC'!BE11</f>
        <v>23.1</v>
      </c>
      <c r="U62" s="1300"/>
      <c r="V62" s="1301"/>
      <c r="W62" s="2236">
        <f t="shared" si="1"/>
        <v>22.5</v>
      </c>
      <c r="X62" s="1303"/>
      <c r="Y62" s="1304"/>
      <c r="Z62" s="1300"/>
      <c r="AA62" s="1300"/>
      <c r="AB62" s="1301"/>
      <c r="AC62" s="1302"/>
      <c r="AD62" s="1303"/>
      <c r="AE62" s="1304"/>
      <c r="AF62" s="1300"/>
      <c r="AG62" s="1300"/>
      <c r="AH62" s="1301"/>
      <c r="AI62" s="1302"/>
      <c r="AJ62" s="1303"/>
      <c r="AK62" s="1304"/>
      <c r="AL62" s="1300"/>
      <c r="AM62" s="1300"/>
      <c r="AN62" s="1301"/>
      <c r="AO62" s="1302"/>
      <c r="AP62" s="1303"/>
      <c r="AQ62" s="274" t="s">
        <v>477</v>
      </c>
    </row>
    <row r="63" spans="1:43" ht="34.5" customHeight="1">
      <c r="A63" s="1255" t="s">
        <v>490</v>
      </c>
      <c r="B63" s="3150" t="s">
        <v>491</v>
      </c>
      <c r="C63" s="3152"/>
      <c r="D63" s="47" t="s">
        <v>432</v>
      </c>
      <c r="E63" s="448" t="s">
        <v>492</v>
      </c>
      <c r="F63" s="1278">
        <v>7.5</v>
      </c>
      <c r="G63" s="1279">
        <f>R.HN!C45</f>
        <v>8.8000000000000007</v>
      </c>
      <c r="H63" s="35">
        <f t="shared" si="2"/>
        <v>8.8000000000000007</v>
      </c>
      <c r="I63" s="35">
        <f>($F$63-H63)*2430*0.43/1000</f>
        <v>-1.3583700000000007</v>
      </c>
      <c r="J63" s="39" t="s">
        <v>8</v>
      </c>
      <c r="K63" s="42">
        <f t="shared" si="4"/>
        <v>0</v>
      </c>
      <c r="L63" s="41" t="s">
        <v>9</v>
      </c>
      <c r="M63" s="92">
        <f>R.HN!D45</f>
        <v>9</v>
      </c>
      <c r="N63" s="35">
        <f t="shared" si="3"/>
        <v>9</v>
      </c>
      <c r="O63" s="35">
        <f>($F$63-N63)*2430*0.43/1000</f>
        <v>-1.5673499999999998</v>
      </c>
      <c r="P63" s="39" t="s">
        <v>8</v>
      </c>
      <c r="Q63" s="42">
        <f t="shared" si="0"/>
        <v>0</v>
      </c>
      <c r="R63" s="41" t="s">
        <v>9</v>
      </c>
      <c r="S63" s="1299">
        <f>R.HN!E45</f>
        <v>0</v>
      </c>
      <c r="T63" s="2235">
        <f>'XM.FILE GOC'!BE12</f>
        <v>8.6</v>
      </c>
      <c r="U63" s="1300"/>
      <c r="V63" s="1301"/>
      <c r="W63" s="2236">
        <f t="shared" si="1"/>
        <v>9</v>
      </c>
      <c r="X63" s="1303"/>
      <c r="Y63" s="1304"/>
      <c r="Z63" s="1300"/>
      <c r="AA63" s="1300"/>
      <c r="AB63" s="1301"/>
      <c r="AC63" s="1305"/>
      <c r="AD63" s="1303"/>
      <c r="AE63" s="1304"/>
      <c r="AF63" s="1300"/>
      <c r="AG63" s="1300"/>
      <c r="AH63" s="1301"/>
      <c r="AI63" s="1305"/>
      <c r="AJ63" s="1303"/>
      <c r="AK63" s="1304"/>
      <c r="AL63" s="1300"/>
      <c r="AM63" s="1300"/>
      <c r="AN63" s="1301"/>
      <c r="AO63" s="1305"/>
      <c r="AP63" s="1303"/>
      <c r="AQ63" s="274" t="s">
        <v>477</v>
      </c>
    </row>
    <row r="64" spans="1:43" ht="36.75" customHeight="1">
      <c r="A64" s="1255" t="s">
        <v>493</v>
      </c>
      <c r="B64" s="3150" t="s">
        <v>494</v>
      </c>
      <c r="C64" s="3152"/>
      <c r="D64" s="47" t="s">
        <v>5</v>
      </c>
      <c r="E64" s="107" t="s">
        <v>495</v>
      </c>
      <c r="F64" s="1306"/>
      <c r="G64" s="1279">
        <f>R.HN!C46</f>
        <v>7.5</v>
      </c>
      <c r="H64" s="35">
        <f>R.HN!C46</f>
        <v>7.5</v>
      </c>
      <c r="I64" s="35"/>
      <c r="J64" s="39"/>
      <c r="K64" s="42"/>
      <c r="L64" s="41"/>
      <c r="M64" s="92" t="e">
        <f>R.HN!#REF!</f>
        <v>#REF!</v>
      </c>
      <c r="N64" s="35">
        <f>R.HN!D46</f>
        <v>7.8</v>
      </c>
      <c r="O64" s="35"/>
      <c r="P64" s="39"/>
      <c r="Q64" s="42"/>
      <c r="R64" s="41"/>
      <c r="S64" s="1299" t="e">
        <f>R.HN!#REF!</f>
        <v>#REF!</v>
      </c>
      <c r="T64" s="2235">
        <f>'XM.FILE GOC'!BE13</f>
        <v>7.7</v>
      </c>
      <c r="U64" s="1300"/>
      <c r="V64" s="1301"/>
      <c r="W64" s="2236">
        <f t="shared" si="1"/>
        <v>7.8</v>
      </c>
      <c r="X64" s="1303"/>
      <c r="Y64" s="1304"/>
      <c r="Z64" s="1300"/>
      <c r="AA64" s="1300"/>
      <c r="AB64" s="1301"/>
      <c r="AC64" s="1305"/>
      <c r="AD64" s="1303"/>
      <c r="AE64" s="1304"/>
      <c r="AF64" s="1300"/>
      <c r="AG64" s="1300"/>
      <c r="AH64" s="1301"/>
      <c r="AI64" s="1305"/>
      <c r="AJ64" s="1303"/>
      <c r="AK64" s="1304"/>
      <c r="AL64" s="1300"/>
      <c r="AM64" s="1300"/>
      <c r="AN64" s="1301"/>
      <c r="AO64" s="1305"/>
      <c r="AP64" s="1303"/>
      <c r="AQ64" s="274" t="s">
        <v>477</v>
      </c>
    </row>
    <row r="65" spans="1:43" ht="34.5" customHeight="1">
      <c r="A65" s="1255" t="s">
        <v>496</v>
      </c>
      <c r="B65" s="3150" t="s">
        <v>497</v>
      </c>
      <c r="C65" s="3152"/>
      <c r="D65" s="47" t="s">
        <v>5</v>
      </c>
      <c r="E65" s="448" t="s">
        <v>498</v>
      </c>
      <c r="F65" s="1278"/>
      <c r="G65" s="1279">
        <f>R.HN!C44</f>
        <v>24.7</v>
      </c>
      <c r="H65" s="35">
        <f>R.HN!C47</f>
        <v>5.6</v>
      </c>
      <c r="I65" s="35"/>
      <c r="J65" s="39"/>
      <c r="K65" s="42"/>
      <c r="L65" s="41"/>
      <c r="M65" s="92">
        <f>R.HN!D44</f>
        <v>24.2</v>
      </c>
      <c r="N65" s="35">
        <f>R.HN!D47</f>
        <v>5.5</v>
      </c>
      <c r="O65" s="35"/>
      <c r="P65" s="39"/>
      <c r="Q65" s="42"/>
      <c r="R65" s="41"/>
      <c r="S65" s="1299">
        <f>R.HN!E44</f>
        <v>0</v>
      </c>
      <c r="T65" s="2235">
        <f>'XM.FILE GOC'!BE14</f>
        <v>5.7</v>
      </c>
      <c r="U65" s="1300"/>
      <c r="V65" s="1301"/>
      <c r="W65" s="2236">
        <f t="shared" si="1"/>
        <v>5.5</v>
      </c>
      <c r="X65" s="1303"/>
      <c r="Y65" s="1304"/>
      <c r="Z65" s="1300"/>
      <c r="AA65" s="1300"/>
      <c r="AB65" s="1301"/>
      <c r="AC65" s="1305"/>
      <c r="AD65" s="1303"/>
      <c r="AE65" s="1304"/>
      <c r="AF65" s="1300"/>
      <c r="AG65" s="1300"/>
      <c r="AH65" s="1301"/>
      <c r="AI65" s="1305"/>
      <c r="AJ65" s="1303"/>
      <c r="AK65" s="1304"/>
      <c r="AL65" s="1300"/>
      <c r="AM65" s="1300"/>
      <c r="AN65" s="1301"/>
      <c r="AO65" s="1305"/>
      <c r="AP65" s="1303"/>
      <c r="AQ65" s="274" t="s">
        <v>477</v>
      </c>
    </row>
    <row r="66" spans="1:43" ht="34.5" hidden="1" customHeight="1">
      <c r="A66" s="1255" t="s">
        <v>499</v>
      </c>
      <c r="B66" s="3150" t="s">
        <v>500</v>
      </c>
      <c r="C66" s="3152"/>
      <c r="D66" s="47" t="s">
        <v>5</v>
      </c>
      <c r="E66" s="448" t="s">
        <v>498</v>
      </c>
      <c r="F66" s="1278"/>
      <c r="G66" s="1279"/>
      <c r="H66" s="35">
        <f>R.HN!C48</f>
        <v>0</v>
      </c>
      <c r="I66" s="35"/>
      <c r="J66" s="39"/>
      <c r="K66" s="42"/>
      <c r="L66" s="41"/>
      <c r="M66" s="92"/>
      <c r="N66" s="35">
        <f>R.HN!D48</f>
        <v>0</v>
      </c>
      <c r="O66" s="35"/>
      <c r="P66" s="39"/>
      <c r="Q66" s="42"/>
      <c r="R66" s="41"/>
      <c r="S66" s="1299"/>
      <c r="T66" s="2235">
        <f>'XM.FILE GOC'!BE15</f>
        <v>0</v>
      </c>
      <c r="U66" s="1300"/>
      <c r="V66" s="1301"/>
      <c r="W66" s="2237"/>
      <c r="X66" s="1303"/>
      <c r="Y66" s="1304"/>
      <c r="Z66" s="1300"/>
      <c r="AA66" s="1300"/>
      <c r="AB66" s="1301"/>
      <c r="AC66" s="1305"/>
      <c r="AD66" s="1303"/>
      <c r="AE66" s="1304"/>
      <c r="AF66" s="1300"/>
      <c r="AG66" s="1300"/>
      <c r="AH66" s="1301"/>
      <c r="AI66" s="1305"/>
      <c r="AJ66" s="1303"/>
      <c r="AK66" s="1304"/>
      <c r="AL66" s="1300"/>
      <c r="AM66" s="1300"/>
      <c r="AN66" s="1301"/>
      <c r="AO66" s="1305"/>
      <c r="AP66" s="1303"/>
      <c r="AQ66" s="274" t="s">
        <v>477</v>
      </c>
    </row>
    <row r="67" spans="1:43" ht="34.5" customHeight="1">
      <c r="A67" s="1255" t="s">
        <v>501</v>
      </c>
      <c r="B67" s="3150" t="s">
        <v>374</v>
      </c>
      <c r="C67" s="3152"/>
      <c r="D67" s="47" t="s">
        <v>3</v>
      </c>
      <c r="E67" s="448" t="s">
        <v>375</v>
      </c>
      <c r="F67" s="1307">
        <v>15</v>
      </c>
      <c r="G67" s="1279"/>
      <c r="H67" s="449">
        <v>15.1</v>
      </c>
      <c r="I67" s="35">
        <f>($F$67-H67)*2295/100</f>
        <v>-2.2949999999999919</v>
      </c>
      <c r="J67" s="39" t="s">
        <v>8</v>
      </c>
      <c r="K67" s="42">
        <f>IFERROR(IF(I67&lt;0,0,I67),"")</f>
        <v>0</v>
      </c>
      <c r="L67" s="41" t="s">
        <v>10</v>
      </c>
      <c r="M67" s="92"/>
      <c r="N67" s="42"/>
      <c r="O67" s="35"/>
      <c r="P67" s="39"/>
      <c r="Q67" s="42"/>
      <c r="R67" s="41"/>
      <c r="S67" s="1299"/>
      <c r="T67" s="2235">
        <f>'XM.FILE GOC'!BE16</f>
        <v>15.2</v>
      </c>
      <c r="U67" s="1300"/>
      <c r="V67" s="1301"/>
      <c r="W67" s="2237">
        <f>H67</f>
        <v>15.1</v>
      </c>
      <c r="X67" s="1303"/>
      <c r="Y67" s="1304"/>
      <c r="Z67" s="1300"/>
      <c r="AA67" s="1300"/>
      <c r="AB67" s="1301"/>
      <c r="AC67" s="1305"/>
      <c r="AD67" s="1303"/>
      <c r="AE67" s="1304"/>
      <c r="AF67" s="1300"/>
      <c r="AG67" s="1300"/>
      <c r="AH67" s="1301"/>
      <c r="AI67" s="1305"/>
      <c r="AJ67" s="1303"/>
      <c r="AK67" s="1304"/>
      <c r="AL67" s="1300"/>
      <c r="AM67" s="1300"/>
      <c r="AN67" s="1301"/>
      <c r="AO67" s="1305"/>
      <c r="AP67" s="1303"/>
      <c r="AQ67" s="274" t="s">
        <v>477</v>
      </c>
    </row>
    <row r="68" spans="1:43" ht="34.5" customHeight="1">
      <c r="A68" s="1255" t="s">
        <v>502</v>
      </c>
      <c r="B68" s="3150" t="s">
        <v>376</v>
      </c>
      <c r="C68" s="3152"/>
      <c r="D68" s="47" t="s">
        <v>3</v>
      </c>
      <c r="E68" s="448" t="s">
        <v>377</v>
      </c>
      <c r="F68" s="1307">
        <v>12</v>
      </c>
      <c r="G68" s="1279"/>
      <c r="H68" s="449">
        <v>11.6</v>
      </c>
      <c r="I68" s="35">
        <f>($F$68-H68)*2295/100</f>
        <v>9.1800000000000086</v>
      </c>
      <c r="J68" s="39" t="s">
        <v>8</v>
      </c>
      <c r="K68" s="42">
        <f>IFERROR(IF(I68&lt;0,0,I68),"")</f>
        <v>9.1800000000000086</v>
      </c>
      <c r="L68" s="41" t="s">
        <v>10</v>
      </c>
      <c r="M68" s="92"/>
      <c r="N68" s="42"/>
      <c r="O68" s="35"/>
      <c r="P68" s="39"/>
      <c r="Q68" s="42"/>
      <c r="R68" s="41"/>
      <c r="S68" s="1299"/>
      <c r="T68" s="2235">
        <f>'XM.FILE GOC'!BE17</f>
        <v>11.7</v>
      </c>
      <c r="U68" s="1300"/>
      <c r="V68" s="1301"/>
      <c r="W68" s="2237">
        <f t="shared" ref="W68:W72" si="5">H68</f>
        <v>11.6</v>
      </c>
      <c r="X68" s="1303"/>
      <c r="Y68" s="1304"/>
      <c r="Z68" s="1300"/>
      <c r="AA68" s="1300"/>
      <c r="AB68" s="1301"/>
      <c r="AC68" s="1305"/>
      <c r="AD68" s="1303"/>
      <c r="AE68" s="1304"/>
      <c r="AF68" s="1300"/>
      <c r="AG68" s="1300"/>
      <c r="AH68" s="1301"/>
      <c r="AI68" s="1305"/>
      <c r="AJ68" s="1303"/>
      <c r="AK68" s="1304"/>
      <c r="AL68" s="1300"/>
      <c r="AM68" s="1300"/>
      <c r="AN68" s="1301"/>
      <c r="AO68" s="1305"/>
      <c r="AP68" s="1303"/>
      <c r="AQ68" s="274" t="s">
        <v>477</v>
      </c>
    </row>
    <row r="69" spans="1:43" ht="34.5" hidden="1" customHeight="1">
      <c r="A69" s="1255" t="s">
        <v>503</v>
      </c>
      <c r="B69" s="3150" t="s">
        <v>378</v>
      </c>
      <c r="C69" s="3152"/>
      <c r="D69" s="47" t="s">
        <v>3</v>
      </c>
      <c r="E69" s="448" t="s">
        <v>375</v>
      </c>
      <c r="F69" s="1307">
        <v>15</v>
      </c>
      <c r="G69" s="1279"/>
      <c r="H69" s="450" t="str">
        <f>IFERROR('ED-XI DEN'!L17*100,"")</f>
        <v/>
      </c>
      <c r="I69" s="35" t="e">
        <f>($F$69-H69)*2295/100</f>
        <v>#VALUE!</v>
      </c>
      <c r="J69" s="39" t="s">
        <v>8</v>
      </c>
      <c r="K69" s="42" t="str">
        <f t="shared" ref="K69:K70" si="6">IFERROR(IF(I69&lt;0,0,I69),"")</f>
        <v/>
      </c>
      <c r="L69" s="41" t="s">
        <v>10</v>
      </c>
      <c r="M69" s="92"/>
      <c r="N69" s="42"/>
      <c r="O69" s="35"/>
      <c r="P69" s="39"/>
      <c r="Q69" s="42"/>
      <c r="R69" s="41"/>
      <c r="S69" s="1299"/>
      <c r="T69" s="2235" t="str">
        <f>'XM.FILE GOC'!BE18</f>
        <v/>
      </c>
      <c r="U69" s="1300"/>
      <c r="V69" s="1301"/>
      <c r="W69" s="2237" t="str">
        <f t="shared" si="5"/>
        <v/>
      </c>
      <c r="X69" s="1303"/>
      <c r="Y69" s="1304"/>
      <c r="Z69" s="1300"/>
      <c r="AA69" s="1300"/>
      <c r="AB69" s="1301"/>
      <c r="AC69" s="1305"/>
      <c r="AD69" s="1303"/>
      <c r="AE69" s="1304"/>
      <c r="AF69" s="1300"/>
      <c r="AG69" s="1300"/>
      <c r="AH69" s="1301"/>
      <c r="AI69" s="1305"/>
      <c r="AJ69" s="1303"/>
      <c r="AK69" s="1304"/>
      <c r="AL69" s="1300"/>
      <c r="AM69" s="1300"/>
      <c r="AN69" s="1301"/>
      <c r="AO69" s="1305"/>
      <c r="AP69" s="1303"/>
      <c r="AQ69" s="274" t="s">
        <v>477</v>
      </c>
    </row>
    <row r="70" spans="1:43" ht="34.5" hidden="1" customHeight="1">
      <c r="A70" s="1255" t="s">
        <v>504</v>
      </c>
      <c r="B70" s="3150" t="s">
        <v>379</v>
      </c>
      <c r="C70" s="3152"/>
      <c r="D70" s="47" t="s">
        <v>3</v>
      </c>
      <c r="E70" s="448" t="s">
        <v>377</v>
      </c>
      <c r="F70" s="1307">
        <v>12</v>
      </c>
      <c r="G70" s="1279"/>
      <c r="H70" s="450" t="str">
        <f>IFERROR('ED-XI DEN'!L18*100,"")</f>
        <v/>
      </c>
      <c r="I70" s="35" t="e">
        <f>($F$70-H70)*2295/100</f>
        <v>#VALUE!</v>
      </c>
      <c r="J70" s="39" t="s">
        <v>8</v>
      </c>
      <c r="K70" s="42" t="str">
        <f t="shared" si="6"/>
        <v/>
      </c>
      <c r="L70" s="41" t="s">
        <v>10</v>
      </c>
      <c r="M70" s="92"/>
      <c r="N70" s="42"/>
      <c r="O70" s="35"/>
      <c r="P70" s="39"/>
      <c r="Q70" s="42"/>
      <c r="R70" s="41"/>
      <c r="S70" s="1299"/>
      <c r="T70" s="2235" t="str">
        <f>'XM.FILE GOC'!BE19</f>
        <v/>
      </c>
      <c r="U70" s="1300"/>
      <c r="V70" s="1301"/>
      <c r="W70" s="2237" t="str">
        <f t="shared" si="5"/>
        <v/>
      </c>
      <c r="X70" s="1303"/>
      <c r="Y70" s="1304"/>
      <c r="Z70" s="1300"/>
      <c r="AA70" s="1300"/>
      <c r="AB70" s="1301"/>
      <c r="AC70" s="1305"/>
      <c r="AD70" s="1303"/>
      <c r="AE70" s="1304"/>
      <c r="AF70" s="1300"/>
      <c r="AG70" s="1300"/>
      <c r="AH70" s="1301"/>
      <c r="AI70" s="1305"/>
      <c r="AJ70" s="1303"/>
      <c r="AK70" s="1304"/>
      <c r="AL70" s="1300"/>
      <c r="AM70" s="1300"/>
      <c r="AN70" s="1301"/>
      <c r="AO70" s="1305"/>
      <c r="AP70" s="1303"/>
      <c r="AQ70" s="274" t="s">
        <v>477</v>
      </c>
    </row>
    <row r="71" spans="1:43" ht="34.5" customHeight="1">
      <c r="A71" s="1255" t="s">
        <v>505</v>
      </c>
      <c r="B71" s="3150" t="s">
        <v>380</v>
      </c>
      <c r="C71" s="3152"/>
      <c r="D71" s="47" t="s">
        <v>3</v>
      </c>
      <c r="E71" s="107" t="s">
        <v>381</v>
      </c>
      <c r="F71" s="1308"/>
      <c r="G71" s="1309"/>
      <c r="H71" s="62">
        <v>2.2000000000000002</v>
      </c>
      <c r="I71" s="1310"/>
      <c r="J71" s="39"/>
      <c r="K71" s="42"/>
      <c r="L71" s="41"/>
      <c r="M71" s="92">
        <f>R.HN!D49</f>
        <v>0</v>
      </c>
      <c r="N71" s="42"/>
      <c r="O71" s="35"/>
      <c r="P71" s="39"/>
      <c r="Q71" s="42"/>
      <c r="R71" s="41"/>
      <c r="S71" s="1299"/>
      <c r="T71" s="2235">
        <f>'XM.FILE GOC'!BE20</f>
        <v>2.2999999999999998</v>
      </c>
      <c r="U71" s="1300"/>
      <c r="V71" s="1301"/>
      <c r="W71" s="2237">
        <f t="shared" si="5"/>
        <v>2.2000000000000002</v>
      </c>
      <c r="X71" s="1303"/>
      <c r="Y71" s="1304"/>
      <c r="Z71" s="1300"/>
      <c r="AA71" s="1300"/>
      <c r="AB71" s="1301"/>
      <c r="AC71" s="1305"/>
      <c r="AD71" s="1303"/>
      <c r="AE71" s="1304"/>
      <c r="AF71" s="1300"/>
      <c r="AG71" s="1300"/>
      <c r="AH71" s="1301"/>
      <c r="AI71" s="1305"/>
      <c r="AJ71" s="1303"/>
      <c r="AK71" s="1304"/>
      <c r="AL71" s="1300"/>
      <c r="AM71" s="1300"/>
      <c r="AN71" s="1301"/>
      <c r="AO71" s="1305"/>
      <c r="AP71" s="1303"/>
      <c r="AQ71" s="274" t="s">
        <v>477</v>
      </c>
    </row>
    <row r="72" spans="1:43" ht="34.5" customHeight="1">
      <c r="A72" s="1255" t="s">
        <v>506</v>
      </c>
      <c r="B72" s="3150" t="s">
        <v>383</v>
      </c>
      <c r="C72" s="3152"/>
      <c r="D72" s="47" t="s">
        <v>3</v>
      </c>
      <c r="E72" s="107" t="s">
        <v>384</v>
      </c>
      <c r="F72" s="1308"/>
      <c r="G72" s="1309"/>
      <c r="H72" s="62">
        <v>1.9</v>
      </c>
      <c r="I72" s="1310"/>
      <c r="J72" s="39"/>
      <c r="K72" s="42"/>
      <c r="L72" s="41"/>
      <c r="M72" s="92">
        <f>R.HN!D50</f>
        <v>0.875</v>
      </c>
      <c r="N72" s="42"/>
      <c r="O72" s="35"/>
      <c r="P72" s="39"/>
      <c r="Q72" s="42"/>
      <c r="R72" s="41"/>
      <c r="S72" s="1299"/>
      <c r="T72" s="2235">
        <f>'XM.FILE GOC'!BE21</f>
        <v>1.8</v>
      </c>
      <c r="U72" s="1300"/>
      <c r="V72" s="1301"/>
      <c r="W72" s="2237">
        <f t="shared" si="5"/>
        <v>1.9</v>
      </c>
      <c r="X72" s="1303"/>
      <c r="Y72" s="1304"/>
      <c r="Z72" s="1300"/>
      <c r="AA72" s="1300"/>
      <c r="AB72" s="1301"/>
      <c r="AC72" s="1305"/>
      <c r="AD72" s="1303"/>
      <c r="AE72" s="1304"/>
      <c r="AF72" s="1300"/>
      <c r="AG72" s="1300"/>
      <c r="AH72" s="1301"/>
      <c r="AI72" s="1305"/>
      <c r="AJ72" s="1303"/>
      <c r="AK72" s="1304"/>
      <c r="AL72" s="1300"/>
      <c r="AM72" s="1300"/>
      <c r="AN72" s="1301"/>
      <c r="AO72" s="1305"/>
      <c r="AP72" s="1303"/>
      <c r="AQ72" s="274" t="s">
        <v>477</v>
      </c>
    </row>
    <row r="73" spans="1:43" ht="33" customHeight="1">
      <c r="A73" s="295" t="s">
        <v>74</v>
      </c>
      <c r="B73" s="296"/>
      <c r="C73" s="296"/>
      <c r="D73" s="296"/>
      <c r="E73" s="293"/>
      <c r="F73" s="296"/>
      <c r="G73" s="296"/>
      <c r="H73" s="296"/>
      <c r="I73" s="296"/>
      <c r="J73" s="296"/>
      <c r="K73" s="296"/>
      <c r="L73" s="296"/>
      <c r="M73" s="296"/>
      <c r="N73" s="297"/>
      <c r="O73" s="296"/>
      <c r="P73" s="296"/>
      <c r="Q73" s="296"/>
      <c r="R73" s="297"/>
      <c r="S73" s="296"/>
      <c r="T73" s="1300"/>
      <c r="U73" s="1300"/>
      <c r="V73" s="1301"/>
      <c r="W73" s="1305"/>
      <c r="X73" s="1303"/>
      <c r="Y73" s="1304"/>
      <c r="Z73" s="1300"/>
      <c r="AA73" s="1300"/>
      <c r="AB73" s="1301"/>
      <c r="AC73" s="1305"/>
      <c r="AD73" s="1303"/>
      <c r="AE73" s="1304"/>
      <c r="AF73" s="1300"/>
      <c r="AG73" s="1300"/>
      <c r="AH73" s="1301"/>
      <c r="AI73" s="1305"/>
      <c r="AJ73" s="1303"/>
      <c r="AK73" s="1304"/>
      <c r="AL73" s="1300"/>
      <c r="AM73" s="1300"/>
      <c r="AN73" s="1301"/>
      <c r="AO73" s="1305"/>
      <c r="AP73" s="1303"/>
    </row>
    <row r="74" spans="1:43" ht="47.25" customHeight="1">
      <c r="A74" s="1255" t="s">
        <v>239</v>
      </c>
      <c r="B74" s="3150" t="s">
        <v>62</v>
      </c>
      <c r="C74" s="3152"/>
      <c r="D74" s="288" t="s">
        <v>64</v>
      </c>
      <c r="E74" s="288" t="s">
        <v>65</v>
      </c>
      <c r="F74" s="1284"/>
      <c r="G74" s="1284"/>
      <c r="H74" s="290" t="s">
        <v>46</v>
      </c>
      <c r="I74" s="291"/>
      <c r="J74" s="291"/>
      <c r="K74" s="290" t="s">
        <v>63</v>
      </c>
      <c r="L74" s="304"/>
      <c r="M74" s="288"/>
      <c r="N74" s="290" t="s">
        <v>46</v>
      </c>
      <c r="O74" s="291"/>
      <c r="P74" s="291"/>
      <c r="Q74" s="290" t="s">
        <v>63</v>
      </c>
      <c r="R74" s="304"/>
      <c r="S74" s="1253"/>
      <c r="T74" s="1300"/>
      <c r="U74" s="1300"/>
      <c r="V74" s="1301"/>
      <c r="W74" s="1305"/>
      <c r="X74" s="1303"/>
      <c r="Y74" s="1304"/>
      <c r="Z74" s="1300"/>
      <c r="AA74" s="1300"/>
      <c r="AB74" s="1301"/>
      <c r="AC74" s="1305"/>
      <c r="AD74" s="1303"/>
      <c r="AE74" s="1304"/>
      <c r="AF74" s="1300"/>
      <c r="AG74" s="1300"/>
      <c r="AH74" s="1301"/>
      <c r="AI74" s="1305"/>
      <c r="AJ74" s="1303"/>
      <c r="AK74" s="1304"/>
      <c r="AL74" s="1300"/>
      <c r="AM74" s="1300"/>
      <c r="AN74" s="1301"/>
      <c r="AO74" s="1305"/>
      <c r="AP74" s="1303"/>
      <c r="AQ74" s="274" t="s">
        <v>477</v>
      </c>
    </row>
    <row r="75" spans="1:43" ht="41.25" customHeight="1">
      <c r="A75" s="1255" t="s">
        <v>507</v>
      </c>
      <c r="B75" s="3150" t="s">
        <v>475</v>
      </c>
      <c r="C75" s="3152"/>
      <c r="D75" s="21" t="s">
        <v>106</v>
      </c>
      <c r="E75" s="107" t="s">
        <v>508</v>
      </c>
      <c r="F75" s="100"/>
      <c r="G75" s="100"/>
      <c r="H75" s="2831">
        <v>56</v>
      </c>
      <c r="I75" s="2832"/>
      <c r="J75" s="2833"/>
      <c r="K75" s="2831">
        <v>59</v>
      </c>
      <c r="L75" s="2832"/>
      <c r="M75" s="1311"/>
      <c r="N75" s="2831">
        <v>58</v>
      </c>
      <c r="O75" s="2832"/>
      <c r="P75" s="2833"/>
      <c r="Q75" s="2831">
        <v>60</v>
      </c>
      <c r="R75" s="2833"/>
      <c r="S75" s="1249"/>
      <c r="T75" s="1300"/>
      <c r="U75" s="1300"/>
      <c r="V75" s="1301"/>
      <c r="W75" s="1305"/>
      <c r="X75" s="1303"/>
      <c r="Y75" s="1304"/>
      <c r="Z75" s="1300"/>
      <c r="AA75" s="1300"/>
      <c r="AB75" s="1301"/>
      <c r="AC75" s="1305"/>
      <c r="AD75" s="1303"/>
      <c r="AE75" s="1304"/>
      <c r="AF75" s="1300"/>
      <c r="AG75" s="1300"/>
      <c r="AH75" s="1301"/>
      <c r="AI75" s="1305"/>
      <c r="AJ75" s="1303"/>
      <c r="AK75" s="1304"/>
      <c r="AL75" s="1300"/>
      <c r="AM75" s="1300"/>
      <c r="AN75" s="1301"/>
      <c r="AO75" s="1305"/>
      <c r="AP75" s="1303"/>
      <c r="AQ75" s="274" t="s">
        <v>477</v>
      </c>
    </row>
    <row r="76" spans="1:43" ht="41.25" customHeight="1">
      <c r="A76" s="1255" t="s">
        <v>509</v>
      </c>
      <c r="B76" s="3150" t="s">
        <v>479</v>
      </c>
      <c r="C76" s="3152"/>
      <c r="D76" s="21" t="s">
        <v>106</v>
      </c>
      <c r="E76" s="107" t="s">
        <v>508</v>
      </c>
      <c r="F76" s="100"/>
      <c r="G76" s="100"/>
      <c r="H76" s="2831">
        <v>61</v>
      </c>
      <c r="I76" s="2832"/>
      <c r="J76" s="2833"/>
      <c r="K76" s="2831">
        <v>59</v>
      </c>
      <c r="L76" s="2832"/>
      <c r="M76" s="1311"/>
      <c r="N76" s="2831">
        <v>61</v>
      </c>
      <c r="O76" s="2832"/>
      <c r="P76" s="2833"/>
      <c r="Q76" s="2831">
        <v>59</v>
      </c>
      <c r="R76" s="2833"/>
      <c r="S76" s="1249"/>
      <c r="T76" s="1300"/>
      <c r="U76" s="1300"/>
      <c r="V76" s="1301"/>
      <c r="W76" s="1305"/>
      <c r="X76" s="1303"/>
      <c r="Y76" s="1304"/>
      <c r="Z76" s="1300"/>
      <c r="AA76" s="1300"/>
      <c r="AB76" s="1301"/>
      <c r="AC76" s="1305"/>
      <c r="AD76" s="1303"/>
      <c r="AE76" s="1304"/>
      <c r="AF76" s="1300"/>
      <c r="AG76" s="1300"/>
      <c r="AH76" s="1301"/>
      <c r="AI76" s="1305"/>
      <c r="AJ76" s="1303"/>
      <c r="AK76" s="1304"/>
      <c r="AL76" s="1300"/>
      <c r="AM76" s="1300"/>
      <c r="AN76" s="1301"/>
      <c r="AO76" s="1305"/>
      <c r="AP76" s="1303"/>
      <c r="AQ76" s="274" t="s">
        <v>477</v>
      </c>
    </row>
    <row r="77" spans="1:43" ht="41.25" customHeight="1">
      <c r="A77" s="1255" t="s">
        <v>510</v>
      </c>
      <c r="B77" s="3150" t="s">
        <v>481</v>
      </c>
      <c r="C77" s="3152"/>
      <c r="D77" s="21" t="s">
        <v>106</v>
      </c>
      <c r="E77" s="107" t="s">
        <v>508</v>
      </c>
      <c r="F77" s="1290"/>
      <c r="G77" s="1290"/>
      <c r="H77" s="2831">
        <v>58</v>
      </c>
      <c r="I77" s="2832"/>
      <c r="J77" s="2833"/>
      <c r="K77" s="2831">
        <v>59</v>
      </c>
      <c r="L77" s="2832"/>
      <c r="M77" s="1311"/>
      <c r="N77" s="2831">
        <v>58</v>
      </c>
      <c r="O77" s="2832"/>
      <c r="P77" s="2833"/>
      <c r="Q77" s="2831">
        <v>59</v>
      </c>
      <c r="R77" s="2833"/>
      <c r="S77" s="1249"/>
      <c r="T77" s="1312"/>
      <c r="U77" s="1312"/>
      <c r="V77" s="1312"/>
      <c r="W77" s="1312"/>
      <c r="X77" s="105"/>
      <c r="Y77" s="105"/>
      <c r="Z77" s="1312"/>
      <c r="AA77" s="1312"/>
      <c r="AB77" s="1312"/>
      <c r="AC77" s="1312"/>
      <c r="AD77" s="105"/>
      <c r="AE77" s="105"/>
      <c r="AF77" s="1312"/>
      <c r="AG77" s="1312"/>
      <c r="AH77" s="1312"/>
      <c r="AI77" s="1312"/>
      <c r="AJ77" s="105"/>
      <c r="AK77" s="105"/>
      <c r="AL77" s="1312"/>
      <c r="AM77" s="1312"/>
      <c r="AN77" s="1312"/>
      <c r="AO77" s="1312"/>
      <c r="AP77" s="105"/>
      <c r="AQ77" s="274" t="s">
        <v>477</v>
      </c>
    </row>
    <row r="78" spans="1:43" ht="41.25" customHeight="1">
      <c r="A78" s="1255" t="s">
        <v>511</v>
      </c>
      <c r="B78" s="3150" t="s">
        <v>512</v>
      </c>
      <c r="C78" s="3152"/>
      <c r="D78" s="21" t="s">
        <v>106</v>
      </c>
      <c r="E78" s="107" t="s">
        <v>513</v>
      </c>
      <c r="F78" s="1290"/>
      <c r="G78" s="1290"/>
      <c r="H78" s="2831">
        <v>40</v>
      </c>
      <c r="I78" s="2832"/>
      <c r="J78" s="2833"/>
      <c r="K78" s="2831">
        <v>38</v>
      </c>
      <c r="L78" s="2832"/>
      <c r="M78" s="1311"/>
      <c r="N78" s="2831">
        <v>42</v>
      </c>
      <c r="O78" s="2832"/>
      <c r="P78" s="2833"/>
      <c r="Q78" s="2831">
        <v>41</v>
      </c>
      <c r="R78" s="2833"/>
      <c r="S78" s="105"/>
      <c r="T78" s="1312"/>
      <c r="U78" s="1312"/>
      <c r="V78" s="1312"/>
      <c r="W78" s="1312"/>
      <c r="X78" s="105"/>
      <c r="Y78" s="105"/>
      <c r="Z78" s="1312"/>
      <c r="AA78" s="1312"/>
      <c r="AB78" s="1312"/>
      <c r="AC78" s="1312"/>
      <c r="AD78" s="105"/>
      <c r="AE78" s="105"/>
      <c r="AF78" s="1312"/>
      <c r="AG78" s="1312"/>
      <c r="AH78" s="1312"/>
      <c r="AI78" s="1312"/>
      <c r="AJ78" s="105"/>
      <c r="AK78" s="105"/>
      <c r="AL78" s="1312"/>
      <c r="AM78" s="1312"/>
      <c r="AN78" s="1312"/>
      <c r="AO78" s="1312"/>
      <c r="AP78" s="105"/>
      <c r="AQ78" s="274" t="s">
        <v>477</v>
      </c>
    </row>
    <row r="79" spans="1:43" ht="41.25" customHeight="1">
      <c r="A79" s="1255" t="s">
        <v>514</v>
      </c>
      <c r="B79" s="3150" t="s">
        <v>515</v>
      </c>
      <c r="C79" s="3152"/>
      <c r="D79" s="21" t="s">
        <v>106</v>
      </c>
      <c r="E79" s="107" t="s">
        <v>516</v>
      </c>
      <c r="F79" s="1290"/>
      <c r="G79" s="1290"/>
      <c r="H79" s="2831">
        <v>30</v>
      </c>
      <c r="I79" s="2832"/>
      <c r="J79" s="2833"/>
      <c r="K79" s="2831">
        <v>26</v>
      </c>
      <c r="L79" s="2832"/>
      <c r="M79" s="1311"/>
      <c r="N79" s="2831">
        <v>29</v>
      </c>
      <c r="O79" s="2832"/>
      <c r="P79" s="2833"/>
      <c r="Q79" s="2831">
        <v>25</v>
      </c>
      <c r="R79" s="2833"/>
      <c r="S79" s="105"/>
      <c r="T79" s="1312"/>
      <c r="U79" s="1312"/>
      <c r="V79" s="1312"/>
      <c r="W79" s="1312"/>
      <c r="X79" s="105"/>
      <c r="Y79" s="105"/>
      <c r="Z79" s="1312"/>
      <c r="AA79" s="1312"/>
      <c r="AB79" s="1312"/>
      <c r="AC79" s="1312"/>
      <c r="AD79" s="105"/>
      <c r="AE79" s="105"/>
      <c r="AF79" s="1312"/>
      <c r="AG79" s="1312"/>
      <c r="AH79" s="1312"/>
      <c r="AI79" s="1312"/>
      <c r="AJ79" s="105"/>
      <c r="AK79" s="105"/>
      <c r="AL79" s="1312"/>
      <c r="AM79" s="1312"/>
      <c r="AN79" s="1312"/>
      <c r="AO79" s="1312"/>
      <c r="AP79" s="105"/>
      <c r="AQ79" s="274" t="s">
        <v>477</v>
      </c>
    </row>
    <row r="80" spans="1:43" ht="41.25" hidden="1" customHeight="1">
      <c r="A80" s="1255" t="s">
        <v>517</v>
      </c>
      <c r="B80" s="3150" t="s">
        <v>518</v>
      </c>
      <c r="C80" s="3152"/>
      <c r="D80" s="21" t="s">
        <v>106</v>
      </c>
      <c r="E80" s="107" t="s">
        <v>516</v>
      </c>
      <c r="F80" s="1290"/>
      <c r="G80" s="1290"/>
      <c r="H80" s="2831"/>
      <c r="I80" s="2832"/>
      <c r="J80" s="2833"/>
      <c r="K80" s="2831"/>
      <c r="L80" s="2832"/>
      <c r="M80" s="1311"/>
      <c r="N80" s="2831"/>
      <c r="O80" s="2832"/>
      <c r="P80" s="2833"/>
      <c r="Q80" s="2831"/>
      <c r="R80" s="2833"/>
      <c r="S80" s="105"/>
      <c r="T80" s="1312"/>
      <c r="U80" s="1312"/>
      <c r="V80" s="1312"/>
      <c r="W80" s="1312"/>
      <c r="X80" s="105"/>
      <c r="Y80" s="105"/>
      <c r="Z80" s="1312"/>
      <c r="AA80" s="1312"/>
      <c r="AB80" s="1312"/>
      <c r="AC80" s="1312"/>
      <c r="AD80" s="105"/>
      <c r="AE80" s="105"/>
      <c r="AF80" s="1312"/>
      <c r="AG80" s="1312"/>
      <c r="AH80" s="1312"/>
      <c r="AI80" s="1312"/>
      <c r="AJ80" s="105"/>
      <c r="AK80" s="105"/>
      <c r="AL80" s="1312"/>
      <c r="AM80" s="1312"/>
      <c r="AN80" s="1312"/>
      <c r="AO80" s="1312"/>
      <c r="AP80" s="105"/>
      <c r="AQ80" s="274" t="s">
        <v>477</v>
      </c>
    </row>
    <row r="81" spans="1:44" ht="38.25" customHeight="1">
      <c r="A81" s="1255" t="s">
        <v>519</v>
      </c>
      <c r="B81" s="3150" t="s">
        <v>520</v>
      </c>
      <c r="C81" s="3152"/>
      <c r="D81" s="21" t="s">
        <v>106</v>
      </c>
      <c r="E81" s="107" t="s">
        <v>521</v>
      </c>
      <c r="F81" s="1290"/>
      <c r="G81" s="1290"/>
      <c r="H81" s="3112" t="s">
        <v>48</v>
      </c>
      <c r="I81" s="3113"/>
      <c r="J81" s="3114"/>
      <c r="K81" s="2831">
        <v>171</v>
      </c>
      <c r="L81" s="2832"/>
      <c r="M81" s="1311"/>
      <c r="N81" s="3112" t="s">
        <v>48</v>
      </c>
      <c r="O81" s="3113"/>
      <c r="P81" s="3114"/>
      <c r="Q81" s="2831">
        <v>178</v>
      </c>
      <c r="R81" s="2833"/>
      <c r="S81" s="105"/>
      <c r="T81" s="1313"/>
      <c r="U81" s="1313"/>
      <c r="V81" s="1313"/>
      <c r="W81" s="1313"/>
      <c r="X81" s="105"/>
      <c r="Y81" s="105"/>
      <c r="Z81" s="1313"/>
      <c r="AA81" s="1313"/>
      <c r="AB81" s="1313"/>
      <c r="AC81" s="1313"/>
      <c r="AD81" s="105"/>
      <c r="AE81" s="105"/>
      <c r="AF81" s="1313"/>
      <c r="AG81" s="1313"/>
      <c r="AH81" s="1313"/>
      <c r="AI81" s="1313"/>
      <c r="AJ81" s="105"/>
      <c r="AK81" s="105"/>
      <c r="AL81" s="1313"/>
      <c r="AM81" s="1313"/>
      <c r="AN81" s="1313"/>
      <c r="AO81" s="1313"/>
      <c r="AP81" s="105"/>
      <c r="AQ81" s="274" t="s">
        <v>477</v>
      </c>
    </row>
    <row r="82" spans="1:44" s="19" customFormat="1" ht="47.25" hidden="1" customHeight="1">
      <c r="A82" s="451"/>
      <c r="B82" s="1314"/>
      <c r="C82" s="1315"/>
      <c r="D82" s="1315"/>
      <c r="E82" s="1315"/>
      <c r="F82" s="1315"/>
      <c r="G82" s="1315"/>
      <c r="H82" s="1316" t="s">
        <v>522</v>
      </c>
      <c r="I82" s="1315"/>
      <c r="J82" s="1315"/>
      <c r="K82" s="1315"/>
      <c r="L82" s="1315"/>
      <c r="M82" s="1315"/>
      <c r="N82" s="1315"/>
      <c r="O82" s="1315"/>
      <c r="P82" s="1315"/>
      <c r="Q82" s="1315"/>
      <c r="R82" s="1315"/>
      <c r="S82" s="1315"/>
      <c r="T82" s="1317"/>
      <c r="U82" s="1317"/>
      <c r="V82" s="1317"/>
      <c r="W82" s="1317"/>
      <c r="X82" s="1317"/>
      <c r="Y82" s="1317"/>
      <c r="Z82" s="1317"/>
      <c r="AA82" s="1317"/>
      <c r="AB82" s="1317"/>
      <c r="AC82" s="1317"/>
      <c r="AD82" s="1317"/>
      <c r="AE82" s="1317"/>
      <c r="AF82" s="1317"/>
      <c r="AG82" s="1317"/>
      <c r="AH82" s="1317"/>
      <c r="AI82" s="1317"/>
      <c r="AJ82" s="1317"/>
      <c r="AK82" s="1317"/>
      <c r="AL82" s="1317"/>
      <c r="AM82" s="1317"/>
      <c r="AN82" s="1317"/>
      <c r="AO82" s="1317"/>
      <c r="AP82" s="1317"/>
      <c r="AQ82" s="274" t="s">
        <v>477</v>
      </c>
      <c r="AR82" s="274"/>
    </row>
    <row r="83" spans="1:44" s="19" customFormat="1" ht="47.25" hidden="1" customHeight="1">
      <c r="A83" s="456"/>
      <c r="B83" s="3150" t="s">
        <v>522</v>
      </c>
      <c r="C83" s="3152"/>
      <c r="D83" s="47" t="s">
        <v>523</v>
      </c>
      <c r="E83" s="107" t="s">
        <v>524</v>
      </c>
      <c r="F83" s="100"/>
      <c r="G83" s="100" t="s">
        <v>523</v>
      </c>
      <c r="H83" s="2831"/>
      <c r="I83" s="2832"/>
      <c r="J83" s="2832"/>
      <c r="K83" s="2832"/>
      <c r="L83" s="2832"/>
      <c r="M83" s="1248"/>
      <c r="N83" s="2831"/>
      <c r="O83" s="2832"/>
      <c r="P83" s="2832"/>
      <c r="Q83" s="2832"/>
      <c r="R83" s="2832"/>
      <c r="S83" s="636"/>
      <c r="T83" s="3314"/>
      <c r="U83" s="3314"/>
      <c r="V83" s="3314"/>
      <c r="W83" s="3314"/>
      <c r="X83" s="3314"/>
      <c r="Y83" s="1312"/>
      <c r="Z83" s="3314"/>
      <c r="AA83" s="3314"/>
      <c r="AB83" s="3314"/>
      <c r="AC83" s="3314"/>
      <c r="AD83" s="3314"/>
      <c r="AE83" s="1312"/>
      <c r="AF83" s="3314"/>
      <c r="AG83" s="3314"/>
      <c r="AH83" s="3314"/>
      <c r="AI83" s="3314"/>
      <c r="AJ83" s="3314"/>
      <c r="AK83" s="1312"/>
      <c r="AL83" s="3314"/>
      <c r="AM83" s="3314"/>
      <c r="AN83" s="3314"/>
      <c r="AO83" s="3314"/>
      <c r="AP83" s="3314"/>
      <c r="AQ83" s="274" t="s">
        <v>477</v>
      </c>
      <c r="AR83" s="274"/>
    </row>
    <row r="84" spans="1:44" s="19" customFormat="1" ht="47.25" hidden="1" customHeight="1">
      <c r="A84" s="456"/>
      <c r="B84" s="3150" t="s">
        <v>525</v>
      </c>
      <c r="C84" s="3152"/>
      <c r="D84" s="47" t="s">
        <v>523</v>
      </c>
      <c r="E84" s="107" t="s">
        <v>526</v>
      </c>
      <c r="F84" s="100"/>
      <c r="G84" s="100" t="s">
        <v>523</v>
      </c>
      <c r="H84" s="2831"/>
      <c r="I84" s="2832"/>
      <c r="J84" s="2832"/>
      <c r="K84" s="2832"/>
      <c r="L84" s="2832"/>
      <c r="M84" s="1248"/>
      <c r="N84" s="2831"/>
      <c r="O84" s="2832"/>
      <c r="P84" s="2832"/>
      <c r="Q84" s="2832"/>
      <c r="R84" s="2832"/>
      <c r="S84" s="636"/>
      <c r="T84" s="3314"/>
      <c r="U84" s="3314"/>
      <c r="V84" s="3314"/>
      <c r="W84" s="3314"/>
      <c r="X84" s="3314"/>
      <c r="Y84" s="1312"/>
      <c r="Z84" s="3314"/>
      <c r="AA84" s="3314"/>
      <c r="AB84" s="3314"/>
      <c r="AC84" s="3314"/>
      <c r="AD84" s="3314"/>
      <c r="AE84" s="1312"/>
      <c r="AF84" s="3314"/>
      <c r="AG84" s="3314"/>
      <c r="AH84" s="3314"/>
      <c r="AI84" s="3314"/>
      <c r="AJ84" s="3314"/>
      <c r="AK84" s="1312"/>
      <c r="AL84" s="3314"/>
      <c r="AM84" s="3314"/>
      <c r="AN84" s="3314"/>
      <c r="AO84" s="3314"/>
      <c r="AP84" s="3314"/>
      <c r="AQ84" s="274" t="s">
        <v>477</v>
      </c>
      <c r="AR84" s="274"/>
    </row>
    <row r="85" spans="1:44" ht="23.25" customHeight="1">
      <c r="A85" s="1318"/>
      <c r="B85" s="1318"/>
      <c r="C85" s="1318"/>
      <c r="D85" s="1318"/>
      <c r="E85" s="1318"/>
      <c r="F85" s="1318"/>
      <c r="G85" s="1318"/>
      <c r="H85" s="1318"/>
      <c r="I85" s="1318"/>
      <c r="J85" s="1318"/>
      <c r="K85" s="1318"/>
      <c r="L85" s="1318"/>
      <c r="M85" s="1318"/>
      <c r="N85" s="1318"/>
      <c r="O85" s="1318"/>
      <c r="P85" s="1318"/>
      <c r="Q85" s="1318"/>
      <c r="R85" s="1318"/>
      <c r="S85" s="1319"/>
      <c r="T85" s="1320"/>
      <c r="U85" s="1320"/>
      <c r="V85" s="1320"/>
      <c r="W85" s="1320"/>
      <c r="X85" s="1320"/>
      <c r="Y85" s="1320"/>
      <c r="Z85" s="1320"/>
      <c r="AA85" s="1320"/>
      <c r="AB85" s="1320"/>
      <c r="AC85" s="1320"/>
      <c r="AD85" s="1320"/>
      <c r="AE85" s="1319"/>
      <c r="AF85" s="1320"/>
      <c r="AG85" s="1320"/>
      <c r="AH85" s="1320"/>
      <c r="AI85" s="1320"/>
      <c r="AJ85" s="1320"/>
      <c r="AK85" s="1320"/>
      <c r="AL85" s="1320"/>
      <c r="AM85" s="1320"/>
      <c r="AN85" s="1320"/>
      <c r="AO85" s="1320"/>
      <c r="AP85" s="1320"/>
    </row>
    <row r="86" spans="1:44" ht="40.5" customHeight="1">
      <c r="A86" s="2108" t="s">
        <v>527</v>
      </c>
      <c r="B86" s="2109"/>
      <c r="C86" s="2109"/>
      <c r="D86" s="2109"/>
      <c r="E86" s="2110"/>
      <c r="F86" s="2111"/>
      <c r="G86" s="2112"/>
      <c r="H86" s="2113" t="s">
        <v>73</v>
      </c>
      <c r="I86" s="2114"/>
      <c r="J86" s="2114"/>
      <c r="K86" s="2114"/>
      <c r="L86" s="2114"/>
      <c r="M86" s="2114"/>
      <c r="N86" s="2114"/>
      <c r="O86" s="2114"/>
      <c r="P86" s="2114"/>
      <c r="Q86" s="2114"/>
      <c r="R86" s="2115"/>
      <c r="S86" s="1293"/>
      <c r="AD86" s="274"/>
      <c r="AP86" s="274"/>
    </row>
    <row r="87" spans="1:44" ht="27.75" customHeight="1">
      <c r="A87" s="437"/>
      <c r="B87" s="3302" t="s">
        <v>77</v>
      </c>
      <c r="C87" s="3303"/>
      <c r="D87" s="3306" t="s">
        <v>125</v>
      </c>
      <c r="E87" s="3308" t="s">
        <v>65</v>
      </c>
      <c r="F87" s="1275"/>
      <c r="G87" s="87"/>
      <c r="H87" s="3315">
        <v>0.375</v>
      </c>
      <c r="I87" s="3315"/>
      <c r="J87" s="3315"/>
      <c r="K87" s="3315"/>
      <c r="L87" s="3315"/>
      <c r="M87" s="1276"/>
      <c r="N87" s="3315">
        <v>0.875</v>
      </c>
      <c r="O87" s="3315"/>
      <c r="P87" s="3315"/>
      <c r="Q87" s="3315"/>
      <c r="R87" s="3315"/>
      <c r="S87" s="1321"/>
      <c r="T87" s="43"/>
      <c r="AD87" s="274"/>
      <c r="AE87" s="1321"/>
      <c r="AF87" s="43"/>
      <c r="AP87" s="274"/>
    </row>
    <row r="88" spans="1:44" ht="43.5" customHeight="1">
      <c r="A88" s="1254" t="s">
        <v>239</v>
      </c>
      <c r="B88" s="3304"/>
      <c r="C88" s="3305"/>
      <c r="D88" s="3307"/>
      <c r="E88" s="3309"/>
      <c r="F88" s="1277" t="s">
        <v>423</v>
      </c>
      <c r="G88" s="1296"/>
      <c r="H88" s="1252" t="s">
        <v>130</v>
      </c>
      <c r="I88" s="34" t="s">
        <v>1</v>
      </c>
      <c r="J88" s="293" t="s">
        <v>1</v>
      </c>
      <c r="K88" s="293"/>
      <c r="L88" s="294"/>
      <c r="M88" s="89"/>
      <c r="N88" s="1252" t="s">
        <v>130</v>
      </c>
      <c r="O88" s="34" t="s">
        <v>1</v>
      </c>
      <c r="P88" s="293" t="s">
        <v>1</v>
      </c>
      <c r="Q88" s="293"/>
      <c r="R88" s="294"/>
      <c r="S88" s="459"/>
      <c r="T88" s="43"/>
      <c r="AD88" s="274"/>
      <c r="AE88" s="459"/>
      <c r="AF88" s="43"/>
      <c r="AP88" s="274"/>
    </row>
    <row r="89" spans="1:44" ht="34.5" customHeight="1">
      <c r="A89" s="1255" t="s">
        <v>528</v>
      </c>
      <c r="B89" s="3316" t="s">
        <v>529</v>
      </c>
      <c r="C89" s="3317"/>
      <c r="D89" s="47" t="s">
        <v>4</v>
      </c>
      <c r="E89" s="1250" t="s">
        <v>530</v>
      </c>
      <c r="F89" s="1322">
        <v>25</v>
      </c>
      <c r="G89" s="1299">
        <f>R.HN!C51</f>
        <v>1.58</v>
      </c>
      <c r="H89" s="35">
        <f>G89*15.8</f>
        <v>24.964000000000002</v>
      </c>
      <c r="I89" s="35">
        <f>($F$89-H89)*1632/1000</f>
        <v>5.8751999999996425E-2</v>
      </c>
      <c r="J89" s="36" t="s">
        <v>8</v>
      </c>
      <c r="K89" s="442">
        <f t="shared" ref="K89:K98" si="7">IF(I89&lt;0,0,I89)</f>
        <v>5.8751999999996425E-2</v>
      </c>
      <c r="L89" s="219" t="s">
        <v>9</v>
      </c>
      <c r="M89" s="252">
        <f>R.HN!D51</f>
        <v>1.44</v>
      </c>
      <c r="N89" s="35">
        <v>24</v>
      </c>
      <c r="O89" s="35">
        <f>($F$89-N89)*1632/1000</f>
        <v>1.6319999999999999</v>
      </c>
      <c r="P89" s="36" t="s">
        <v>8</v>
      </c>
      <c r="Q89" s="442">
        <f t="shared" ref="Q89:Q98" si="8">IF(O89&lt;0,0,O89)</f>
        <v>1.6319999999999999</v>
      </c>
      <c r="R89" s="41" t="s">
        <v>9</v>
      </c>
      <c r="S89" s="462"/>
      <c r="T89" s="43"/>
      <c r="AD89" s="274"/>
      <c r="AE89" s="462"/>
      <c r="AF89" s="43"/>
      <c r="AP89" s="274"/>
      <c r="AQ89" s="274" t="s">
        <v>531</v>
      </c>
    </row>
    <row r="90" spans="1:44" ht="34.5" customHeight="1">
      <c r="A90" s="1255" t="s">
        <v>532</v>
      </c>
      <c r="B90" s="3316" t="s">
        <v>533</v>
      </c>
      <c r="C90" s="3317"/>
      <c r="D90" s="47" t="s">
        <v>4</v>
      </c>
      <c r="E90" s="1250" t="s">
        <v>530</v>
      </c>
      <c r="F90" s="1322">
        <v>25</v>
      </c>
      <c r="G90" s="1299">
        <f>R.HN!C52</f>
        <v>1.7</v>
      </c>
      <c r="H90" s="35">
        <f>G90*15.8</f>
        <v>26.86</v>
      </c>
      <c r="I90" s="35">
        <f>($F$90-H90)*1632/1000</f>
        <v>-3.0355199999999991</v>
      </c>
      <c r="J90" s="36" t="s">
        <v>8</v>
      </c>
      <c r="K90" s="442">
        <f t="shared" si="7"/>
        <v>0</v>
      </c>
      <c r="L90" s="219" t="s">
        <v>9</v>
      </c>
      <c r="M90" s="252">
        <f>R.HN!D52</f>
        <v>1.58</v>
      </c>
      <c r="N90" s="35">
        <f>M90*15.8</f>
        <v>24.964000000000002</v>
      </c>
      <c r="O90" s="35">
        <f>($F$90-N90)*1632/1000</f>
        <v>5.8751999999996425E-2</v>
      </c>
      <c r="P90" s="36" t="s">
        <v>8</v>
      </c>
      <c r="Q90" s="442">
        <f t="shared" si="8"/>
        <v>5.8751999999996425E-2</v>
      </c>
      <c r="R90" s="41" t="s">
        <v>9</v>
      </c>
      <c r="S90" s="462"/>
      <c r="T90" s="43"/>
      <c r="AD90" s="274"/>
      <c r="AE90" s="462"/>
      <c r="AF90" s="43"/>
      <c r="AP90" s="274"/>
      <c r="AQ90" s="274" t="s">
        <v>531</v>
      </c>
    </row>
    <row r="91" spans="1:44" ht="34.5" customHeight="1">
      <c r="A91" s="1255" t="s">
        <v>534</v>
      </c>
      <c r="B91" s="3316" t="s">
        <v>535</v>
      </c>
      <c r="C91" s="3317"/>
      <c r="D91" s="47" t="s">
        <v>56</v>
      </c>
      <c r="E91" s="1250" t="s">
        <v>536</v>
      </c>
      <c r="F91" s="1322">
        <v>250</v>
      </c>
      <c r="G91" s="1299">
        <f>R.HN!C53</f>
        <v>3.35</v>
      </c>
      <c r="H91" s="35">
        <v>245</v>
      </c>
      <c r="I91" s="35">
        <f>($F$91-H91)*1632/1000</f>
        <v>8.16</v>
      </c>
      <c r="J91" s="36" t="s">
        <v>8</v>
      </c>
      <c r="K91" s="442">
        <f t="shared" si="7"/>
        <v>8.16</v>
      </c>
      <c r="L91" s="219" t="s">
        <v>1172</v>
      </c>
      <c r="M91" s="252">
        <f>R.HN!D53</f>
        <v>3.5</v>
      </c>
      <c r="N91" s="35">
        <v>250</v>
      </c>
      <c r="O91" s="35">
        <f>($F$91-N91)*1632/1000</f>
        <v>0</v>
      </c>
      <c r="P91" s="36" t="s">
        <v>8</v>
      </c>
      <c r="Q91" s="442">
        <f t="shared" si="8"/>
        <v>0</v>
      </c>
      <c r="R91" s="41" t="s">
        <v>1172</v>
      </c>
      <c r="S91" s="462"/>
      <c r="T91" s="43"/>
      <c r="AD91" s="274"/>
      <c r="AE91" s="462"/>
      <c r="AF91" s="43"/>
      <c r="AP91" s="274"/>
      <c r="AQ91" s="274" t="s">
        <v>531</v>
      </c>
    </row>
    <row r="92" spans="1:44" ht="34.5" customHeight="1">
      <c r="A92" s="1255" t="s">
        <v>537</v>
      </c>
      <c r="B92" s="3316" t="s">
        <v>1210</v>
      </c>
      <c r="C92" s="3317"/>
      <c r="D92" s="47" t="s">
        <v>4</v>
      </c>
      <c r="E92" s="1250" t="s">
        <v>538</v>
      </c>
      <c r="F92" s="1322">
        <v>130</v>
      </c>
      <c r="G92" s="1299">
        <f>R.HN!C54</f>
        <v>11.6</v>
      </c>
      <c r="H92" s="35">
        <v>140</v>
      </c>
      <c r="I92" s="35">
        <f>($F$92-H92)*1728/1000</f>
        <v>-17.28</v>
      </c>
      <c r="J92" s="36" t="s">
        <v>8</v>
      </c>
      <c r="K92" s="442">
        <f t="shared" si="7"/>
        <v>0</v>
      </c>
      <c r="L92" s="219" t="s">
        <v>9</v>
      </c>
      <c r="M92" s="252">
        <f>R.HN!D54</f>
        <v>12.3</v>
      </c>
      <c r="N92" s="35">
        <v>138</v>
      </c>
      <c r="O92" s="35">
        <f>($F$92-N92)*1728/1000</f>
        <v>-13.824</v>
      </c>
      <c r="P92" s="36" t="s">
        <v>8</v>
      </c>
      <c r="Q92" s="442">
        <f t="shared" si="8"/>
        <v>0</v>
      </c>
      <c r="R92" s="41" t="s">
        <v>9</v>
      </c>
      <c r="S92" s="462"/>
      <c r="T92" s="43"/>
      <c r="AD92" s="274"/>
      <c r="AE92" s="462"/>
      <c r="AF92" s="43"/>
      <c r="AP92" s="274"/>
      <c r="AQ92" s="274" t="s">
        <v>531</v>
      </c>
    </row>
    <row r="93" spans="1:44" ht="34.5" customHeight="1">
      <c r="A93" s="1255" t="s">
        <v>539</v>
      </c>
      <c r="B93" s="3316" t="s">
        <v>1211</v>
      </c>
      <c r="C93" s="3317"/>
      <c r="D93" s="47" t="s">
        <v>4</v>
      </c>
      <c r="E93" s="1250" t="s">
        <v>540</v>
      </c>
      <c r="F93" s="90"/>
      <c r="G93" s="1299">
        <f>R.HN!C55</f>
        <v>8.1999999999999993</v>
      </c>
      <c r="H93" s="35">
        <f>(G92-G93)*1.25</f>
        <v>4.25</v>
      </c>
      <c r="I93" s="35" t="s">
        <v>435</v>
      </c>
      <c r="J93" s="36" t="s">
        <v>8</v>
      </c>
      <c r="K93" s="442" t="str">
        <f t="shared" si="7"/>
        <v>N/A</v>
      </c>
      <c r="L93" s="219" t="s">
        <v>9</v>
      </c>
      <c r="M93" s="252">
        <f>R.HN!D55</f>
        <v>8.1</v>
      </c>
      <c r="N93" s="35">
        <v>4.4000000000000004</v>
      </c>
      <c r="O93" s="35" t="s">
        <v>435</v>
      </c>
      <c r="P93" s="36" t="s">
        <v>8</v>
      </c>
      <c r="Q93" s="442" t="str">
        <f t="shared" si="8"/>
        <v>N/A</v>
      </c>
      <c r="R93" s="41" t="s">
        <v>9</v>
      </c>
      <c r="S93" s="462"/>
      <c r="T93" s="43"/>
      <c r="AD93" s="274"/>
      <c r="AE93" s="462"/>
      <c r="AF93" s="43"/>
      <c r="AP93" s="274"/>
      <c r="AQ93" s="274" t="s">
        <v>531</v>
      </c>
    </row>
    <row r="94" spans="1:44" ht="34.5" customHeight="1">
      <c r="A94" s="1255" t="s">
        <v>541</v>
      </c>
      <c r="B94" s="3316" t="s">
        <v>1212</v>
      </c>
      <c r="C94" s="3317"/>
      <c r="D94" s="47" t="s">
        <v>4</v>
      </c>
      <c r="E94" s="1250" t="s">
        <v>538</v>
      </c>
      <c r="F94" s="90">
        <v>130</v>
      </c>
      <c r="G94" s="1299">
        <f>R.HN!C56</f>
        <v>11.2</v>
      </c>
      <c r="H94" s="35">
        <f>G94*12.5</f>
        <v>140</v>
      </c>
      <c r="I94" s="35">
        <f>($F$94-H94)*1728/1000</f>
        <v>-17.28</v>
      </c>
      <c r="J94" s="36" t="s">
        <v>8</v>
      </c>
      <c r="K94" s="442">
        <f>IF(I94&lt;0,0,I94)</f>
        <v>0</v>
      </c>
      <c r="L94" s="219" t="s">
        <v>9</v>
      </c>
      <c r="M94" s="252">
        <f>R.HN!D56</f>
        <v>11.6</v>
      </c>
      <c r="N94" s="35">
        <v>140</v>
      </c>
      <c r="O94" s="35">
        <f>($F$92-N94)*1728/1000</f>
        <v>-17.28</v>
      </c>
      <c r="P94" s="36" t="s">
        <v>8</v>
      </c>
      <c r="Q94" s="442">
        <f>IF(O94&lt;0,0,O94)</f>
        <v>0</v>
      </c>
      <c r="R94" s="41" t="s">
        <v>9</v>
      </c>
      <c r="S94" s="462"/>
      <c r="T94" s="43"/>
      <c r="AD94" s="274"/>
      <c r="AE94" s="462"/>
      <c r="AF94" s="43"/>
      <c r="AP94" s="274"/>
      <c r="AQ94" s="274" t="s">
        <v>531</v>
      </c>
    </row>
    <row r="95" spans="1:44" ht="34.5" customHeight="1">
      <c r="A95" s="1255" t="s">
        <v>542</v>
      </c>
      <c r="B95" s="3316" t="s">
        <v>1213</v>
      </c>
      <c r="C95" s="3317"/>
      <c r="D95" s="47" t="s">
        <v>4</v>
      </c>
      <c r="E95" s="1250" t="s">
        <v>540</v>
      </c>
      <c r="F95" s="90"/>
      <c r="G95" s="1299">
        <f>R.HN!C57</f>
        <v>8</v>
      </c>
      <c r="H95" s="35">
        <f>(G94-G95)*1.25</f>
        <v>3.9999999999999991</v>
      </c>
      <c r="I95" s="35" t="s">
        <v>435</v>
      </c>
      <c r="J95" s="36" t="s">
        <v>8</v>
      </c>
      <c r="K95" s="442" t="str">
        <f>IF(I95&lt;0,0,I95)</f>
        <v>N/A</v>
      </c>
      <c r="L95" s="219" t="s">
        <v>9</v>
      </c>
      <c r="M95" s="252">
        <f>R.HN!D57</f>
        <v>7.6</v>
      </c>
      <c r="N95" s="35">
        <f>(M94-M95)*1.25</f>
        <v>5</v>
      </c>
      <c r="O95" s="35" t="s">
        <v>435</v>
      </c>
      <c r="P95" s="36" t="s">
        <v>8</v>
      </c>
      <c r="Q95" s="442" t="str">
        <f>IF(O95&lt;0,0,O95)</f>
        <v>N/A</v>
      </c>
      <c r="R95" s="41" t="s">
        <v>9</v>
      </c>
      <c r="S95" s="462"/>
      <c r="T95" s="43"/>
      <c r="AD95" s="274"/>
      <c r="AE95" s="462"/>
      <c r="AF95" s="43"/>
      <c r="AP95" s="274"/>
      <c r="AQ95" s="274" t="s">
        <v>531</v>
      </c>
    </row>
    <row r="96" spans="1:44" ht="34.5" customHeight="1">
      <c r="A96" s="1255" t="s">
        <v>543</v>
      </c>
      <c r="B96" s="3316" t="s">
        <v>1214</v>
      </c>
      <c r="C96" s="3317"/>
      <c r="D96" s="47" t="s">
        <v>4</v>
      </c>
      <c r="E96" s="1250" t="s">
        <v>538</v>
      </c>
      <c r="F96" s="90">
        <v>130</v>
      </c>
      <c r="G96" s="1299">
        <f>R.HN!C58</f>
        <v>10.3</v>
      </c>
      <c r="H96" s="35">
        <f>G96*12.5</f>
        <v>128.75</v>
      </c>
      <c r="I96" s="35">
        <f>($F$96-H96)*1728/1000</f>
        <v>2.16</v>
      </c>
      <c r="J96" s="36" t="s">
        <v>8</v>
      </c>
      <c r="K96" s="442">
        <f>IF(I96&lt;0,0,I96)</f>
        <v>2.16</v>
      </c>
      <c r="L96" s="219" t="s">
        <v>9</v>
      </c>
      <c r="M96" s="252">
        <f>R.HN!D58</f>
        <v>10.5</v>
      </c>
      <c r="N96" s="35">
        <f>M96*12.5</f>
        <v>131.25</v>
      </c>
      <c r="O96" s="35">
        <f>($F$92-N96)*1728/1000</f>
        <v>-2.16</v>
      </c>
      <c r="P96" s="36" t="s">
        <v>8</v>
      </c>
      <c r="Q96" s="442">
        <f>IF(O96&lt;0,0,O96)</f>
        <v>0</v>
      </c>
      <c r="R96" s="41" t="s">
        <v>9</v>
      </c>
      <c r="S96" s="462"/>
      <c r="T96" s="43"/>
      <c r="AD96" s="274"/>
      <c r="AE96" s="462"/>
      <c r="AF96" s="43"/>
      <c r="AP96" s="274"/>
      <c r="AQ96" s="274" t="s">
        <v>531</v>
      </c>
    </row>
    <row r="97" spans="1:43" ht="34.5" customHeight="1">
      <c r="A97" s="1255" t="s">
        <v>544</v>
      </c>
      <c r="B97" s="3316" t="s">
        <v>1215</v>
      </c>
      <c r="C97" s="3317"/>
      <c r="D97" s="47" t="s">
        <v>4</v>
      </c>
      <c r="E97" s="1250" t="s">
        <v>540</v>
      </c>
      <c r="F97" s="90"/>
      <c r="G97" s="1299">
        <f>R.HN!C59</f>
        <v>6.4</v>
      </c>
      <c r="H97" s="35">
        <v>4.2</v>
      </c>
      <c r="I97" s="35" t="s">
        <v>435</v>
      </c>
      <c r="J97" s="36" t="s">
        <v>8</v>
      </c>
      <c r="K97" s="442" t="str">
        <f>IF(I97&lt;0,0,I97)</f>
        <v>N/A</v>
      </c>
      <c r="L97" s="219" t="s">
        <v>9</v>
      </c>
      <c r="M97" s="252">
        <f>R.HN!D59</f>
        <v>7.2</v>
      </c>
      <c r="N97" s="35">
        <f>(M96-M97)*1.25</f>
        <v>4.125</v>
      </c>
      <c r="O97" s="35" t="s">
        <v>435</v>
      </c>
      <c r="P97" s="36" t="s">
        <v>8</v>
      </c>
      <c r="Q97" s="442" t="str">
        <f>IF(O97&lt;0,0,O97)</f>
        <v>N/A</v>
      </c>
      <c r="R97" s="41" t="s">
        <v>9</v>
      </c>
      <c r="S97" s="462"/>
      <c r="T97" s="43"/>
      <c r="AD97" s="274"/>
      <c r="AE97" s="462"/>
      <c r="AF97" s="43"/>
      <c r="AP97" s="274"/>
      <c r="AQ97" s="274" t="s">
        <v>531</v>
      </c>
    </row>
    <row r="98" spans="1:43" ht="34.5" customHeight="1">
      <c r="A98" s="1255" t="s">
        <v>545</v>
      </c>
      <c r="B98" s="3318" t="s">
        <v>546</v>
      </c>
      <c r="C98" s="3319"/>
      <c r="D98" s="47" t="s">
        <v>4</v>
      </c>
      <c r="E98" s="1250" t="s">
        <v>547</v>
      </c>
      <c r="F98" s="101">
        <v>10</v>
      </c>
      <c r="G98" s="1299">
        <f>R.HN!C60</f>
        <v>5.0999999999999996</v>
      </c>
      <c r="H98" s="35">
        <f>G98*2.08</f>
        <v>10.607999999999999</v>
      </c>
      <c r="I98" s="35">
        <f>($F$98-H98)*1728/1000</f>
        <v>-1.050623999999998</v>
      </c>
      <c r="J98" s="36" t="s">
        <v>8</v>
      </c>
      <c r="K98" s="442">
        <f t="shared" si="7"/>
        <v>0</v>
      </c>
      <c r="L98" s="219" t="s">
        <v>9</v>
      </c>
      <c r="M98" s="252">
        <f>R.HN!D60</f>
        <v>4.9000000000000004</v>
      </c>
      <c r="N98" s="35">
        <f>M98*2.08</f>
        <v>10.192000000000002</v>
      </c>
      <c r="O98" s="35">
        <f>($F$98-N98)*1728/1000</f>
        <v>-0.33177600000000335</v>
      </c>
      <c r="P98" s="36" t="s">
        <v>8</v>
      </c>
      <c r="Q98" s="442">
        <f t="shared" si="8"/>
        <v>0</v>
      </c>
      <c r="R98" s="41" t="s">
        <v>9</v>
      </c>
      <c r="S98" s="462"/>
      <c r="T98" s="43"/>
      <c r="AD98" s="274"/>
      <c r="AE98" s="462"/>
      <c r="AF98" s="43"/>
      <c r="AP98" s="274"/>
      <c r="AQ98" s="274" t="s">
        <v>531</v>
      </c>
    </row>
    <row r="99" spans="1:43" ht="34.5" customHeight="1">
      <c r="A99" s="1255" t="s">
        <v>548</v>
      </c>
      <c r="B99" s="3320"/>
      <c r="C99" s="3321"/>
      <c r="D99" s="47" t="s">
        <v>5</v>
      </c>
      <c r="E99" s="1250" t="s">
        <v>549</v>
      </c>
      <c r="F99" s="101"/>
      <c r="G99" s="1299"/>
      <c r="H99" s="636">
        <v>6.2</v>
      </c>
      <c r="I99" s="1323"/>
      <c r="J99" s="1323"/>
      <c r="K99" s="1267"/>
      <c r="L99" s="1324"/>
      <c r="M99" s="252"/>
      <c r="N99" s="636">
        <v>6.3</v>
      </c>
      <c r="O99" s="1267"/>
      <c r="P99" s="1267"/>
      <c r="Q99" s="1267"/>
      <c r="R99" s="1324"/>
      <c r="S99" s="462"/>
      <c r="T99" s="43"/>
      <c r="AD99" s="274"/>
      <c r="AE99" s="462"/>
      <c r="AF99" s="43"/>
      <c r="AP99" s="274"/>
      <c r="AQ99" s="274" t="s">
        <v>531</v>
      </c>
    </row>
    <row r="100" spans="1:43" ht="34.5" hidden="1" customHeight="1">
      <c r="A100" s="1255" t="s">
        <v>550</v>
      </c>
      <c r="B100" s="3316" t="s">
        <v>551</v>
      </c>
      <c r="C100" s="3317"/>
      <c r="D100" s="1325" t="s">
        <v>5</v>
      </c>
      <c r="E100" s="50" t="s">
        <v>1427</v>
      </c>
      <c r="F100" s="1325"/>
      <c r="G100" s="1326"/>
      <c r="H100" s="636"/>
      <c r="I100" s="1267"/>
      <c r="J100" s="1267"/>
      <c r="K100" s="1267"/>
      <c r="L100" s="1324"/>
      <c r="M100" s="252"/>
      <c r="N100" s="636"/>
      <c r="O100" s="1267"/>
      <c r="P100" s="1267"/>
      <c r="Q100" s="1267"/>
      <c r="R100" s="1324"/>
      <c r="S100" s="465"/>
      <c r="T100" s="43"/>
      <c r="AD100" s="274"/>
      <c r="AE100" s="462"/>
      <c r="AF100" s="43"/>
      <c r="AP100" s="274"/>
      <c r="AQ100" s="274" t="s">
        <v>531</v>
      </c>
    </row>
    <row r="101" spans="1:43" ht="34.5" hidden="1" customHeight="1">
      <c r="A101" s="1255" t="s">
        <v>552</v>
      </c>
      <c r="B101" s="3316" t="s">
        <v>553</v>
      </c>
      <c r="C101" s="3317"/>
      <c r="D101" s="1325" t="s">
        <v>5</v>
      </c>
      <c r="E101" s="50" t="s">
        <v>1427</v>
      </c>
      <c r="F101" s="1325"/>
      <c r="G101" s="1326"/>
      <c r="H101" s="636"/>
      <c r="I101" s="1267"/>
      <c r="J101" s="1267"/>
      <c r="K101" s="1267"/>
      <c r="L101" s="1324"/>
      <c r="M101" s="252"/>
      <c r="N101" s="636"/>
      <c r="O101" s="1267"/>
      <c r="P101" s="1267"/>
      <c r="Q101" s="1267"/>
      <c r="R101" s="1324"/>
      <c r="S101" s="465"/>
      <c r="T101" s="43"/>
      <c r="AD101" s="274"/>
      <c r="AE101" s="462"/>
      <c r="AF101" s="43"/>
      <c r="AP101" s="274"/>
      <c r="AQ101" s="274" t="s">
        <v>531</v>
      </c>
    </row>
    <row r="102" spans="1:43" ht="34.5" customHeight="1">
      <c r="A102" s="1255" t="s">
        <v>554</v>
      </c>
      <c r="B102" s="3316" t="s">
        <v>555</v>
      </c>
      <c r="C102" s="3317"/>
      <c r="D102" s="1327" t="s">
        <v>5</v>
      </c>
      <c r="E102" s="50" t="s">
        <v>1427</v>
      </c>
      <c r="F102" s="1327"/>
      <c r="G102" s="1328"/>
      <c r="H102" s="636">
        <v>5.6</v>
      </c>
      <c r="I102" s="1267"/>
      <c r="J102" s="1267"/>
      <c r="K102" s="1267"/>
      <c r="L102" s="1324"/>
      <c r="M102" s="1329"/>
      <c r="N102" s="636">
        <v>5.7</v>
      </c>
      <c r="O102" s="1267"/>
      <c r="P102" s="1267"/>
      <c r="Q102" s="1267"/>
      <c r="R102" s="1324"/>
      <c r="S102" s="465"/>
      <c r="T102" s="43"/>
      <c r="AD102" s="274"/>
      <c r="AE102" s="462"/>
      <c r="AF102" s="43"/>
      <c r="AP102" s="274"/>
      <c r="AQ102" s="274" t="s">
        <v>531</v>
      </c>
    </row>
    <row r="103" spans="1:43" ht="42" customHeight="1">
      <c r="A103" s="295" t="s">
        <v>74</v>
      </c>
      <c r="B103" s="296"/>
      <c r="C103" s="296"/>
      <c r="D103" s="296"/>
      <c r="E103" s="293"/>
      <c r="F103" s="296"/>
      <c r="G103" s="296"/>
      <c r="H103" s="296"/>
      <c r="I103" s="296"/>
      <c r="J103" s="296"/>
      <c r="K103" s="296"/>
      <c r="L103" s="296"/>
      <c r="M103" s="296"/>
      <c r="N103" s="297"/>
      <c r="O103" s="296"/>
      <c r="P103" s="296"/>
      <c r="Q103" s="296"/>
      <c r="R103" s="297"/>
      <c r="S103" s="296"/>
      <c r="T103" s="43"/>
      <c r="AD103" s="274"/>
      <c r="AE103" s="462"/>
      <c r="AF103" s="43"/>
      <c r="AP103" s="274"/>
    </row>
    <row r="104" spans="1:43" ht="37.5" customHeight="1">
      <c r="A104" s="1254" t="s">
        <v>239</v>
      </c>
      <c r="B104" s="3150" t="s">
        <v>62</v>
      </c>
      <c r="C104" s="3317"/>
      <c r="D104" s="288" t="s">
        <v>64</v>
      </c>
      <c r="E104" s="288" t="s">
        <v>65</v>
      </c>
      <c r="F104" s="107"/>
      <c r="G104" s="107"/>
      <c r="H104" s="290" t="s">
        <v>46</v>
      </c>
      <c r="I104" s="291"/>
      <c r="J104" s="291"/>
      <c r="K104" s="290" t="s">
        <v>63</v>
      </c>
      <c r="L104" s="304"/>
      <c r="M104" s="288"/>
      <c r="N104" s="290" t="s">
        <v>46</v>
      </c>
      <c r="O104" s="291"/>
      <c r="P104" s="291"/>
      <c r="Q104" s="290" t="s">
        <v>63</v>
      </c>
      <c r="R104" s="304"/>
      <c r="S104" s="466"/>
      <c r="T104" s="43"/>
      <c r="AD104" s="274"/>
      <c r="AE104" s="462"/>
      <c r="AF104" s="43"/>
      <c r="AP104" s="274"/>
      <c r="AQ104" s="274" t="s">
        <v>531</v>
      </c>
    </row>
    <row r="105" spans="1:43" ht="38.25" customHeight="1">
      <c r="A105" s="1255" t="s">
        <v>556</v>
      </c>
      <c r="B105" s="3316" t="s">
        <v>529</v>
      </c>
      <c r="C105" s="3317"/>
      <c r="D105" s="99" t="s">
        <v>106</v>
      </c>
      <c r="E105" s="14" t="s">
        <v>1113</v>
      </c>
      <c r="F105" s="44"/>
      <c r="G105" s="44"/>
      <c r="H105" s="2926">
        <v>61</v>
      </c>
      <c r="I105" s="2926"/>
      <c r="J105" s="2926"/>
      <c r="K105" s="2926">
        <v>64</v>
      </c>
      <c r="L105" s="2926"/>
      <c r="M105" s="1330"/>
      <c r="N105" s="2926">
        <v>61</v>
      </c>
      <c r="O105" s="2926"/>
      <c r="P105" s="2926"/>
      <c r="Q105" s="2926">
        <v>63</v>
      </c>
      <c r="R105" s="2926"/>
      <c r="S105" s="467"/>
      <c r="T105" s="43"/>
      <c r="AD105" s="274"/>
      <c r="AE105" s="462"/>
      <c r="AF105" s="43"/>
      <c r="AP105" s="274"/>
      <c r="AQ105" s="274" t="s">
        <v>531</v>
      </c>
    </row>
    <row r="106" spans="1:43" ht="38.25" customHeight="1">
      <c r="A106" s="1255" t="s">
        <v>557</v>
      </c>
      <c r="B106" s="3316" t="s">
        <v>533</v>
      </c>
      <c r="C106" s="3317"/>
      <c r="D106" s="99" t="s">
        <v>106</v>
      </c>
      <c r="E106" s="14" t="s">
        <v>1113</v>
      </c>
      <c r="F106" s="44"/>
      <c r="G106" s="44"/>
      <c r="H106" s="2926">
        <v>65</v>
      </c>
      <c r="I106" s="2926"/>
      <c r="J106" s="2926"/>
      <c r="K106" s="2926">
        <v>64</v>
      </c>
      <c r="L106" s="2926"/>
      <c r="M106" s="1331"/>
      <c r="N106" s="2926">
        <v>65</v>
      </c>
      <c r="O106" s="2926"/>
      <c r="P106" s="2926"/>
      <c r="Q106" s="2926">
        <v>63</v>
      </c>
      <c r="R106" s="2926"/>
      <c r="S106" s="467"/>
      <c r="T106" s="43"/>
      <c r="AD106" s="274"/>
      <c r="AE106" s="462"/>
      <c r="AF106" s="43"/>
      <c r="AP106" s="274"/>
      <c r="AQ106" s="274" t="s">
        <v>531</v>
      </c>
    </row>
    <row r="107" spans="1:43" ht="38.25" customHeight="1">
      <c r="A107" s="1255" t="s">
        <v>558</v>
      </c>
      <c r="B107" s="3316" t="s">
        <v>1216</v>
      </c>
      <c r="C107" s="3317"/>
      <c r="D107" s="99" t="s">
        <v>106</v>
      </c>
      <c r="E107" s="14" t="s">
        <v>1115</v>
      </c>
      <c r="F107" s="44"/>
      <c r="G107" s="44"/>
      <c r="H107" s="2926">
        <v>24</v>
      </c>
      <c r="I107" s="2926"/>
      <c r="J107" s="2926"/>
      <c r="K107" s="2926">
        <v>22</v>
      </c>
      <c r="L107" s="2926"/>
      <c r="M107" s="2926"/>
      <c r="N107" s="2926">
        <v>25</v>
      </c>
      <c r="O107" s="2926"/>
      <c r="P107" s="2926"/>
      <c r="Q107" s="2926">
        <v>23</v>
      </c>
      <c r="R107" s="2926"/>
      <c r="S107" s="467"/>
      <c r="T107" s="43"/>
      <c r="AD107" s="274"/>
      <c r="AE107" s="462"/>
      <c r="AF107" s="43"/>
      <c r="AP107" s="274"/>
      <c r="AQ107" s="274" t="s">
        <v>531</v>
      </c>
    </row>
    <row r="108" spans="1:43" ht="38.25" customHeight="1">
      <c r="A108" s="1255" t="s">
        <v>559</v>
      </c>
      <c r="B108" s="3316" t="s">
        <v>1217</v>
      </c>
      <c r="C108" s="3317"/>
      <c r="D108" s="99" t="s">
        <v>106</v>
      </c>
      <c r="E108" s="14" t="s">
        <v>1115</v>
      </c>
      <c r="F108" s="44"/>
      <c r="G108" s="44"/>
      <c r="H108" s="2926">
        <v>26</v>
      </c>
      <c r="I108" s="2926"/>
      <c r="J108" s="2926"/>
      <c r="K108" s="2926">
        <v>24</v>
      </c>
      <c r="L108" s="2926"/>
      <c r="M108" s="2926"/>
      <c r="N108" s="2926">
        <v>26</v>
      </c>
      <c r="O108" s="2926"/>
      <c r="P108" s="2926"/>
      <c r="Q108" s="2926">
        <v>25</v>
      </c>
      <c r="R108" s="2926"/>
      <c r="S108" s="467"/>
      <c r="T108" s="43"/>
      <c r="AD108" s="274"/>
      <c r="AE108" s="462"/>
      <c r="AF108" s="43"/>
      <c r="AP108" s="274"/>
      <c r="AQ108" s="274" t="s">
        <v>531</v>
      </c>
    </row>
    <row r="109" spans="1:43" ht="38.25" customHeight="1">
      <c r="A109" s="1255" t="s">
        <v>560</v>
      </c>
      <c r="B109" s="3316" t="s">
        <v>1218</v>
      </c>
      <c r="C109" s="3317"/>
      <c r="D109" s="99" t="s">
        <v>106</v>
      </c>
      <c r="E109" s="14" t="s">
        <v>1115</v>
      </c>
      <c r="F109" s="44"/>
      <c r="G109" s="44"/>
      <c r="H109" s="2926">
        <v>22</v>
      </c>
      <c r="I109" s="2926"/>
      <c r="J109" s="2926"/>
      <c r="K109" s="2926">
        <v>20</v>
      </c>
      <c r="L109" s="2926"/>
      <c r="M109" s="2926"/>
      <c r="N109" s="2926">
        <v>22</v>
      </c>
      <c r="O109" s="2926"/>
      <c r="P109" s="2926"/>
      <c r="Q109" s="2926">
        <v>20</v>
      </c>
      <c r="R109" s="2926"/>
      <c r="S109" s="467"/>
      <c r="T109" s="43"/>
      <c r="AD109" s="274"/>
      <c r="AE109" s="462"/>
      <c r="AF109" s="43"/>
      <c r="AP109" s="274"/>
      <c r="AQ109" s="274" t="s">
        <v>531</v>
      </c>
    </row>
    <row r="110" spans="1:43" ht="38.25" customHeight="1">
      <c r="A110" s="1255" t="s">
        <v>561</v>
      </c>
      <c r="B110" s="3316" t="s">
        <v>562</v>
      </c>
      <c r="C110" s="3317"/>
      <c r="D110" s="99" t="s">
        <v>106</v>
      </c>
      <c r="E110" s="14" t="s">
        <v>1428</v>
      </c>
      <c r="F110" s="44"/>
      <c r="G110" s="44"/>
      <c r="H110" s="2926">
        <v>39</v>
      </c>
      <c r="I110" s="2926"/>
      <c r="J110" s="2926"/>
      <c r="K110" s="2926">
        <v>36</v>
      </c>
      <c r="L110" s="2926"/>
      <c r="M110" s="2926"/>
      <c r="N110" s="2926">
        <v>39</v>
      </c>
      <c r="O110" s="2926"/>
      <c r="P110" s="2926"/>
      <c r="Q110" s="2926">
        <v>36</v>
      </c>
      <c r="R110" s="2926"/>
      <c r="S110" s="467"/>
      <c r="T110" s="43"/>
      <c r="AD110" s="274"/>
      <c r="AE110" s="462"/>
      <c r="AF110" s="43"/>
      <c r="AP110" s="274"/>
      <c r="AQ110" s="274" t="s">
        <v>531</v>
      </c>
    </row>
    <row r="111" spans="1:43" ht="38.25" hidden="1" customHeight="1">
      <c r="A111" s="1255" t="s">
        <v>563</v>
      </c>
      <c r="B111" s="3316" t="s">
        <v>551</v>
      </c>
      <c r="C111" s="3317"/>
      <c r="D111" s="99" t="s">
        <v>106</v>
      </c>
      <c r="E111" s="14" t="s">
        <v>1474</v>
      </c>
      <c r="F111" s="47"/>
      <c r="G111" s="47"/>
      <c r="H111" s="2926"/>
      <c r="I111" s="2926"/>
      <c r="J111" s="2926"/>
      <c r="K111" s="2926"/>
      <c r="L111" s="2926"/>
      <c r="M111" s="288"/>
      <c r="N111" s="2926"/>
      <c r="O111" s="2926"/>
      <c r="P111" s="2926"/>
      <c r="Q111" s="2926"/>
      <c r="R111" s="2926"/>
      <c r="S111" s="468"/>
      <c r="T111" s="43"/>
      <c r="AD111" s="274"/>
      <c r="AE111" s="462"/>
      <c r="AF111" s="43"/>
      <c r="AP111" s="274"/>
      <c r="AQ111" s="274" t="s">
        <v>531</v>
      </c>
    </row>
    <row r="112" spans="1:43" ht="38.25" hidden="1" customHeight="1">
      <c r="A112" s="1255" t="s">
        <v>564</v>
      </c>
      <c r="B112" s="3316" t="s">
        <v>553</v>
      </c>
      <c r="C112" s="3317"/>
      <c r="D112" s="99" t="s">
        <v>106</v>
      </c>
      <c r="E112" s="14" t="s">
        <v>1475</v>
      </c>
      <c r="F112" s="47"/>
      <c r="G112" s="47"/>
      <c r="H112" s="2926"/>
      <c r="I112" s="2926"/>
      <c r="J112" s="2926"/>
      <c r="K112" s="2926"/>
      <c r="L112" s="2926"/>
      <c r="M112" s="1331"/>
      <c r="N112" s="2926"/>
      <c r="O112" s="2926"/>
      <c r="P112" s="2926"/>
      <c r="Q112" s="2926"/>
      <c r="R112" s="2926"/>
      <c r="S112" s="468"/>
      <c r="T112" s="43"/>
      <c r="AD112" s="274"/>
      <c r="AE112" s="462"/>
      <c r="AF112" s="43"/>
      <c r="AP112" s="274"/>
      <c r="AQ112" s="274" t="s">
        <v>531</v>
      </c>
    </row>
    <row r="113" spans="1:43" ht="38.25" customHeight="1">
      <c r="A113" s="1255" t="s">
        <v>565</v>
      </c>
      <c r="B113" s="3316" t="s">
        <v>555</v>
      </c>
      <c r="C113" s="3317"/>
      <c r="D113" s="99" t="s">
        <v>106</v>
      </c>
      <c r="E113" s="14" t="s">
        <v>1474</v>
      </c>
      <c r="F113" s="47"/>
      <c r="G113" s="47"/>
      <c r="H113" s="2926">
        <v>65</v>
      </c>
      <c r="I113" s="2926"/>
      <c r="J113" s="2926"/>
      <c r="K113" s="2926">
        <v>62</v>
      </c>
      <c r="L113" s="2926"/>
      <c r="M113" s="288"/>
      <c r="N113" s="2926">
        <v>65</v>
      </c>
      <c r="O113" s="2926"/>
      <c r="P113" s="2926"/>
      <c r="Q113" s="2926">
        <v>63</v>
      </c>
      <c r="R113" s="2926"/>
      <c r="S113" s="468"/>
      <c r="T113" s="43"/>
      <c r="AD113" s="274"/>
      <c r="AE113" s="468"/>
      <c r="AF113" s="43"/>
      <c r="AP113" s="274"/>
      <c r="AQ113" s="274" t="s">
        <v>531</v>
      </c>
    </row>
    <row r="114" spans="1:43" ht="38.25" customHeight="1">
      <c r="A114" s="1255" t="s">
        <v>566</v>
      </c>
      <c r="B114" s="3316" t="s">
        <v>567</v>
      </c>
      <c r="C114" s="3317"/>
      <c r="D114" s="99" t="s">
        <v>106</v>
      </c>
      <c r="E114" s="14" t="s">
        <v>1119</v>
      </c>
      <c r="F114" s="47"/>
      <c r="G114" s="47"/>
      <c r="H114" s="2850" t="s">
        <v>48</v>
      </c>
      <c r="I114" s="2850"/>
      <c r="J114" s="2850"/>
      <c r="K114" s="2926">
        <v>161</v>
      </c>
      <c r="L114" s="2926"/>
      <c r="M114" s="1331"/>
      <c r="N114" s="2850" t="s">
        <v>48</v>
      </c>
      <c r="O114" s="2850"/>
      <c r="P114" s="2850"/>
      <c r="Q114" s="2926">
        <v>149</v>
      </c>
      <c r="R114" s="2926"/>
      <c r="S114" s="468"/>
      <c r="T114" s="43"/>
      <c r="AD114" s="274"/>
      <c r="AE114" s="468"/>
      <c r="AF114" s="43"/>
      <c r="AP114" s="274"/>
      <c r="AQ114" s="274" t="s">
        <v>531</v>
      </c>
    </row>
    <row r="115" spans="1:43" ht="38.25" customHeight="1"/>
  </sheetData>
  <sheetProtection formatCells="0" formatColumns="0" formatRows="0" insertColumns="0" insertRows="0" insertHyperlinks="0" deleteColumns="0" deleteRows="0" selectLockedCells="1" sort="0" autoFilter="0" pivotTables="0"/>
  <mergeCells count="306">
    <mergeCell ref="K110:M110"/>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 ref="Q110:R110"/>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H109:J109"/>
    <mergeCell ref="H110:J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N18:P18"/>
    <mergeCell ref="Q18:R18"/>
    <mergeCell ref="T35:V35"/>
    <mergeCell ref="W35:X35"/>
    <mergeCell ref="Z34:AB34"/>
    <mergeCell ref="AC34:AD34"/>
    <mergeCell ref="Z35:AB35"/>
    <mergeCell ref="AC35:AD35"/>
    <mergeCell ref="H108:J108"/>
    <mergeCell ref="T39:X39"/>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B95:C95"/>
    <mergeCell ref="B96:C96"/>
    <mergeCell ref="B97:C97"/>
    <mergeCell ref="B98:C99"/>
    <mergeCell ref="B100:C100"/>
    <mergeCell ref="B101:C101"/>
    <mergeCell ref="B89:C89"/>
    <mergeCell ref="B90:C90"/>
    <mergeCell ref="B91:C91"/>
    <mergeCell ref="B92:C92"/>
    <mergeCell ref="B93:C93"/>
    <mergeCell ref="B94:C94"/>
    <mergeCell ref="B111:C111"/>
    <mergeCell ref="B112:C112"/>
    <mergeCell ref="B113:C113"/>
    <mergeCell ref="B114:C114"/>
    <mergeCell ref="B102:C102"/>
    <mergeCell ref="B104:C104"/>
    <mergeCell ref="B105:C105"/>
    <mergeCell ref="B106:C106"/>
    <mergeCell ref="B107:C107"/>
    <mergeCell ref="B108:C108"/>
    <mergeCell ref="B109:C109"/>
    <mergeCell ref="B110:C110"/>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B65:C65"/>
    <mergeCell ref="B66:C66"/>
    <mergeCell ref="B67:C67"/>
    <mergeCell ref="B68:C68"/>
    <mergeCell ref="B69:C69"/>
    <mergeCell ref="B70:C70"/>
    <mergeCell ref="B59:C59"/>
    <mergeCell ref="B60:C60"/>
    <mergeCell ref="B61:C61"/>
    <mergeCell ref="B62:C62"/>
    <mergeCell ref="B63:C63"/>
    <mergeCell ref="B64:C64"/>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B26:C26"/>
    <mergeCell ref="D27:D29"/>
    <mergeCell ref="B30:C31"/>
    <mergeCell ref="B33:C33"/>
    <mergeCell ref="B34:C34"/>
    <mergeCell ref="T36:V36"/>
    <mergeCell ref="W36:X36"/>
    <mergeCell ref="H34:J34"/>
    <mergeCell ref="K34:L34"/>
    <mergeCell ref="N34:P34"/>
    <mergeCell ref="Q34:R34"/>
    <mergeCell ref="T34:V34"/>
    <mergeCell ref="W34:X34"/>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B43:C45"/>
    <mergeCell ref="B27:C29"/>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42:C42"/>
    <mergeCell ref="D43:D45"/>
    <mergeCell ref="N39:R39"/>
  </mergeCells>
  <phoneticPr fontId="7" type="noConversion"/>
  <conditionalFormatting sqref="H6:H7 H26 AL6:AL7 AF6:AF7 Z6:Z7 T6:T7 N6:N7 N26 T26 Z26 AF26 AL26 H42 N42 T42 Z42 AF42 AL42">
    <cfRule type="expression" dxfId="1298" priority="634">
      <formula>H6&lt;10</formula>
    </cfRule>
    <cfRule type="expression" dxfId="1297" priority="635">
      <formula>H6&gt;15</formula>
    </cfRule>
  </conditionalFormatting>
  <conditionalFormatting sqref="H27 AL8 AL11 AF8 AF11 Z8 Z11 T8 T11 N8 N11 H8 H11 N27 T27 Z27 AF27 AL27 H43 N43 T43 Z43 AF43 AL43">
    <cfRule type="expression" dxfId="1296" priority="632">
      <formula>H8&lt;40</formula>
    </cfRule>
    <cfRule type="expression" dxfId="1295" priority="633">
      <formula>H8&gt;60</formula>
    </cfRule>
  </conditionalFormatting>
  <conditionalFormatting sqref="H28 AL9 AL12 AF9 AF12 Z9 Z12 T9 T12 N9 N12 H9 H12 N28 T28 Z28 AF28 AL28 H44 N44 T44 Z44 AF44 AL44">
    <cfRule type="expression" dxfId="1294" priority="630">
      <formula>H9&lt;5.2</formula>
    </cfRule>
    <cfRule type="expression" dxfId="1293" priority="631">
      <formula>H9&gt;7.8</formula>
    </cfRule>
  </conditionalFormatting>
  <conditionalFormatting sqref="H29 AL10 AL13 AF10 AF13 Z10 Z13 T10 T13 N10 N13 H10 H13 N29 T29 Z29 AF29 AL29 H45 N45 T45 Z45 AF45 AL45">
    <cfRule type="expression" dxfId="1292" priority="629">
      <formula>H10&gt;0.4</formula>
    </cfRule>
  </conditionalFormatting>
  <conditionalFormatting sqref="H30 AL14 AF14 Z14 T14 N14 H14 N30 T30 Z30 AF30 AL30 H46 N46 T46 Z46 AF46 AL46">
    <cfRule type="expression" dxfId="1291" priority="627">
      <formula>H14&lt;0.8</formula>
    </cfRule>
    <cfRule type="expression" dxfId="1290" priority="628">
      <formula>H14&gt;1.2</formula>
    </cfRule>
  </conditionalFormatting>
  <conditionalFormatting sqref="AL47 AF47 Z47 T47 N47 H47 AL31 AF31 Z31 T31 N31 AL15 AF15 Z15 T15 N15 H15">
    <cfRule type="expression" dxfId="1289" priority="625">
      <formula>H15&lt;8</formula>
    </cfRule>
    <cfRule type="expression" dxfId="1288" priority="626">
      <formula>H15&gt;10</formula>
    </cfRule>
  </conditionalFormatting>
  <conditionalFormatting sqref="H25 N25 T25 Z25 AF25 AL25 H41 N41 T41 Z41 AF41 AL41">
    <cfRule type="expression" dxfId="1287" priority="623">
      <formula>H25&lt;30</formula>
    </cfRule>
    <cfRule type="expression" dxfId="1286" priority="624">
      <formula>H25&gt;50</formula>
    </cfRule>
  </conditionalFormatting>
  <conditionalFormatting sqref="N57:N59 H57:H59">
    <cfRule type="expression" dxfId="1285" priority="621">
      <formula>H57&lt;10</formula>
    </cfRule>
    <cfRule type="expression" dxfId="1284" priority="622">
      <formula>H57&gt;20</formula>
    </cfRule>
  </conditionalFormatting>
  <conditionalFormatting sqref="N60 H60">
    <cfRule type="expression" dxfId="1283" priority="619">
      <formula>H60&lt;5</formula>
    </cfRule>
    <cfRule type="expression" dxfId="1282" priority="620">
      <formula>H60&gt;15</formula>
    </cfRule>
  </conditionalFormatting>
  <conditionalFormatting sqref="N61 H61">
    <cfRule type="expression" dxfId="1281" priority="618">
      <formula>H61&gt;1.5</formula>
    </cfRule>
  </conditionalFormatting>
  <conditionalFormatting sqref="N62 H62">
    <cfRule type="expression" dxfId="1280" priority="616">
      <formula>H62&lt;20</formula>
    </cfRule>
    <cfRule type="expression" dxfId="1279" priority="617">
      <formula>H62&gt;25</formula>
    </cfRule>
  </conditionalFormatting>
  <conditionalFormatting sqref="N63 H63">
    <cfRule type="expression" dxfId="1278" priority="614">
      <formula>H63&lt;6</formula>
    </cfRule>
    <cfRule type="expression" dxfId="1277" priority="615">
      <formula>H63&gt;9</formula>
    </cfRule>
  </conditionalFormatting>
  <conditionalFormatting sqref="N64 H64">
    <cfRule type="expression" dxfId="1276" priority="612">
      <formula>H64&lt;7</formula>
    </cfRule>
    <cfRule type="expression" dxfId="1275" priority="613">
      <formula>H64&gt;10</formula>
    </cfRule>
  </conditionalFormatting>
  <conditionalFormatting sqref="N65:N66 H65:H66">
    <cfRule type="expression" dxfId="1274" priority="610">
      <formula>H65&lt;5.3</formula>
    </cfRule>
    <cfRule type="expression" dxfId="1273" priority="611">
      <formula>H65&gt;6</formula>
    </cfRule>
  </conditionalFormatting>
  <conditionalFormatting sqref="N89:N90 H89:H90">
    <cfRule type="expression" dxfId="1272" priority="608">
      <formula>H89&lt;20</formula>
    </cfRule>
    <cfRule type="expression" dxfId="1271" priority="609">
      <formula>H89&gt;30</formula>
    </cfRule>
  </conditionalFormatting>
  <conditionalFormatting sqref="N91 H91">
    <cfRule type="expression" dxfId="1270" priority="606">
      <formula>H91&lt;210</formula>
    </cfRule>
    <cfRule type="expression" dxfId="1269" priority="607">
      <formula>H91&gt;290</formula>
    </cfRule>
  </conditionalFormatting>
  <conditionalFormatting sqref="N92 N94 N96 H92 H94 H96">
    <cfRule type="expression" dxfId="1268" priority="604">
      <formula>H92&lt;120</formula>
    </cfRule>
    <cfRule type="expression" dxfId="1267" priority="605">
      <formula>H92&gt;150</formula>
    </cfRule>
  </conditionalFormatting>
  <conditionalFormatting sqref="N93 N95 N97 H93 H95 H97">
    <cfRule type="expression" dxfId="1266" priority="602">
      <formula>H93&lt;1</formula>
    </cfRule>
    <cfRule type="expression" dxfId="1265" priority="603">
      <formula>H93&gt;5</formula>
    </cfRule>
  </conditionalFormatting>
  <conditionalFormatting sqref="N98 H98">
    <cfRule type="expression" dxfId="1264" priority="600">
      <formula>H98&lt;8</formula>
    </cfRule>
    <cfRule type="expression" dxfId="1263" priority="601">
      <formula>H98&gt;12</formula>
    </cfRule>
  </conditionalFormatting>
  <conditionalFormatting sqref="N9 N12 H9 H12 H28 AL9 AL12 AF9 AF12 Z9 Z12 T9 T12 N28 T28 Z28 AF28 AL28 H44 N44 T44 Z44 AF44 AL44">
    <cfRule type="expression" dxfId="1262" priority="599">
      <formula>H9&lt;1</formula>
    </cfRule>
  </conditionalFormatting>
  <conditionalFormatting sqref="H67 H69">
    <cfRule type="expression" dxfId="1261" priority="597">
      <formula>H67&lt;12</formula>
    </cfRule>
    <cfRule type="expression" dxfId="1260" priority="598">
      <formula>H67&gt;18</formula>
    </cfRule>
  </conditionalFormatting>
  <conditionalFormatting sqref="H68 H70">
    <cfRule type="expression" dxfId="1259" priority="595">
      <formula>H68&lt;8</formula>
    </cfRule>
    <cfRule type="expression" dxfId="1258" priority="596">
      <formula>H68&gt;16</formula>
    </cfRule>
  </conditionalFormatting>
  <conditionalFormatting sqref="H18:L19 N18:R19 T18:X19 Z18:AD19 AF18:AJ19 AL18:AP19 H35:L35 N35:R35 T35:X35 Z35:AD35 AF35:AJ35 AL35:AP35">
    <cfRule type="expression" dxfId="1257" priority="593">
      <formula>H18&lt;65</formula>
    </cfRule>
    <cfRule type="expression" dxfId="1256" priority="594">
      <formula>H18&gt;85</formula>
    </cfRule>
  </conditionalFormatting>
  <conditionalFormatting sqref="H20:L20 N20:R20 T20:X20 Z20:AD20 AF20:AJ20 AL20:AP20 H36:L36 N36:R36 T36:X36 Z36:AD36 AF36:AJ36 AL36:AP36">
    <cfRule type="expression" dxfId="1255" priority="591">
      <formula>H20&lt;80</formula>
    </cfRule>
    <cfRule type="expression" dxfId="1254" priority="592">
      <formula>H20&gt;90</formula>
    </cfRule>
  </conditionalFormatting>
  <conditionalFormatting sqref="H51:J51">
    <cfRule type="expression" dxfId="1253" priority="545">
      <formula>H51&lt;65</formula>
    </cfRule>
    <cfRule type="expression" dxfId="1252" priority="546">
      <formula>H51&gt;85</formula>
    </cfRule>
  </conditionalFormatting>
  <conditionalFormatting sqref="H52:J52">
    <cfRule type="expression" dxfId="1251" priority="543">
      <formula>H52&lt;80</formula>
    </cfRule>
    <cfRule type="expression" dxfId="1250" priority="544">
      <formula>H52&gt;90</formula>
    </cfRule>
  </conditionalFormatting>
  <conditionalFormatting sqref="K51:L52">
    <cfRule type="expression" dxfId="1249" priority="541">
      <formula>K51&lt;65</formula>
    </cfRule>
    <cfRule type="expression" dxfId="1248" priority="542">
      <formula>K51&gt;85</formula>
    </cfRule>
  </conditionalFormatting>
  <conditionalFormatting sqref="N51:P51">
    <cfRule type="expression" dxfId="1247" priority="537">
      <formula>N51&lt;65</formula>
    </cfRule>
    <cfRule type="expression" dxfId="1246" priority="538">
      <formula>N51&gt;85</formula>
    </cfRule>
  </conditionalFormatting>
  <conditionalFormatting sqref="N52:P52">
    <cfRule type="expression" dxfId="1245" priority="535">
      <formula>N52&lt;80</formula>
    </cfRule>
    <cfRule type="expression" dxfId="1244" priority="536">
      <formula>N52&gt;90</formula>
    </cfRule>
  </conditionalFormatting>
  <conditionalFormatting sqref="Q51:R51">
    <cfRule type="expression" dxfId="1243" priority="533">
      <formula>Q51&lt;65</formula>
    </cfRule>
    <cfRule type="expression" dxfId="1242" priority="534">
      <formula>Q51&gt;85</formula>
    </cfRule>
  </conditionalFormatting>
  <conditionalFormatting sqref="Q52:R52">
    <cfRule type="expression" dxfId="1241" priority="531">
      <formula>Q52&lt;80</formula>
    </cfRule>
    <cfRule type="expression" dxfId="1240" priority="532">
      <formula>Q52&gt;90</formula>
    </cfRule>
  </conditionalFormatting>
  <conditionalFormatting sqref="T51:V51">
    <cfRule type="expression" dxfId="1239" priority="529">
      <formula>T51&lt;65</formula>
    </cfRule>
    <cfRule type="expression" dxfId="1238" priority="530">
      <formula>T51&gt;85</formula>
    </cfRule>
  </conditionalFormatting>
  <conditionalFormatting sqref="T52:V52">
    <cfRule type="expression" dxfId="1237" priority="527">
      <formula>T52&lt;80</formula>
    </cfRule>
    <cfRule type="expression" dxfId="1236" priority="528">
      <formula>T52&gt;90</formula>
    </cfRule>
  </conditionalFormatting>
  <conditionalFormatting sqref="W51:X51">
    <cfRule type="expression" dxfId="1235" priority="525">
      <formula>W51&lt;65</formula>
    </cfRule>
    <cfRule type="expression" dxfId="1234" priority="526">
      <formula>W51&gt;85</formula>
    </cfRule>
  </conditionalFormatting>
  <conditionalFormatting sqref="W52:X52">
    <cfRule type="expression" dxfId="1233" priority="523">
      <formula>W52&lt;80</formula>
    </cfRule>
    <cfRule type="expression" dxfId="1232" priority="524">
      <formula>W52&gt;90</formula>
    </cfRule>
  </conditionalFormatting>
  <conditionalFormatting sqref="Z51:AB51">
    <cfRule type="expression" dxfId="1231" priority="521">
      <formula>Z51&lt;65</formula>
    </cfRule>
    <cfRule type="expression" dxfId="1230" priority="522">
      <formula>Z51&gt;85</formula>
    </cfRule>
  </conditionalFormatting>
  <conditionalFormatting sqref="Z52:AB52">
    <cfRule type="expression" dxfId="1229" priority="519">
      <formula>Z52&lt;80</formula>
    </cfRule>
    <cfRule type="expression" dxfId="1228" priority="520">
      <formula>Z52&gt;90</formula>
    </cfRule>
  </conditionalFormatting>
  <conditionalFormatting sqref="AC51:AD51">
    <cfRule type="expression" dxfId="1227" priority="517">
      <formula>AC51&lt;65</formula>
    </cfRule>
    <cfRule type="expression" dxfId="1226" priority="518">
      <formula>AC51&gt;85</formula>
    </cfRule>
  </conditionalFormatting>
  <conditionalFormatting sqref="AC52:AD52">
    <cfRule type="expression" dxfId="1225" priority="515">
      <formula>AC52&lt;80</formula>
    </cfRule>
    <cfRule type="expression" dxfId="1224" priority="516">
      <formula>AC52&gt;90</formula>
    </cfRule>
  </conditionalFormatting>
  <conditionalFormatting sqref="AF51:AH51">
    <cfRule type="expression" dxfId="1223" priority="513">
      <formula>AF51&lt;65</formula>
    </cfRule>
    <cfRule type="expression" dxfId="1222" priority="514">
      <formula>AF51&gt;85</formula>
    </cfRule>
  </conditionalFormatting>
  <conditionalFormatting sqref="AF52:AH52">
    <cfRule type="expression" dxfId="1221" priority="511">
      <formula>AF52&lt;80</formula>
    </cfRule>
    <cfRule type="expression" dxfId="1220" priority="512">
      <formula>AF52&gt;90</formula>
    </cfRule>
  </conditionalFormatting>
  <conditionalFormatting sqref="AI51:AJ51">
    <cfRule type="expression" dxfId="1219" priority="509">
      <formula>AI51&lt;65</formula>
    </cfRule>
    <cfRule type="expression" dxfId="1218" priority="510">
      <formula>AI51&gt;85</formula>
    </cfRule>
  </conditionalFormatting>
  <conditionalFormatting sqref="AI52:AJ52">
    <cfRule type="expression" dxfId="1217" priority="507">
      <formula>AI52&lt;80</formula>
    </cfRule>
    <cfRule type="expression" dxfId="1216" priority="508">
      <formula>AI52&gt;90</formula>
    </cfRule>
  </conditionalFormatting>
  <conditionalFormatting sqref="AL51:AN51">
    <cfRule type="expression" dxfId="1215" priority="505">
      <formula>AL51&lt;65</formula>
    </cfRule>
    <cfRule type="expression" dxfId="1214" priority="506">
      <formula>AL51&gt;85</formula>
    </cfRule>
  </conditionalFormatting>
  <conditionalFormatting sqref="AL52:AN52">
    <cfRule type="expression" dxfId="1213" priority="503">
      <formula>AL52&lt;80</formula>
    </cfRule>
    <cfRule type="expression" dxfId="1212" priority="504">
      <formula>AL52&gt;90</formula>
    </cfRule>
  </conditionalFormatting>
  <conditionalFormatting sqref="AO51:AP51">
    <cfRule type="expression" dxfId="1211" priority="501">
      <formula>AO51&lt;65</formula>
    </cfRule>
    <cfRule type="expression" dxfId="1210" priority="502">
      <formula>AO51&gt;85</formula>
    </cfRule>
  </conditionalFormatting>
  <conditionalFormatting sqref="AO52:AP52">
    <cfRule type="expression" dxfId="1209" priority="499">
      <formula>AO52&lt;80</formula>
    </cfRule>
    <cfRule type="expression" dxfId="1208" priority="500">
      <formula>AO52&gt;90</formula>
    </cfRule>
  </conditionalFormatting>
  <conditionalFormatting sqref="H34 K34 N34 Q34 T34 W34 Z34 AC34 AF34 AI34 AL34 AO34">
    <cfRule type="expression" dxfId="1207" priority="493">
      <formula>H34&lt;55</formula>
    </cfRule>
    <cfRule type="expression" dxfId="1206" priority="494">
      <formula>H34&gt;65</formula>
    </cfRule>
  </conditionalFormatting>
  <conditionalFormatting sqref="K75:L75">
    <cfRule type="expression" dxfId="1205" priority="425">
      <formula>K75&lt;51</formula>
    </cfRule>
    <cfRule type="expression" dxfId="1204" priority="426">
      <formula>K75&gt;59</formula>
    </cfRule>
  </conditionalFormatting>
  <conditionalFormatting sqref="K75:L75">
    <cfRule type="expression" dxfId="1203" priority="424">
      <formula>K75&lt;1</formula>
    </cfRule>
  </conditionalFormatting>
  <conditionalFormatting sqref="K76:L77">
    <cfRule type="expression" dxfId="1202" priority="422">
      <formula>K76&lt;51</formula>
    </cfRule>
    <cfRule type="expression" dxfId="1201" priority="423">
      <formula>K76&gt;59</formula>
    </cfRule>
  </conditionalFormatting>
  <conditionalFormatting sqref="K76:L77">
    <cfRule type="expression" dxfId="1200" priority="421">
      <formula>K76&lt;1</formula>
    </cfRule>
  </conditionalFormatting>
  <conditionalFormatting sqref="K78:L78">
    <cfRule type="expression" dxfId="1199" priority="419">
      <formula>K78&lt;30</formula>
    </cfRule>
    <cfRule type="expression" dxfId="1198" priority="420">
      <formula>K78&gt;40</formula>
    </cfRule>
  </conditionalFormatting>
  <conditionalFormatting sqref="K78:L78">
    <cfRule type="expression" dxfId="1197" priority="418">
      <formula>K78&lt;1</formula>
    </cfRule>
  </conditionalFormatting>
  <conditionalFormatting sqref="K79:L79">
    <cfRule type="expression" dxfId="1196" priority="416">
      <formula>K79&lt;26</formula>
    </cfRule>
    <cfRule type="expression" dxfId="1195" priority="417">
      <formula>K79&gt;32</formula>
    </cfRule>
  </conditionalFormatting>
  <conditionalFormatting sqref="K79:L79">
    <cfRule type="expression" dxfId="1194" priority="415">
      <formula>K79&lt;1</formula>
    </cfRule>
  </conditionalFormatting>
  <conditionalFormatting sqref="K80:L80">
    <cfRule type="expression" dxfId="1193" priority="413">
      <formula>K80&lt;26</formula>
    </cfRule>
    <cfRule type="expression" dxfId="1192" priority="414">
      <formula>K80&gt;32</formula>
    </cfRule>
  </conditionalFormatting>
  <conditionalFormatting sqref="K80:L80">
    <cfRule type="expression" dxfId="1191" priority="412">
      <formula>K80&lt;1</formula>
    </cfRule>
  </conditionalFormatting>
  <conditionalFormatting sqref="K75:L75">
    <cfRule type="expression" dxfId="1190" priority="410">
      <formula>K75&lt;51</formula>
    </cfRule>
    <cfRule type="expression" dxfId="1189" priority="411">
      <formula>K75&gt;59</formula>
    </cfRule>
  </conditionalFormatting>
  <conditionalFormatting sqref="K75:L75">
    <cfRule type="expression" dxfId="1188" priority="409">
      <formula>K75&lt;1</formula>
    </cfRule>
  </conditionalFormatting>
  <conditionalFormatting sqref="K76:L77">
    <cfRule type="expression" dxfId="1187" priority="407">
      <formula>K76&lt;51</formula>
    </cfRule>
    <cfRule type="expression" dxfId="1186" priority="408">
      <formula>K76&gt;59</formula>
    </cfRule>
  </conditionalFormatting>
  <conditionalFormatting sqref="K76:L77">
    <cfRule type="expression" dxfId="1185" priority="406">
      <formula>K76&lt;1</formula>
    </cfRule>
  </conditionalFormatting>
  <conditionalFormatting sqref="K78:L78">
    <cfRule type="expression" dxfId="1184" priority="404">
      <formula>K78&lt;30</formula>
    </cfRule>
    <cfRule type="expression" dxfId="1183" priority="405">
      <formula>K78&gt;40</formula>
    </cfRule>
  </conditionalFormatting>
  <conditionalFormatting sqref="K78:L78">
    <cfRule type="expression" dxfId="1182" priority="403">
      <formula>K78&lt;1</formula>
    </cfRule>
  </conditionalFormatting>
  <conditionalFormatting sqref="K79:L79">
    <cfRule type="expression" dxfId="1181" priority="401">
      <formula>K79&lt;26</formula>
    </cfRule>
    <cfRule type="expression" dxfId="1180" priority="402">
      <formula>K79&gt;32</formula>
    </cfRule>
  </conditionalFormatting>
  <conditionalFormatting sqref="K79:L79">
    <cfRule type="expression" dxfId="1179" priority="400">
      <formula>K79&lt;1</formula>
    </cfRule>
  </conditionalFormatting>
  <conditionalFormatting sqref="K80:L80">
    <cfRule type="expression" dxfId="1178" priority="398">
      <formula>K80&lt;26</formula>
    </cfRule>
    <cfRule type="expression" dxfId="1177" priority="399">
      <formula>K80&gt;32</formula>
    </cfRule>
  </conditionalFormatting>
  <conditionalFormatting sqref="K80:L80">
    <cfRule type="expression" dxfId="1176" priority="397">
      <formula>K80&lt;1</formula>
    </cfRule>
  </conditionalFormatting>
  <conditionalFormatting sqref="K81">
    <cfRule type="expression" dxfId="1175" priority="395">
      <formula>K81&lt;170</formula>
    </cfRule>
    <cfRule type="expression" dxfId="1174" priority="396">
      <formula>K81&gt;220</formula>
    </cfRule>
  </conditionalFormatting>
  <conditionalFormatting sqref="K81">
    <cfRule type="expression" dxfId="1173" priority="394">
      <formula>K81&lt;1</formula>
    </cfRule>
  </conditionalFormatting>
  <conditionalFormatting sqref="Q75:R75">
    <cfRule type="expression" dxfId="1172" priority="392">
      <formula>Q75&lt;51</formula>
    </cfRule>
    <cfRule type="expression" dxfId="1171" priority="393">
      <formula>Q75&gt;59</formula>
    </cfRule>
  </conditionalFormatting>
  <conditionalFormatting sqref="Q75:R75">
    <cfRule type="expression" dxfId="1170" priority="391">
      <formula>Q75&lt;1</formula>
    </cfRule>
  </conditionalFormatting>
  <conditionalFormatting sqref="Q76:R77">
    <cfRule type="expression" dxfId="1169" priority="389">
      <formula>Q76&lt;51</formula>
    </cfRule>
    <cfRule type="expression" dxfId="1168" priority="390">
      <formula>Q76&gt;59</formula>
    </cfRule>
  </conditionalFormatting>
  <conditionalFormatting sqref="Q76:R77">
    <cfRule type="expression" dxfId="1167" priority="388">
      <formula>Q76&lt;1</formula>
    </cfRule>
  </conditionalFormatting>
  <conditionalFormatting sqref="Q78:R78">
    <cfRule type="expression" dxfId="1166" priority="386">
      <formula>Q78&lt;30</formula>
    </cfRule>
    <cfRule type="expression" dxfId="1165" priority="387">
      <formula>Q78&gt;40</formula>
    </cfRule>
  </conditionalFormatting>
  <conditionalFormatting sqref="Q78:R78">
    <cfRule type="expression" dxfId="1164" priority="385">
      <formula>Q78&lt;1</formula>
    </cfRule>
  </conditionalFormatting>
  <conditionalFormatting sqref="Q79:R79">
    <cfRule type="expression" dxfId="1163" priority="383">
      <formula>Q79&lt;26</formula>
    </cfRule>
    <cfRule type="expression" dxfId="1162" priority="384">
      <formula>Q79&gt;32</formula>
    </cfRule>
  </conditionalFormatting>
  <conditionalFormatting sqref="Q79:R79">
    <cfRule type="expression" dxfId="1161" priority="382">
      <formula>Q79&lt;1</formula>
    </cfRule>
  </conditionalFormatting>
  <conditionalFormatting sqref="Q80:R80">
    <cfRule type="expression" dxfId="1160" priority="380">
      <formula>Q80&lt;26</formula>
    </cfRule>
    <cfRule type="expression" dxfId="1159" priority="381">
      <formula>Q80&gt;32</formula>
    </cfRule>
  </conditionalFormatting>
  <conditionalFormatting sqref="Q80:R80">
    <cfRule type="expression" dxfId="1158" priority="379">
      <formula>Q80&lt;1</formula>
    </cfRule>
  </conditionalFormatting>
  <conditionalFormatting sqref="Q75:R75">
    <cfRule type="expression" dxfId="1157" priority="377">
      <formula>Q75&lt;51</formula>
    </cfRule>
    <cfRule type="expression" dxfId="1156" priority="378">
      <formula>Q75&gt;59</formula>
    </cfRule>
  </conditionalFormatting>
  <conditionalFormatting sqref="Q75:R75">
    <cfRule type="expression" dxfId="1155" priority="376">
      <formula>Q75&lt;1</formula>
    </cfRule>
  </conditionalFormatting>
  <conditionalFormatting sqref="Q76:R77">
    <cfRule type="expression" dxfId="1154" priority="374">
      <formula>Q76&lt;51</formula>
    </cfRule>
    <cfRule type="expression" dxfId="1153" priority="375">
      <formula>Q76&gt;59</formula>
    </cfRule>
  </conditionalFormatting>
  <conditionalFormatting sqref="Q76:R77">
    <cfRule type="expression" dxfId="1152" priority="373">
      <formula>Q76&lt;1</formula>
    </cfRule>
  </conditionalFormatting>
  <conditionalFormatting sqref="Q78:R78">
    <cfRule type="expression" dxfId="1151" priority="371">
      <formula>Q78&lt;30</formula>
    </cfRule>
    <cfRule type="expression" dxfId="1150" priority="372">
      <formula>Q78&gt;40</formula>
    </cfRule>
  </conditionalFormatting>
  <conditionalFormatting sqref="Q78:R78">
    <cfRule type="expression" dxfId="1149" priority="370">
      <formula>Q78&lt;1</formula>
    </cfRule>
  </conditionalFormatting>
  <conditionalFormatting sqref="Q79:R79">
    <cfRule type="expression" dxfId="1148" priority="368">
      <formula>Q79&lt;26</formula>
    </cfRule>
    <cfRule type="expression" dxfId="1147" priority="369">
      <formula>Q79&gt;32</formula>
    </cfRule>
  </conditionalFormatting>
  <conditionalFormatting sqref="Q79:R79">
    <cfRule type="expression" dxfId="1146" priority="367">
      <formula>Q79&lt;1</formula>
    </cfRule>
  </conditionalFormatting>
  <conditionalFormatting sqref="Q80:R80">
    <cfRule type="expression" dxfId="1145" priority="365">
      <formula>Q80&lt;26</formula>
    </cfRule>
    <cfRule type="expression" dxfId="1144" priority="366">
      <formula>Q80&gt;32</formula>
    </cfRule>
  </conditionalFormatting>
  <conditionalFormatting sqref="Q80:R80">
    <cfRule type="expression" dxfId="1143" priority="364">
      <formula>Q80&lt;1</formula>
    </cfRule>
  </conditionalFormatting>
  <conditionalFormatting sqref="Q81">
    <cfRule type="expression" dxfId="1142" priority="362">
      <formula>Q81&lt;170</formula>
    </cfRule>
    <cfRule type="expression" dxfId="1141" priority="363">
      <formula>Q81&gt;220</formula>
    </cfRule>
  </conditionalFormatting>
  <conditionalFormatting sqref="Q81">
    <cfRule type="expression" dxfId="1140" priority="361">
      <formula>Q81&lt;1</formula>
    </cfRule>
  </conditionalFormatting>
  <conditionalFormatting sqref="N75:P75">
    <cfRule type="expression" dxfId="1139" priority="359">
      <formula>N75&lt;51</formula>
    </cfRule>
    <cfRule type="expression" dxfId="1138" priority="360">
      <formula>N75&gt;59</formula>
    </cfRule>
  </conditionalFormatting>
  <conditionalFormatting sqref="N75:P75">
    <cfRule type="expression" dxfId="1137" priority="358">
      <formula>N75&lt;1</formula>
    </cfRule>
  </conditionalFormatting>
  <conditionalFormatting sqref="N76:P77">
    <cfRule type="expression" dxfId="1136" priority="356">
      <formula>N76&lt;51</formula>
    </cfRule>
    <cfRule type="expression" dxfId="1135" priority="357">
      <formula>N76&gt;59</formula>
    </cfRule>
  </conditionalFormatting>
  <conditionalFormatting sqref="N76:P77">
    <cfRule type="expression" dxfId="1134" priority="355">
      <formula>N76&lt;1</formula>
    </cfRule>
  </conditionalFormatting>
  <conditionalFormatting sqref="N78:P78">
    <cfRule type="expression" dxfId="1133" priority="353">
      <formula>N78&lt;30</formula>
    </cfRule>
    <cfRule type="expression" dxfId="1132" priority="354">
      <formula>N78&gt;40</formula>
    </cfRule>
  </conditionalFormatting>
  <conditionalFormatting sqref="N78:P78">
    <cfRule type="expression" dxfId="1131" priority="352">
      <formula>N78&lt;1</formula>
    </cfRule>
  </conditionalFormatting>
  <conditionalFormatting sqref="N79:P79">
    <cfRule type="expression" dxfId="1130" priority="350">
      <formula>N79&lt;26</formula>
    </cfRule>
    <cfRule type="expression" dxfId="1129" priority="351">
      <formula>N79&gt;32</formula>
    </cfRule>
  </conditionalFormatting>
  <conditionalFormatting sqref="N79:P79">
    <cfRule type="expression" dxfId="1128" priority="349">
      <formula>N79&lt;1</formula>
    </cfRule>
  </conditionalFormatting>
  <conditionalFormatting sqref="N80:P80">
    <cfRule type="expression" dxfId="1127" priority="347">
      <formula>N80&lt;26</formula>
    </cfRule>
    <cfRule type="expression" dxfId="1126" priority="348">
      <formula>N80&gt;32</formula>
    </cfRule>
  </conditionalFormatting>
  <conditionalFormatting sqref="N80:P80">
    <cfRule type="expression" dxfId="1125" priority="346">
      <formula>N80&lt;1</formula>
    </cfRule>
  </conditionalFormatting>
  <conditionalFormatting sqref="N75:P75">
    <cfRule type="expression" dxfId="1124" priority="344">
      <formula>N75&lt;51</formula>
    </cfRule>
    <cfRule type="expression" dxfId="1123" priority="345">
      <formula>N75&gt;59</formula>
    </cfRule>
  </conditionalFormatting>
  <conditionalFormatting sqref="N75:P75">
    <cfRule type="expression" dxfId="1122" priority="343">
      <formula>N75&lt;1</formula>
    </cfRule>
  </conditionalFormatting>
  <conditionalFormatting sqref="N76:P77">
    <cfRule type="expression" dxfId="1121" priority="341">
      <formula>N76&lt;51</formula>
    </cfRule>
    <cfRule type="expression" dxfId="1120" priority="342">
      <formula>N76&gt;59</formula>
    </cfRule>
  </conditionalFormatting>
  <conditionalFormatting sqref="N76:P77">
    <cfRule type="expression" dxfId="1119" priority="340">
      <formula>N76&lt;1</formula>
    </cfRule>
  </conditionalFormatting>
  <conditionalFormatting sqref="N78:P78">
    <cfRule type="expression" dxfId="1118" priority="338">
      <formula>N78&lt;30</formula>
    </cfRule>
    <cfRule type="expression" dxfId="1117" priority="339">
      <formula>N78&gt;40</formula>
    </cfRule>
  </conditionalFormatting>
  <conditionalFormatting sqref="N78:P78">
    <cfRule type="expression" dxfId="1116" priority="337">
      <formula>N78&lt;1</formula>
    </cfRule>
  </conditionalFormatting>
  <conditionalFormatting sqref="N79:P79">
    <cfRule type="expression" dxfId="1115" priority="335">
      <formula>N79&lt;26</formula>
    </cfRule>
    <cfRule type="expression" dxfId="1114" priority="336">
      <formula>N79&gt;32</formula>
    </cfRule>
  </conditionalFormatting>
  <conditionalFormatting sqref="N79:P79">
    <cfRule type="expression" dxfId="1113" priority="334">
      <formula>N79&lt;1</formula>
    </cfRule>
  </conditionalFormatting>
  <conditionalFormatting sqref="N80:P80">
    <cfRule type="expression" dxfId="1112" priority="332">
      <formula>N80&lt;26</formula>
    </cfRule>
    <cfRule type="expression" dxfId="1111" priority="333">
      <formula>N80&gt;32</formula>
    </cfRule>
  </conditionalFormatting>
  <conditionalFormatting sqref="N80:P80">
    <cfRule type="expression" dxfId="1110" priority="331">
      <formula>N80&lt;1</formula>
    </cfRule>
  </conditionalFormatting>
  <conditionalFormatting sqref="H75">
    <cfRule type="expression" dxfId="1109" priority="329">
      <formula>H75&lt;51</formula>
    </cfRule>
    <cfRule type="expression" dxfId="1108" priority="330">
      <formula>H75&gt;59</formula>
    </cfRule>
  </conditionalFormatting>
  <conditionalFormatting sqref="H75">
    <cfRule type="expression" dxfId="1107" priority="328">
      <formula>H75&lt;1</formula>
    </cfRule>
  </conditionalFormatting>
  <conditionalFormatting sqref="H76:H77">
    <cfRule type="expression" dxfId="1106" priority="326">
      <formula>H76&lt;51</formula>
    </cfRule>
    <cfRule type="expression" dxfId="1105" priority="327">
      <formula>H76&gt;59</formula>
    </cfRule>
  </conditionalFormatting>
  <conditionalFormatting sqref="H76:H77">
    <cfRule type="expression" dxfId="1104" priority="325">
      <formula>H76&lt;1</formula>
    </cfRule>
  </conditionalFormatting>
  <conditionalFormatting sqref="H78">
    <cfRule type="expression" dxfId="1103" priority="323">
      <formula>H78&lt;30</formula>
    </cfRule>
    <cfRule type="expression" dxfId="1102" priority="324">
      <formula>H78&gt;40</formula>
    </cfRule>
  </conditionalFormatting>
  <conditionalFormatting sqref="H78">
    <cfRule type="expression" dxfId="1101" priority="322">
      <formula>H78&lt;1</formula>
    </cfRule>
  </conditionalFormatting>
  <conditionalFormatting sqref="H79">
    <cfRule type="expression" dxfId="1100" priority="320">
      <formula>H79&lt;26</formula>
    </cfRule>
    <cfRule type="expression" dxfId="1099" priority="321">
      <formula>H79&gt;32</formula>
    </cfRule>
  </conditionalFormatting>
  <conditionalFormatting sqref="H79">
    <cfRule type="expression" dxfId="1098" priority="319">
      <formula>H79&lt;1</formula>
    </cfRule>
  </conditionalFormatting>
  <conditionalFormatting sqref="H80">
    <cfRule type="expression" dxfId="1097" priority="317">
      <formula>H80&lt;26</formula>
    </cfRule>
    <cfRule type="expression" dxfId="1096" priority="318">
      <formula>H80&gt;32</formula>
    </cfRule>
  </conditionalFormatting>
  <conditionalFormatting sqref="H80">
    <cfRule type="expression" dxfId="1095" priority="316">
      <formula>H80&lt;1</formula>
    </cfRule>
  </conditionalFormatting>
  <conditionalFormatting sqref="H75">
    <cfRule type="expression" dxfId="1094" priority="314">
      <formula>H75&lt;51</formula>
    </cfRule>
    <cfRule type="expression" dxfId="1093" priority="315">
      <formula>H75&gt;59</formula>
    </cfRule>
  </conditionalFormatting>
  <conditionalFormatting sqref="H75">
    <cfRule type="expression" dxfId="1092" priority="313">
      <formula>H75&lt;1</formula>
    </cfRule>
  </conditionalFormatting>
  <conditionalFormatting sqref="H76:H77">
    <cfRule type="expression" dxfId="1091" priority="311">
      <formula>H76&lt;51</formula>
    </cfRule>
    <cfRule type="expression" dxfId="1090" priority="312">
      <formula>H76&gt;59</formula>
    </cfRule>
  </conditionalFormatting>
  <conditionalFormatting sqref="H76:H77">
    <cfRule type="expression" dxfId="1089" priority="310">
      <formula>H76&lt;1</formula>
    </cfRule>
  </conditionalFormatting>
  <conditionalFormatting sqref="H78">
    <cfRule type="expression" dxfId="1088" priority="308">
      <formula>H78&lt;30</formula>
    </cfRule>
    <cfRule type="expression" dxfId="1087" priority="309">
      <formula>H78&gt;40</formula>
    </cfRule>
  </conditionalFormatting>
  <conditionalFormatting sqref="H78">
    <cfRule type="expression" dxfId="1086" priority="307">
      <formula>H78&lt;1</formula>
    </cfRule>
  </conditionalFormatting>
  <conditionalFormatting sqref="H79">
    <cfRule type="expression" dxfId="1085" priority="305">
      <formula>H79&lt;26</formula>
    </cfRule>
    <cfRule type="expression" dxfId="1084" priority="306">
      <formula>H79&gt;32</formula>
    </cfRule>
  </conditionalFormatting>
  <conditionalFormatting sqref="H79">
    <cfRule type="expression" dxfId="1083" priority="304">
      <formula>H79&lt;1</formula>
    </cfRule>
  </conditionalFormatting>
  <conditionalFormatting sqref="H80">
    <cfRule type="expression" dxfId="1082" priority="302">
      <formula>H80&lt;26</formula>
    </cfRule>
    <cfRule type="expression" dxfId="1081" priority="303">
      <formula>H80&gt;32</formula>
    </cfRule>
  </conditionalFormatting>
  <conditionalFormatting sqref="H80">
    <cfRule type="expression" dxfId="1080" priority="301">
      <formula>H80&lt;1</formula>
    </cfRule>
  </conditionalFormatting>
  <conditionalFormatting sqref="N75">
    <cfRule type="expression" dxfId="1079" priority="299">
      <formula>N75&lt;51</formula>
    </cfRule>
    <cfRule type="expression" dxfId="1078" priority="300">
      <formula>N75&gt;59</formula>
    </cfRule>
  </conditionalFormatting>
  <conditionalFormatting sqref="N75">
    <cfRule type="expression" dxfId="1077" priority="298">
      <formula>N75&lt;1</formula>
    </cfRule>
  </conditionalFormatting>
  <conditionalFormatting sqref="N76:N77">
    <cfRule type="expression" dxfId="1076" priority="296">
      <formula>N76&lt;51</formula>
    </cfRule>
    <cfRule type="expression" dxfId="1075" priority="297">
      <formula>N76&gt;59</formula>
    </cfRule>
  </conditionalFormatting>
  <conditionalFormatting sqref="N76:N77">
    <cfRule type="expression" dxfId="1074" priority="295">
      <formula>N76&lt;1</formula>
    </cfRule>
  </conditionalFormatting>
  <conditionalFormatting sqref="N78">
    <cfRule type="expression" dxfId="1073" priority="293">
      <formula>N78&lt;30</formula>
    </cfRule>
    <cfRule type="expression" dxfId="1072" priority="294">
      <formula>N78&gt;40</formula>
    </cfRule>
  </conditionalFormatting>
  <conditionalFormatting sqref="N78">
    <cfRule type="expression" dxfId="1071" priority="292">
      <formula>N78&lt;1</formula>
    </cfRule>
  </conditionalFormatting>
  <conditionalFormatting sqref="N79">
    <cfRule type="expression" dxfId="1070" priority="290">
      <formula>N79&lt;26</formula>
    </cfRule>
    <cfRule type="expression" dxfId="1069" priority="291">
      <formula>N79&gt;32</formula>
    </cfRule>
  </conditionalFormatting>
  <conditionalFormatting sqref="N79">
    <cfRule type="expression" dxfId="1068" priority="289">
      <formula>N79&lt;1</formula>
    </cfRule>
  </conditionalFormatting>
  <conditionalFormatting sqref="N80">
    <cfRule type="expression" dxfId="1067" priority="287">
      <formula>N80&lt;26</formula>
    </cfRule>
    <cfRule type="expression" dxfId="1066" priority="288">
      <formula>N80&gt;32</formula>
    </cfRule>
  </conditionalFormatting>
  <conditionalFormatting sqref="N80">
    <cfRule type="expression" dxfId="1065" priority="286">
      <formula>N80&lt;1</formula>
    </cfRule>
  </conditionalFormatting>
  <conditionalFormatting sqref="N75">
    <cfRule type="expression" dxfId="1064" priority="284">
      <formula>N75&lt;51</formula>
    </cfRule>
    <cfRule type="expression" dxfId="1063" priority="285">
      <formula>N75&gt;59</formula>
    </cfRule>
  </conditionalFormatting>
  <conditionalFormatting sqref="N75">
    <cfRule type="expression" dxfId="1062" priority="283">
      <formula>N75&lt;1</formula>
    </cfRule>
  </conditionalFormatting>
  <conditionalFormatting sqref="N76:N77">
    <cfRule type="expression" dxfId="1061" priority="281">
      <formula>N76&lt;51</formula>
    </cfRule>
    <cfRule type="expression" dxfId="1060" priority="282">
      <formula>N76&gt;59</formula>
    </cfRule>
  </conditionalFormatting>
  <conditionalFormatting sqref="N76:N77">
    <cfRule type="expression" dxfId="1059" priority="280">
      <formula>N76&lt;1</formula>
    </cfRule>
  </conditionalFormatting>
  <conditionalFormatting sqref="N78">
    <cfRule type="expression" dxfId="1058" priority="278">
      <formula>N78&lt;30</formula>
    </cfRule>
    <cfRule type="expression" dxfId="1057" priority="279">
      <formula>N78&gt;40</formula>
    </cfRule>
  </conditionalFormatting>
  <conditionalFormatting sqref="N78">
    <cfRule type="expression" dxfId="1056" priority="277">
      <formula>N78&lt;1</formula>
    </cfRule>
  </conditionalFormatting>
  <conditionalFormatting sqref="N79">
    <cfRule type="expression" dxfId="1055" priority="275">
      <formula>N79&lt;26</formula>
    </cfRule>
    <cfRule type="expression" dxfId="1054" priority="276">
      <formula>N79&gt;32</formula>
    </cfRule>
  </conditionalFormatting>
  <conditionalFormatting sqref="N79">
    <cfRule type="expression" dxfId="1053" priority="274">
      <formula>N79&lt;1</formula>
    </cfRule>
  </conditionalFormatting>
  <conditionalFormatting sqref="N80">
    <cfRule type="expression" dxfId="1052" priority="272">
      <formula>N80&lt;26</formula>
    </cfRule>
    <cfRule type="expression" dxfId="1051" priority="273">
      <formula>N80&gt;32</formula>
    </cfRule>
  </conditionalFormatting>
  <conditionalFormatting sqref="N80">
    <cfRule type="expression" dxfId="1050" priority="271">
      <formula>N80&lt;1</formula>
    </cfRule>
  </conditionalFormatting>
  <conditionalFormatting sqref="H50">
    <cfRule type="expression" dxfId="1049" priority="265">
      <formula>H50&lt;55</formula>
    </cfRule>
    <cfRule type="expression" dxfId="1048" priority="266">
      <formula>H50&gt;65</formula>
    </cfRule>
  </conditionalFormatting>
  <conditionalFormatting sqref="K50">
    <cfRule type="expression" dxfId="1047" priority="263">
      <formula>K50&lt;55</formula>
    </cfRule>
    <cfRule type="expression" dxfId="1046" priority="264">
      <formula>K50&gt;65</formula>
    </cfRule>
  </conditionalFormatting>
  <conditionalFormatting sqref="N50">
    <cfRule type="expression" dxfId="1045" priority="261">
      <formula>N50&lt;55</formula>
    </cfRule>
    <cfRule type="expression" dxfId="1044" priority="262">
      <formula>N50&gt;65</formula>
    </cfRule>
  </conditionalFormatting>
  <conditionalFormatting sqref="Q50">
    <cfRule type="expression" dxfId="1043" priority="259">
      <formula>Q50&lt;55</formula>
    </cfRule>
    <cfRule type="expression" dxfId="1042" priority="260">
      <formula>Q50&gt;65</formula>
    </cfRule>
  </conditionalFormatting>
  <conditionalFormatting sqref="T50">
    <cfRule type="expression" dxfId="1041" priority="257">
      <formula>T50&lt;55</formula>
    </cfRule>
    <cfRule type="expression" dxfId="1040" priority="258">
      <formula>T50&gt;65</formula>
    </cfRule>
  </conditionalFormatting>
  <conditionalFormatting sqref="W50">
    <cfRule type="expression" dxfId="1039" priority="255">
      <formula>W50&lt;55</formula>
    </cfRule>
    <cfRule type="expression" dxfId="1038" priority="256">
      <formula>W50&gt;65</formula>
    </cfRule>
  </conditionalFormatting>
  <conditionalFormatting sqref="Z50">
    <cfRule type="expression" dxfId="1037" priority="253">
      <formula>Z50&lt;55</formula>
    </cfRule>
    <cfRule type="expression" dxfId="1036" priority="254">
      <formula>Z50&gt;65</formula>
    </cfRule>
  </conditionalFormatting>
  <conditionalFormatting sqref="AC50">
    <cfRule type="expression" dxfId="1035" priority="251">
      <formula>AC50&lt;55</formula>
    </cfRule>
    <cfRule type="expression" dxfId="1034" priority="252">
      <formula>AC50&gt;65</formula>
    </cfRule>
  </conditionalFormatting>
  <conditionalFormatting sqref="AF50">
    <cfRule type="expression" dxfId="1033" priority="249">
      <formula>AF50&lt;55</formula>
    </cfRule>
    <cfRule type="expression" dxfId="1032" priority="250">
      <formula>AF50&gt;65</formula>
    </cfRule>
  </conditionalFormatting>
  <conditionalFormatting sqref="AI50">
    <cfRule type="expression" dxfId="1031" priority="247">
      <formula>AI50&lt;55</formula>
    </cfRule>
    <cfRule type="expression" dxfId="1030" priority="248">
      <formula>AI50&gt;65</formula>
    </cfRule>
  </conditionalFormatting>
  <conditionalFormatting sqref="AL50">
    <cfRule type="expression" dxfId="1029" priority="245">
      <formula>AL50&lt;55</formula>
    </cfRule>
    <cfRule type="expression" dxfId="1028" priority="246">
      <formula>AL50&gt;65</formula>
    </cfRule>
  </conditionalFormatting>
  <conditionalFormatting sqref="AO50">
    <cfRule type="expression" dxfId="1027" priority="243">
      <formula>AO50&lt;55</formula>
    </cfRule>
    <cfRule type="expression" dxfId="1026" priority="244">
      <formula>AO50&gt;65</formula>
    </cfRule>
  </conditionalFormatting>
  <conditionalFormatting sqref="K51:M51">
    <cfRule type="expression" dxfId="1025" priority="241">
      <formula>K51&lt;65</formula>
    </cfRule>
    <cfRule type="expression" dxfId="1024" priority="242">
      <formula>K51&gt;85</formula>
    </cfRule>
  </conditionalFormatting>
  <conditionalFormatting sqref="K52:M52">
    <cfRule type="expression" dxfId="1023" priority="239">
      <formula>K52&lt;80</formula>
    </cfRule>
    <cfRule type="expression" dxfId="1022" priority="240">
      <formula>K52&gt;90</formula>
    </cfRule>
  </conditionalFormatting>
  <conditionalFormatting sqref="K50">
    <cfRule type="expression" dxfId="1021" priority="237">
      <formula>K50&lt;55</formula>
    </cfRule>
    <cfRule type="expression" dxfId="1020" priority="238">
      <formula>K50&gt;65</formula>
    </cfRule>
  </conditionalFormatting>
  <conditionalFormatting sqref="N51:P51">
    <cfRule type="expression" dxfId="1019" priority="235">
      <formula>N51&lt;65</formula>
    </cfRule>
    <cfRule type="expression" dxfId="1018" priority="236">
      <formula>N51&gt;85</formula>
    </cfRule>
  </conditionalFormatting>
  <conditionalFormatting sqref="N52:P52">
    <cfRule type="expression" dxfId="1017" priority="233">
      <formula>N52&lt;80</formula>
    </cfRule>
    <cfRule type="expression" dxfId="1016" priority="234">
      <formula>N52&gt;90</formula>
    </cfRule>
  </conditionalFormatting>
  <conditionalFormatting sqref="Q51:R52">
    <cfRule type="expression" dxfId="1015" priority="231">
      <formula>Q51&lt;65</formula>
    </cfRule>
    <cfRule type="expression" dxfId="1014" priority="232">
      <formula>Q51&gt;85</formula>
    </cfRule>
  </conditionalFormatting>
  <conditionalFormatting sqref="N50">
    <cfRule type="expression" dxfId="1013" priority="229">
      <formula>N50&lt;55</formula>
    </cfRule>
    <cfRule type="expression" dxfId="1012" priority="230">
      <formula>N50&gt;65</formula>
    </cfRule>
  </conditionalFormatting>
  <conditionalFormatting sqref="Q50">
    <cfRule type="expression" dxfId="1011" priority="227">
      <formula>Q50&lt;55</formula>
    </cfRule>
    <cfRule type="expression" dxfId="1010" priority="228">
      <formula>Q50&gt;65</formula>
    </cfRule>
  </conditionalFormatting>
  <conditionalFormatting sqref="Q51:S51">
    <cfRule type="expression" dxfId="1009" priority="225">
      <formula>Q51&lt;65</formula>
    </cfRule>
    <cfRule type="expression" dxfId="1008" priority="226">
      <formula>Q51&gt;85</formula>
    </cfRule>
  </conditionalFormatting>
  <conditionalFormatting sqref="Q52:S52">
    <cfRule type="expression" dxfId="1007" priority="223">
      <formula>Q52&lt;80</formula>
    </cfRule>
    <cfRule type="expression" dxfId="1006" priority="224">
      <formula>Q52&gt;90</formula>
    </cfRule>
  </conditionalFormatting>
  <conditionalFormatting sqref="Q50">
    <cfRule type="expression" dxfId="1005" priority="221">
      <formula>Q50&lt;55</formula>
    </cfRule>
    <cfRule type="expression" dxfId="1004" priority="222">
      <formula>Q50&gt;65</formula>
    </cfRule>
  </conditionalFormatting>
  <conditionalFormatting sqref="T51:V51">
    <cfRule type="expression" dxfId="1003" priority="219">
      <formula>T51&lt;65</formula>
    </cfRule>
    <cfRule type="expression" dxfId="1002" priority="220">
      <formula>T51&gt;85</formula>
    </cfRule>
  </conditionalFormatting>
  <conditionalFormatting sqref="T52:V52">
    <cfRule type="expression" dxfId="1001" priority="217">
      <formula>T52&lt;80</formula>
    </cfRule>
    <cfRule type="expression" dxfId="1000" priority="218">
      <formula>T52&gt;90</formula>
    </cfRule>
  </conditionalFormatting>
  <conditionalFormatting sqref="W51:X51">
    <cfRule type="expression" dxfId="999" priority="215">
      <formula>W51&lt;65</formula>
    </cfRule>
    <cfRule type="expression" dxfId="998" priority="216">
      <formula>W51&gt;85</formula>
    </cfRule>
  </conditionalFormatting>
  <conditionalFormatting sqref="W52:X52">
    <cfRule type="expression" dxfId="997" priority="213">
      <formula>W52&lt;80</formula>
    </cfRule>
    <cfRule type="expression" dxfId="996" priority="214">
      <formula>W52&gt;90</formula>
    </cfRule>
  </conditionalFormatting>
  <conditionalFormatting sqref="T50">
    <cfRule type="expression" dxfId="995" priority="211">
      <formula>T50&lt;55</formula>
    </cfRule>
    <cfRule type="expression" dxfId="994" priority="212">
      <formula>T50&gt;65</formula>
    </cfRule>
  </conditionalFormatting>
  <conditionalFormatting sqref="W50">
    <cfRule type="expression" dxfId="993" priority="209">
      <formula>W50&lt;55</formula>
    </cfRule>
    <cfRule type="expression" dxfId="992" priority="210">
      <formula>W50&gt;65</formula>
    </cfRule>
  </conditionalFormatting>
  <conditionalFormatting sqref="T51:V51">
    <cfRule type="expression" dxfId="991" priority="207">
      <formula>T51&lt;65</formula>
    </cfRule>
    <cfRule type="expression" dxfId="990" priority="208">
      <formula>T51&gt;85</formula>
    </cfRule>
  </conditionalFormatting>
  <conditionalFormatting sqref="T52:V52">
    <cfRule type="expression" dxfId="989" priority="205">
      <formula>T52&lt;80</formula>
    </cfRule>
    <cfRule type="expression" dxfId="988" priority="206">
      <formula>T52&gt;90</formula>
    </cfRule>
  </conditionalFormatting>
  <conditionalFormatting sqref="W51:X52">
    <cfRule type="expression" dxfId="987" priority="203">
      <formula>W51&lt;65</formula>
    </cfRule>
    <cfRule type="expression" dxfId="986" priority="204">
      <formula>W51&gt;85</formula>
    </cfRule>
  </conditionalFormatting>
  <conditionalFormatting sqref="T50">
    <cfRule type="expression" dxfId="985" priority="201">
      <formula>T50&lt;55</formula>
    </cfRule>
    <cfRule type="expression" dxfId="984" priority="202">
      <formula>T50&gt;65</formula>
    </cfRule>
  </conditionalFormatting>
  <conditionalFormatting sqref="W50">
    <cfRule type="expression" dxfId="983" priority="199">
      <formula>W50&lt;55</formula>
    </cfRule>
    <cfRule type="expression" dxfId="982" priority="200">
      <formula>W50&gt;65</formula>
    </cfRule>
  </conditionalFormatting>
  <conditionalFormatting sqref="W51:Y51">
    <cfRule type="expression" dxfId="981" priority="197">
      <formula>W51&lt;65</formula>
    </cfRule>
    <cfRule type="expression" dxfId="980" priority="198">
      <formula>W51&gt;85</formula>
    </cfRule>
  </conditionalFormatting>
  <conditionalFormatting sqref="W52:Y52">
    <cfRule type="expression" dxfId="979" priority="195">
      <formula>W52&lt;80</formula>
    </cfRule>
    <cfRule type="expression" dxfId="978" priority="196">
      <formula>W52&gt;90</formula>
    </cfRule>
  </conditionalFormatting>
  <conditionalFormatting sqref="W50">
    <cfRule type="expression" dxfId="977" priority="193">
      <formula>W50&lt;55</formula>
    </cfRule>
    <cfRule type="expression" dxfId="976" priority="194">
      <formula>W50&gt;65</formula>
    </cfRule>
  </conditionalFormatting>
  <conditionalFormatting sqref="Z51:AB51">
    <cfRule type="expression" dxfId="975" priority="191">
      <formula>Z51&lt;65</formula>
    </cfRule>
    <cfRule type="expression" dxfId="974" priority="192">
      <formula>Z51&gt;85</formula>
    </cfRule>
  </conditionalFormatting>
  <conditionalFormatting sqref="Z52:AB52">
    <cfRule type="expression" dxfId="973" priority="189">
      <formula>Z52&lt;80</formula>
    </cfRule>
    <cfRule type="expression" dxfId="972" priority="190">
      <formula>Z52&gt;90</formula>
    </cfRule>
  </conditionalFormatting>
  <conditionalFormatting sqref="AC51:AD51">
    <cfRule type="expression" dxfId="971" priority="187">
      <formula>AC51&lt;65</formula>
    </cfRule>
    <cfRule type="expression" dxfId="970" priority="188">
      <formula>AC51&gt;85</formula>
    </cfRule>
  </conditionalFormatting>
  <conditionalFormatting sqref="AC52:AD52">
    <cfRule type="expression" dxfId="969" priority="185">
      <formula>AC52&lt;80</formula>
    </cfRule>
    <cfRule type="expression" dxfId="968" priority="186">
      <formula>AC52&gt;90</formula>
    </cfRule>
  </conditionalFormatting>
  <conditionalFormatting sqref="Z50">
    <cfRule type="expression" dxfId="967" priority="183">
      <formula>Z50&lt;55</formula>
    </cfRule>
    <cfRule type="expression" dxfId="966" priority="184">
      <formula>Z50&gt;65</formula>
    </cfRule>
  </conditionalFormatting>
  <conditionalFormatting sqref="AC50">
    <cfRule type="expression" dxfId="965" priority="181">
      <formula>AC50&lt;55</formula>
    </cfRule>
    <cfRule type="expression" dxfId="964" priority="182">
      <formula>AC50&gt;65</formula>
    </cfRule>
  </conditionalFormatting>
  <conditionalFormatting sqref="Z51:AB51">
    <cfRule type="expression" dxfId="963" priority="179">
      <formula>Z51&lt;65</formula>
    </cfRule>
    <cfRule type="expression" dxfId="962" priority="180">
      <formula>Z51&gt;85</formula>
    </cfRule>
  </conditionalFormatting>
  <conditionalFormatting sqref="Z52:AB52">
    <cfRule type="expression" dxfId="961" priority="177">
      <formula>Z52&lt;80</formula>
    </cfRule>
    <cfRule type="expression" dxfId="960" priority="178">
      <formula>Z52&gt;90</formula>
    </cfRule>
  </conditionalFormatting>
  <conditionalFormatting sqref="AC51:AD52">
    <cfRule type="expression" dxfId="959" priority="175">
      <formula>AC51&lt;65</formula>
    </cfRule>
    <cfRule type="expression" dxfId="958" priority="176">
      <formula>AC51&gt;85</formula>
    </cfRule>
  </conditionalFormatting>
  <conditionalFormatting sqref="Z50">
    <cfRule type="expression" dxfId="957" priority="173">
      <formula>Z50&lt;55</formula>
    </cfRule>
    <cfRule type="expression" dxfId="956" priority="174">
      <formula>Z50&gt;65</formula>
    </cfRule>
  </conditionalFormatting>
  <conditionalFormatting sqref="AC50">
    <cfRule type="expression" dxfId="955" priority="171">
      <formula>AC50&lt;55</formula>
    </cfRule>
    <cfRule type="expression" dxfId="954" priority="172">
      <formula>AC50&gt;65</formula>
    </cfRule>
  </conditionalFormatting>
  <conditionalFormatting sqref="AC51:AE51">
    <cfRule type="expression" dxfId="953" priority="169">
      <formula>AC51&lt;65</formula>
    </cfRule>
    <cfRule type="expression" dxfId="952" priority="170">
      <formula>AC51&gt;85</formula>
    </cfRule>
  </conditionalFormatting>
  <conditionalFormatting sqref="AC52:AE52">
    <cfRule type="expression" dxfId="951" priority="167">
      <formula>AC52&lt;80</formula>
    </cfRule>
    <cfRule type="expression" dxfId="950" priority="168">
      <formula>AC52&gt;90</formula>
    </cfRule>
  </conditionalFormatting>
  <conditionalFormatting sqref="AC50">
    <cfRule type="expression" dxfId="949" priority="165">
      <formula>AC50&lt;55</formula>
    </cfRule>
    <cfRule type="expression" dxfId="948" priority="166">
      <formula>AC50&gt;65</formula>
    </cfRule>
  </conditionalFormatting>
  <conditionalFormatting sqref="AF51:AH51">
    <cfRule type="expression" dxfId="947" priority="163">
      <formula>AF51&lt;65</formula>
    </cfRule>
    <cfRule type="expression" dxfId="946" priority="164">
      <formula>AF51&gt;85</formula>
    </cfRule>
  </conditionalFormatting>
  <conditionalFormatting sqref="AF52:AH52">
    <cfRule type="expression" dxfId="945" priority="161">
      <formula>AF52&lt;80</formula>
    </cfRule>
    <cfRule type="expression" dxfId="944" priority="162">
      <formula>AF52&gt;90</formula>
    </cfRule>
  </conditionalFormatting>
  <conditionalFormatting sqref="AI51:AJ51">
    <cfRule type="expression" dxfId="943" priority="159">
      <formula>AI51&lt;65</formula>
    </cfRule>
    <cfRule type="expression" dxfId="942" priority="160">
      <formula>AI51&gt;85</formula>
    </cfRule>
  </conditionalFormatting>
  <conditionalFormatting sqref="AI52:AJ52">
    <cfRule type="expression" dxfId="941" priority="157">
      <formula>AI52&lt;80</formula>
    </cfRule>
    <cfRule type="expression" dxfId="940" priority="158">
      <formula>AI52&gt;90</formula>
    </cfRule>
  </conditionalFormatting>
  <conditionalFormatting sqref="AF50">
    <cfRule type="expression" dxfId="939" priority="155">
      <formula>AF50&lt;55</formula>
    </cfRule>
    <cfRule type="expression" dxfId="938" priority="156">
      <formula>AF50&gt;65</formula>
    </cfRule>
  </conditionalFormatting>
  <conditionalFormatting sqref="AI50">
    <cfRule type="expression" dxfId="937" priority="153">
      <formula>AI50&lt;55</formula>
    </cfRule>
    <cfRule type="expression" dxfId="936" priority="154">
      <formula>AI50&gt;65</formula>
    </cfRule>
  </conditionalFormatting>
  <conditionalFormatting sqref="AF51:AH51">
    <cfRule type="expression" dxfId="935" priority="151">
      <formula>AF51&lt;65</formula>
    </cfRule>
    <cfRule type="expression" dxfId="934" priority="152">
      <formula>AF51&gt;85</formula>
    </cfRule>
  </conditionalFormatting>
  <conditionalFormatting sqref="AF52:AH52">
    <cfRule type="expression" dxfId="933" priority="149">
      <formula>AF52&lt;80</formula>
    </cfRule>
    <cfRule type="expression" dxfId="932" priority="150">
      <formula>AF52&gt;90</formula>
    </cfRule>
  </conditionalFormatting>
  <conditionalFormatting sqref="AI51:AJ52">
    <cfRule type="expression" dxfId="931" priority="147">
      <formula>AI51&lt;65</formula>
    </cfRule>
    <cfRule type="expression" dxfId="930" priority="148">
      <formula>AI51&gt;85</formula>
    </cfRule>
  </conditionalFormatting>
  <conditionalFormatting sqref="AF50">
    <cfRule type="expression" dxfId="929" priority="145">
      <formula>AF50&lt;55</formula>
    </cfRule>
    <cfRule type="expression" dxfId="928" priority="146">
      <formula>AF50&gt;65</formula>
    </cfRule>
  </conditionalFormatting>
  <conditionalFormatting sqref="AI50">
    <cfRule type="expression" dxfId="927" priority="143">
      <formula>AI50&lt;55</formula>
    </cfRule>
    <cfRule type="expression" dxfId="926" priority="144">
      <formula>AI50&gt;65</formula>
    </cfRule>
  </conditionalFormatting>
  <conditionalFormatting sqref="AI51:AK51">
    <cfRule type="expression" dxfId="925" priority="141">
      <formula>AI51&lt;65</formula>
    </cfRule>
    <cfRule type="expression" dxfId="924" priority="142">
      <formula>AI51&gt;85</formula>
    </cfRule>
  </conditionalFormatting>
  <conditionalFormatting sqref="AI52:AK52">
    <cfRule type="expression" dxfId="923" priority="139">
      <formula>AI52&lt;80</formula>
    </cfRule>
    <cfRule type="expression" dxfId="922" priority="140">
      <formula>AI52&gt;90</formula>
    </cfRule>
  </conditionalFormatting>
  <conditionalFormatting sqref="AI50">
    <cfRule type="expression" dxfId="921" priority="137">
      <formula>AI50&lt;55</formula>
    </cfRule>
    <cfRule type="expression" dxfId="920" priority="138">
      <formula>AI50&gt;65</formula>
    </cfRule>
  </conditionalFormatting>
  <conditionalFormatting sqref="AL51:AN51">
    <cfRule type="expression" dxfId="919" priority="135">
      <formula>AL51&lt;65</formula>
    </cfRule>
    <cfRule type="expression" dxfId="918" priority="136">
      <formula>AL51&gt;85</formula>
    </cfRule>
  </conditionalFormatting>
  <conditionalFormatting sqref="AL52:AN52">
    <cfRule type="expression" dxfId="917" priority="133">
      <formula>AL52&lt;80</formula>
    </cfRule>
    <cfRule type="expression" dxfId="916" priority="134">
      <formula>AL52&gt;90</formula>
    </cfRule>
  </conditionalFormatting>
  <conditionalFormatting sqref="AO51:AP51">
    <cfRule type="expression" dxfId="915" priority="131">
      <formula>AO51&lt;65</formula>
    </cfRule>
    <cfRule type="expression" dxfId="914" priority="132">
      <formula>AO51&gt;85</formula>
    </cfRule>
  </conditionalFormatting>
  <conditionalFormatting sqref="AO52:AP52">
    <cfRule type="expression" dxfId="913" priority="129">
      <formula>AO52&lt;80</formula>
    </cfRule>
    <cfRule type="expression" dxfId="912" priority="130">
      <formula>AO52&gt;90</formula>
    </cfRule>
  </conditionalFormatting>
  <conditionalFormatting sqref="AL50">
    <cfRule type="expression" dxfId="911" priority="127">
      <formula>AL50&lt;55</formula>
    </cfRule>
    <cfRule type="expression" dxfId="910" priority="128">
      <formula>AL50&gt;65</formula>
    </cfRule>
  </conditionalFormatting>
  <conditionalFormatting sqref="AO50">
    <cfRule type="expression" dxfId="909" priority="125">
      <formula>AO50&lt;55</formula>
    </cfRule>
    <cfRule type="expression" dxfId="908" priority="126">
      <formula>AO50&gt;65</formula>
    </cfRule>
  </conditionalFormatting>
  <conditionalFormatting sqref="AL51:AN51">
    <cfRule type="expression" dxfId="907" priority="123">
      <formula>AL51&lt;65</formula>
    </cfRule>
    <cfRule type="expression" dxfId="906" priority="124">
      <formula>AL51&gt;85</formula>
    </cfRule>
  </conditionalFormatting>
  <conditionalFormatting sqref="AL52:AN52">
    <cfRule type="expression" dxfId="905" priority="121">
      <formula>AL52&lt;80</formula>
    </cfRule>
    <cfRule type="expression" dxfId="904" priority="122">
      <formula>AL52&gt;90</formula>
    </cfRule>
  </conditionalFormatting>
  <conditionalFormatting sqref="AO51:AP52">
    <cfRule type="expression" dxfId="903" priority="119">
      <formula>AO51&lt;65</formula>
    </cfRule>
    <cfRule type="expression" dxfId="902" priority="120">
      <formula>AO51&gt;85</formula>
    </cfRule>
  </conditionalFormatting>
  <conditionalFormatting sqref="AL50">
    <cfRule type="expression" dxfId="901" priority="117">
      <formula>AL50&lt;55</formula>
    </cfRule>
    <cfRule type="expression" dxfId="900" priority="118">
      <formula>AL50&gt;65</formula>
    </cfRule>
  </conditionalFormatting>
  <conditionalFormatting sqref="AO50">
    <cfRule type="expression" dxfId="899" priority="115">
      <formula>AO50&lt;55</formula>
    </cfRule>
    <cfRule type="expression" dxfId="898" priority="116">
      <formula>AO50&gt;65</formula>
    </cfRule>
  </conditionalFormatting>
  <conditionalFormatting sqref="AO51:AQ51">
    <cfRule type="expression" dxfId="897" priority="113">
      <formula>AO51&lt;65</formula>
    </cfRule>
    <cfRule type="expression" dxfId="896" priority="114">
      <formula>AO51&gt;85</formula>
    </cfRule>
  </conditionalFormatting>
  <conditionalFormatting sqref="AO52:AQ52">
    <cfRule type="expression" dxfId="895" priority="111">
      <formula>AO52&lt;80</formula>
    </cfRule>
    <cfRule type="expression" dxfId="894" priority="112">
      <formula>AO52&gt;90</formula>
    </cfRule>
  </conditionalFormatting>
  <conditionalFormatting sqref="AO50">
    <cfRule type="expression" dxfId="893" priority="109">
      <formula>AO50&lt;55</formula>
    </cfRule>
    <cfRule type="expression" dxfId="892" priority="110">
      <formula>AO50&gt;65</formula>
    </cfRule>
  </conditionalFormatting>
  <conditionalFormatting sqref="H105">
    <cfRule type="expression" dxfId="891" priority="107">
      <formula>H105&lt;45</formula>
    </cfRule>
    <cfRule type="expression" dxfId="890" priority="108">
      <formula>H105&gt;65</formula>
    </cfRule>
  </conditionalFormatting>
  <conditionalFormatting sqref="H99">
    <cfRule type="expression" dxfId="889" priority="105">
      <formula>H99&lt;6</formula>
    </cfRule>
    <cfRule type="expression" dxfId="888" priority="106">
      <formula>H99&gt;8</formula>
    </cfRule>
  </conditionalFormatting>
  <conditionalFormatting sqref="H106">
    <cfRule type="expression" dxfId="887" priority="101">
      <formula>H106&lt;45</formula>
    </cfRule>
    <cfRule type="expression" dxfId="886" priority="102">
      <formula>H106&gt;65</formula>
    </cfRule>
  </conditionalFormatting>
  <conditionalFormatting sqref="K114">
    <cfRule type="expression" dxfId="885" priority="95">
      <formula>K114&lt;100</formula>
    </cfRule>
    <cfRule type="expression" dxfId="884" priority="96">
      <formula>K114&gt;110</formula>
    </cfRule>
  </conditionalFormatting>
  <conditionalFormatting sqref="K105">
    <cfRule type="expression" dxfId="883" priority="93">
      <formula>K105&lt;45</formula>
    </cfRule>
    <cfRule type="expression" dxfId="882" priority="94">
      <formula>K105&gt;65</formula>
    </cfRule>
  </conditionalFormatting>
  <conditionalFormatting sqref="K106">
    <cfRule type="expression" dxfId="881" priority="91">
      <formula>K106&lt;45</formula>
    </cfRule>
    <cfRule type="expression" dxfId="880" priority="92">
      <formula>K106&gt;65</formula>
    </cfRule>
  </conditionalFormatting>
  <conditionalFormatting sqref="N105">
    <cfRule type="expression" dxfId="879" priority="85">
      <formula>N105&lt;45</formula>
    </cfRule>
    <cfRule type="expression" dxfId="878" priority="86">
      <formula>N105&gt;65</formula>
    </cfRule>
  </conditionalFormatting>
  <conditionalFormatting sqref="N106">
    <cfRule type="expression" dxfId="877" priority="83">
      <formula>N106&lt;45</formula>
    </cfRule>
    <cfRule type="expression" dxfId="876" priority="84">
      <formula>N106&gt;65</formula>
    </cfRule>
  </conditionalFormatting>
  <conditionalFormatting sqref="Q114">
    <cfRule type="expression" dxfId="875" priority="77">
      <formula>Q114&lt;100</formula>
    </cfRule>
    <cfRule type="expression" dxfId="874" priority="78">
      <formula>Q114&gt;110</formula>
    </cfRule>
  </conditionalFormatting>
  <conditionalFormatting sqref="Q105">
    <cfRule type="expression" dxfId="873" priority="75">
      <formula>Q105&lt;45</formula>
    </cfRule>
    <cfRule type="expression" dxfId="872" priority="76">
      <formula>Q105&gt;65</formula>
    </cfRule>
  </conditionalFormatting>
  <conditionalFormatting sqref="Q106">
    <cfRule type="expression" dxfId="871" priority="73">
      <formula>Q106&lt;45</formula>
    </cfRule>
    <cfRule type="expression" dxfId="870" priority="74">
      <formula>Q106&gt;65</formula>
    </cfRule>
  </conditionalFormatting>
  <conditionalFormatting sqref="N99">
    <cfRule type="expression" dxfId="869" priority="67">
      <formula>N99&lt;6</formula>
    </cfRule>
    <cfRule type="expression" dxfId="868" priority="68">
      <formula>N99&gt;8</formula>
    </cfRule>
  </conditionalFormatting>
  <conditionalFormatting sqref="H107">
    <cfRule type="expression" dxfId="867" priority="63">
      <formula>H107&lt;18</formula>
    </cfRule>
    <cfRule type="expression" dxfId="866" priority="64">
      <formula>H107&gt;25</formula>
    </cfRule>
  </conditionalFormatting>
  <conditionalFormatting sqref="H108:H109">
    <cfRule type="expression" dxfId="865" priority="61">
      <formula>H108&lt;18</formula>
    </cfRule>
    <cfRule type="expression" dxfId="864" priority="62">
      <formula>H108&gt;25</formula>
    </cfRule>
  </conditionalFormatting>
  <conditionalFormatting sqref="K107 N107 Q107">
    <cfRule type="expression" dxfId="863" priority="59">
      <formula>K107&lt;18</formula>
    </cfRule>
    <cfRule type="expression" dxfId="862" priority="60">
      <formula>K107&gt;25</formula>
    </cfRule>
  </conditionalFormatting>
  <conditionalFormatting sqref="K108:K109 N108:N109 Q108:Q109">
    <cfRule type="expression" dxfId="861" priority="57">
      <formula>K108&lt;18</formula>
    </cfRule>
    <cfRule type="expression" dxfId="860" priority="58">
      <formula>K108&gt;25</formula>
    </cfRule>
  </conditionalFormatting>
  <conditionalFormatting sqref="H100">
    <cfRule type="expression" dxfId="859" priority="55">
      <formula>H100&lt;5.5</formula>
    </cfRule>
    <cfRule type="expression" dxfId="858" priority="56">
      <formula>H100&gt;6</formula>
    </cfRule>
  </conditionalFormatting>
  <conditionalFormatting sqref="H101:H102">
    <cfRule type="expression" dxfId="857" priority="51">
      <formula>H101&lt;5.5</formula>
    </cfRule>
    <cfRule type="expression" dxfId="856" priority="52">
      <formula>H101&gt;6</formula>
    </cfRule>
  </conditionalFormatting>
  <conditionalFormatting sqref="N100">
    <cfRule type="expression" dxfId="855" priority="49">
      <formula>N100&lt;5.5</formula>
    </cfRule>
    <cfRule type="expression" dxfId="854" priority="50">
      <formula>N100&gt;6</formula>
    </cfRule>
  </conditionalFormatting>
  <conditionalFormatting sqref="N101:N102">
    <cfRule type="expression" dxfId="853" priority="47">
      <formula>N101&lt;5.5</formula>
    </cfRule>
    <cfRule type="expression" dxfId="852" priority="48">
      <formula>N101&gt;6</formula>
    </cfRule>
  </conditionalFormatting>
  <conditionalFormatting sqref="H111">
    <cfRule type="expression" dxfId="851" priority="45">
      <formula>H111&lt;55</formula>
    </cfRule>
    <cfRule type="expression" dxfId="850" priority="46">
      <formula>H111&gt;65</formula>
    </cfRule>
  </conditionalFormatting>
  <conditionalFormatting sqref="H113">
    <cfRule type="expression" dxfId="849" priority="43">
      <formula>H113&lt;55</formula>
    </cfRule>
    <cfRule type="expression" dxfId="848" priority="44">
      <formula>H113&gt;65</formula>
    </cfRule>
  </conditionalFormatting>
  <conditionalFormatting sqref="H112">
    <cfRule type="expression" dxfId="847" priority="41">
      <formula>H112&lt;42</formula>
    </cfRule>
    <cfRule type="expression" dxfId="846" priority="42">
      <formula>H112&gt;47</formula>
    </cfRule>
  </conditionalFormatting>
  <conditionalFormatting sqref="K111">
    <cfRule type="expression" dxfId="845" priority="37">
      <formula>K111&lt;55</formula>
    </cfRule>
    <cfRule type="expression" dxfId="844" priority="38">
      <formula>K111&gt;65</formula>
    </cfRule>
  </conditionalFormatting>
  <conditionalFormatting sqref="K113">
    <cfRule type="expression" dxfId="843" priority="35">
      <formula>K113&lt;55</formula>
    </cfRule>
    <cfRule type="expression" dxfId="842" priority="36">
      <formula>K113&gt;65</formula>
    </cfRule>
  </conditionalFormatting>
  <conditionalFormatting sqref="K112">
    <cfRule type="expression" dxfId="841" priority="33">
      <formula>K112&lt;42</formula>
    </cfRule>
    <cfRule type="expression" dxfId="840" priority="34">
      <formula>K112&gt;47</formula>
    </cfRule>
  </conditionalFormatting>
  <conditionalFormatting sqref="N111">
    <cfRule type="expression" dxfId="839" priority="29">
      <formula>N111&lt;55</formula>
    </cfRule>
    <cfRule type="expression" dxfId="838" priority="30">
      <formula>N111&gt;65</formula>
    </cfRule>
  </conditionalFormatting>
  <conditionalFormatting sqref="N113">
    <cfRule type="expression" dxfId="837" priority="27">
      <formula>N113&lt;55</formula>
    </cfRule>
    <cfRule type="expression" dxfId="836" priority="28">
      <formula>N113&gt;65</formula>
    </cfRule>
  </conditionalFormatting>
  <conditionalFormatting sqref="N112">
    <cfRule type="expression" dxfId="835" priority="25">
      <formula>N112&lt;42</formula>
    </cfRule>
    <cfRule type="expression" dxfId="834" priority="26">
      <formula>N112&gt;47</formula>
    </cfRule>
  </conditionalFormatting>
  <conditionalFormatting sqref="Q111">
    <cfRule type="expression" dxfId="833" priority="21">
      <formula>Q111&lt;55</formula>
    </cfRule>
    <cfRule type="expression" dxfId="832" priority="22">
      <formula>Q111&gt;65</formula>
    </cfRule>
  </conditionalFormatting>
  <conditionalFormatting sqref="Q113">
    <cfRule type="expression" dxfId="831" priority="19">
      <formula>Q113&lt;55</formula>
    </cfRule>
    <cfRule type="expression" dxfId="830" priority="20">
      <formula>Q113&gt;65</formula>
    </cfRule>
  </conditionalFormatting>
  <conditionalFormatting sqref="Q112">
    <cfRule type="expression" dxfId="829" priority="17">
      <formula>Q112&lt;42</formula>
    </cfRule>
    <cfRule type="expression" dxfId="828" priority="18">
      <formula>Q112&gt;47</formula>
    </cfRule>
  </conditionalFormatting>
  <conditionalFormatting sqref="H110">
    <cfRule type="expression" dxfId="827" priority="7">
      <formula>H110&lt;45</formula>
    </cfRule>
    <cfRule type="expression" dxfId="826" priority="8">
      <formula>H110&gt;60</formula>
    </cfRule>
  </conditionalFormatting>
  <conditionalFormatting sqref="K110">
    <cfRule type="expression" dxfId="825" priority="5">
      <formula>K110&lt;45</formula>
    </cfRule>
    <cfRule type="expression" dxfId="824" priority="6">
      <formula>K110&gt;60</formula>
    </cfRule>
  </conditionalFormatting>
  <conditionalFormatting sqref="N110">
    <cfRule type="expression" dxfId="823" priority="3">
      <formula>N110&lt;45</formula>
    </cfRule>
    <cfRule type="expression" dxfId="822" priority="4">
      <formula>N110&gt;60</formula>
    </cfRule>
  </conditionalFormatting>
  <conditionalFormatting sqref="Q110">
    <cfRule type="expression" dxfId="821" priority="1">
      <formula>Q110&lt;45</formula>
    </cfRule>
    <cfRule type="expression" dxfId="820" priority="2">
      <formula>Q110&gt;60</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4" max="1048575" man="1"/>
  </colBreaks>
  <drawing r:id="rId2"/>
</worksheet>
</file>

<file path=xl/worksheets/sheet33.xml><?xml version="1.0" encoding="utf-8"?>
<worksheet xmlns="http://schemas.openxmlformats.org/spreadsheetml/2006/main" xmlns:r="http://schemas.openxmlformats.org/officeDocument/2006/relationships">
  <sheetPr codeName="Sheet22">
    <tabColor rgb="FFFFC000"/>
  </sheetPr>
  <dimension ref="A1:P34"/>
  <sheetViews>
    <sheetView zoomScale="55" zoomScaleNormal="55" workbookViewId="0">
      <selection activeCell="T22" sqref="T22"/>
    </sheetView>
  </sheetViews>
  <sheetFormatPr defaultRowHeight="15"/>
  <cols>
    <col min="1" max="1" width="4.125" style="864" customWidth="1"/>
    <col min="2" max="2" width="8.875" style="32" customWidth="1"/>
    <col min="3" max="3" width="6.125" style="32" customWidth="1"/>
    <col min="4" max="4" width="2.875" style="32" customWidth="1"/>
    <col min="5" max="5" width="12.375" style="32" customWidth="1"/>
    <col min="6" max="6" width="9.25" style="19" customWidth="1"/>
    <col min="7" max="7" width="16.125" style="33" customWidth="1"/>
    <col min="8" max="8" width="12.875" style="19" customWidth="1"/>
    <col min="9" max="9" width="3.75" style="19" customWidth="1"/>
    <col min="10" max="10" width="8.375" style="19" customWidth="1"/>
    <col min="11" max="11" width="3.75" style="19" customWidth="1"/>
    <col min="12" max="12" width="12.875" style="19" customWidth="1"/>
    <col min="13" max="13" width="5" style="19" customWidth="1"/>
    <col min="14" max="14" width="8.75" style="19" customWidth="1"/>
    <col min="15" max="15" width="6.125" style="19" customWidth="1"/>
    <col min="16" max="16" width="14.25" style="19" customWidth="1"/>
    <col min="17" max="16384" width="9" style="19"/>
  </cols>
  <sheetData>
    <row r="1" spans="1:16" ht="36" customHeight="1">
      <c r="A1" s="3322" t="s">
        <v>568</v>
      </c>
      <c r="B1" s="3322"/>
      <c r="C1" s="3322"/>
      <c r="D1" s="3322"/>
      <c r="E1" s="3322"/>
      <c r="F1" s="3322"/>
      <c r="G1" s="3322"/>
      <c r="H1" s="3322"/>
      <c r="I1" s="3322"/>
      <c r="J1" s="3322"/>
      <c r="K1" s="469"/>
      <c r="L1" s="470"/>
      <c r="M1" s="470"/>
      <c r="N1" s="469"/>
      <c r="O1" s="469"/>
      <c r="P1" s="471">
        <f>'1. XL-1E kh'!$AG$1</f>
        <v>0</v>
      </c>
    </row>
    <row r="2" spans="1:16" ht="51" customHeight="1">
      <c r="A2" s="3323" t="s">
        <v>569</v>
      </c>
      <c r="B2" s="3323"/>
      <c r="C2" s="3323"/>
      <c r="D2" s="3323"/>
      <c r="E2" s="3323"/>
      <c r="F2" s="3323"/>
      <c r="G2" s="3323"/>
      <c r="H2" s="3323"/>
      <c r="I2" s="3323"/>
      <c r="J2" s="3323"/>
      <c r="K2" s="3323"/>
      <c r="L2" s="3323"/>
      <c r="M2" s="3323"/>
      <c r="N2" s="3106" t="s">
        <v>89</v>
      </c>
      <c r="O2" s="2905"/>
      <c r="P2" s="332" t="s">
        <v>90</v>
      </c>
    </row>
    <row r="3" spans="1:16" ht="38.25" customHeight="1">
      <c r="A3" s="861"/>
      <c r="B3" s="472"/>
      <c r="C3" s="24"/>
      <c r="D3" s="24"/>
      <c r="E3" s="25"/>
      <c r="F3" s="2138" t="str">
        <f>MENU!$AC$9</f>
        <v>Thứ 3,</v>
      </c>
      <c r="G3" s="2132" t="str">
        <f>MENU!$AD$9</f>
        <v>2024/01/09</v>
      </c>
      <c r="H3" s="473"/>
      <c r="I3" s="473"/>
      <c r="J3" s="473"/>
      <c r="K3" s="473"/>
      <c r="L3" s="473"/>
      <c r="M3" s="473"/>
      <c r="N3" s="3324" t="str">
        <f>'1. XL-1E kh'!$AD$3</f>
        <v>Trang</v>
      </c>
      <c r="O3" s="3325"/>
      <c r="P3" s="3" t="s">
        <v>11</v>
      </c>
    </row>
    <row r="4" spans="1:16" s="479" customFormat="1" ht="42.75" customHeight="1">
      <c r="A4" s="3326" t="s">
        <v>7</v>
      </c>
      <c r="B4" s="3327" t="s">
        <v>77</v>
      </c>
      <c r="C4" s="3328"/>
      <c r="D4" s="3328"/>
      <c r="E4" s="3329"/>
      <c r="F4" s="3336" t="s">
        <v>94</v>
      </c>
      <c r="G4" s="3338" t="s">
        <v>65</v>
      </c>
      <c r="H4" s="474"/>
      <c r="I4" s="475" t="s">
        <v>570</v>
      </c>
      <c r="J4" s="476"/>
      <c r="K4" s="476"/>
      <c r="L4" s="476"/>
      <c r="M4" s="476"/>
      <c r="N4" s="477"/>
      <c r="O4" s="478"/>
      <c r="P4" s="3344" t="s">
        <v>91</v>
      </c>
    </row>
    <row r="5" spans="1:16" s="479" customFormat="1" ht="31.5" customHeight="1">
      <c r="A5" s="3326"/>
      <c r="B5" s="3330"/>
      <c r="C5" s="3331"/>
      <c r="D5" s="3331"/>
      <c r="E5" s="3332"/>
      <c r="F5" s="3336"/>
      <c r="G5" s="3339"/>
      <c r="H5" s="3346">
        <v>0.375</v>
      </c>
      <c r="I5" s="3347"/>
      <c r="J5" s="3347"/>
      <c r="K5" s="3347"/>
      <c r="L5" s="3348" t="s">
        <v>1624</v>
      </c>
      <c r="M5" s="3347"/>
      <c r="N5" s="3347"/>
      <c r="O5" s="3347"/>
      <c r="P5" s="3345"/>
    </row>
    <row r="6" spans="1:16" s="479" customFormat="1" ht="37.5" customHeight="1">
      <c r="A6" s="3326"/>
      <c r="B6" s="3333"/>
      <c r="C6" s="3334"/>
      <c r="D6" s="3334"/>
      <c r="E6" s="3335"/>
      <c r="F6" s="3337"/>
      <c r="G6" s="3340"/>
      <c r="H6" s="480" t="s">
        <v>571</v>
      </c>
      <c r="I6" s="3336" t="s">
        <v>1</v>
      </c>
      <c r="J6" s="3336"/>
      <c r="K6" s="3336"/>
      <c r="L6" s="480" t="s">
        <v>571</v>
      </c>
      <c r="M6" s="3336" t="s">
        <v>1</v>
      </c>
      <c r="N6" s="3336"/>
      <c r="O6" s="3336"/>
      <c r="P6" s="2962"/>
    </row>
    <row r="7" spans="1:16" ht="42" customHeight="1">
      <c r="A7" s="860">
        <v>1</v>
      </c>
      <c r="B7" s="3108" t="s">
        <v>572</v>
      </c>
      <c r="C7" s="3110"/>
      <c r="D7" s="3110" t="s">
        <v>101</v>
      </c>
      <c r="E7" s="3111"/>
      <c r="F7" s="47" t="s">
        <v>432</v>
      </c>
      <c r="G7" s="107" t="s">
        <v>476</v>
      </c>
      <c r="H7" s="1574">
        <f>'R.FILE GOC'!H57</f>
        <v>15</v>
      </c>
      <c r="I7" s="1099" t="s">
        <v>8</v>
      </c>
      <c r="J7" s="58">
        <f>'R.FILE GOC'!K57</f>
        <v>0</v>
      </c>
      <c r="K7" s="59" t="s">
        <v>9</v>
      </c>
      <c r="L7" s="1574">
        <f>'R.FILE GOC'!N57</f>
        <v>15</v>
      </c>
      <c r="M7" s="57" t="s">
        <v>8</v>
      </c>
      <c r="N7" s="58">
        <f>'R.FILE GOC'!Q57</f>
        <v>0</v>
      </c>
      <c r="O7" s="59" t="s">
        <v>9</v>
      </c>
      <c r="P7" s="281"/>
    </row>
    <row r="8" spans="1:16" ht="42" customHeight="1">
      <c r="A8" s="860">
        <v>2</v>
      </c>
      <c r="B8" s="3108" t="s">
        <v>573</v>
      </c>
      <c r="C8" s="3110" t="s">
        <v>479</v>
      </c>
      <c r="D8" s="3110" t="s">
        <v>479</v>
      </c>
      <c r="E8" s="3111" t="s">
        <v>479</v>
      </c>
      <c r="F8" s="47" t="s">
        <v>432</v>
      </c>
      <c r="G8" s="107" t="s">
        <v>476</v>
      </c>
      <c r="H8" s="1574">
        <f>'R.FILE GOC'!H58</f>
        <v>15.1</v>
      </c>
      <c r="I8" s="1099" t="s">
        <v>8</v>
      </c>
      <c r="J8" s="58">
        <f>'R.FILE GOC'!K58</f>
        <v>0</v>
      </c>
      <c r="K8" s="59" t="s">
        <v>9</v>
      </c>
      <c r="L8" s="1574">
        <f>'R.FILE GOC'!N58</f>
        <v>15</v>
      </c>
      <c r="M8" s="57" t="s">
        <v>8</v>
      </c>
      <c r="N8" s="58">
        <f>'R.FILE GOC'!Q58</f>
        <v>0</v>
      </c>
      <c r="O8" s="59" t="s">
        <v>9</v>
      </c>
      <c r="P8" s="20"/>
    </row>
    <row r="9" spans="1:16" ht="42" customHeight="1">
      <c r="A9" s="860">
        <v>3</v>
      </c>
      <c r="B9" s="3108" t="s">
        <v>574</v>
      </c>
      <c r="C9" s="3110" t="s">
        <v>575</v>
      </c>
      <c r="D9" s="3110" t="s">
        <v>575</v>
      </c>
      <c r="E9" s="3111" t="s">
        <v>575</v>
      </c>
      <c r="F9" s="47" t="s">
        <v>432</v>
      </c>
      <c r="G9" s="107" t="s">
        <v>476</v>
      </c>
      <c r="H9" s="1574">
        <f>'R.FILE GOC'!H59</f>
        <v>15</v>
      </c>
      <c r="I9" s="1099" t="s">
        <v>8</v>
      </c>
      <c r="J9" s="58">
        <f>'R.FILE GOC'!K59</f>
        <v>0</v>
      </c>
      <c r="K9" s="59" t="s">
        <v>10</v>
      </c>
      <c r="L9" s="1574">
        <f>'R.FILE GOC'!N59</f>
        <v>15</v>
      </c>
      <c r="M9" s="57" t="s">
        <v>8</v>
      </c>
      <c r="N9" s="58">
        <f>'R.FILE GOC'!Q59</f>
        <v>0</v>
      </c>
      <c r="O9" s="59" t="s">
        <v>10</v>
      </c>
      <c r="P9" s="20"/>
    </row>
    <row r="10" spans="1:16" ht="42" customHeight="1">
      <c r="A10" s="860">
        <v>4</v>
      </c>
      <c r="B10" s="3108" t="s">
        <v>576</v>
      </c>
      <c r="C10" s="3110" t="s">
        <v>577</v>
      </c>
      <c r="D10" s="3110" t="s">
        <v>577</v>
      </c>
      <c r="E10" s="3111" t="s">
        <v>577</v>
      </c>
      <c r="F10" s="47" t="s">
        <v>432</v>
      </c>
      <c r="G10" s="107" t="s">
        <v>978</v>
      </c>
      <c r="H10" s="311">
        <f>'R.FILE GOC'!H60</f>
        <v>10</v>
      </c>
      <c r="I10" s="57" t="s">
        <v>8</v>
      </c>
      <c r="J10" s="58">
        <f>'R.FILE GOC'!K60</f>
        <v>0</v>
      </c>
      <c r="K10" s="59" t="s">
        <v>9</v>
      </c>
      <c r="L10" s="311">
        <f>'R.FILE GOC'!N60</f>
        <v>9.9</v>
      </c>
      <c r="M10" s="57" t="s">
        <v>8</v>
      </c>
      <c r="N10" s="58">
        <f>'R.FILE GOC'!Q60</f>
        <v>1.2463199999999954</v>
      </c>
      <c r="O10" s="59" t="s">
        <v>9</v>
      </c>
      <c r="P10" s="281"/>
    </row>
    <row r="11" spans="1:16" ht="42" customHeight="1">
      <c r="A11" s="860">
        <v>5</v>
      </c>
      <c r="B11" s="3341" t="s">
        <v>578</v>
      </c>
      <c r="C11" s="3342" t="s">
        <v>579</v>
      </c>
      <c r="D11" s="3342" t="s">
        <v>579</v>
      </c>
      <c r="E11" s="3343" t="s">
        <v>579</v>
      </c>
      <c r="F11" s="47" t="s">
        <v>432</v>
      </c>
      <c r="G11" s="107" t="s">
        <v>486</v>
      </c>
      <c r="H11" s="432">
        <f>'R.FILE GOC'!H61</f>
        <v>1.2</v>
      </c>
      <c r="I11" s="57" t="s">
        <v>8</v>
      </c>
      <c r="J11" s="58">
        <f>'R.FILE GOC'!K61</f>
        <v>0</v>
      </c>
      <c r="K11" s="59" t="s">
        <v>9</v>
      </c>
      <c r="L11" s="432">
        <f>'R.FILE GOC'!N61</f>
        <v>0.96</v>
      </c>
      <c r="M11" s="57" t="s">
        <v>8</v>
      </c>
      <c r="N11" s="58">
        <f>'R.FILE GOC'!Q61</f>
        <v>0</v>
      </c>
      <c r="O11" s="59" t="s">
        <v>9</v>
      </c>
      <c r="P11" s="20"/>
    </row>
    <row r="12" spans="1:16" ht="42" customHeight="1">
      <c r="A12" s="860">
        <v>6</v>
      </c>
      <c r="B12" s="3341" t="s">
        <v>580</v>
      </c>
      <c r="C12" s="3342" t="s">
        <v>581</v>
      </c>
      <c r="D12" s="3342" t="s">
        <v>581</v>
      </c>
      <c r="E12" s="3343" t="s">
        <v>581</v>
      </c>
      <c r="F12" s="47" t="s">
        <v>432</v>
      </c>
      <c r="G12" s="107" t="s">
        <v>489</v>
      </c>
      <c r="H12" s="311">
        <f>'R.FILE GOC'!H62</f>
        <v>22.8</v>
      </c>
      <c r="I12" s="57" t="s">
        <v>8</v>
      </c>
      <c r="J12" s="58">
        <f>'R.FILE GOC'!K62</f>
        <v>0</v>
      </c>
      <c r="K12" s="59" t="s">
        <v>9</v>
      </c>
      <c r="L12" s="311">
        <f>'R.FILE GOC'!N62</f>
        <v>22.5</v>
      </c>
      <c r="M12" s="57" t="s">
        <v>8</v>
      </c>
      <c r="N12" s="58">
        <f>'R.FILE GOC'!Q62</f>
        <v>0</v>
      </c>
      <c r="O12" s="59" t="s">
        <v>9</v>
      </c>
      <c r="P12" s="281"/>
    </row>
    <row r="13" spans="1:16" ht="42" customHeight="1">
      <c r="A13" s="860">
        <v>7</v>
      </c>
      <c r="B13" s="3341" t="s">
        <v>582</v>
      </c>
      <c r="C13" s="3342" t="s">
        <v>583</v>
      </c>
      <c r="D13" s="3342" t="s">
        <v>583</v>
      </c>
      <c r="E13" s="3343" t="s">
        <v>583</v>
      </c>
      <c r="F13" s="47" t="s">
        <v>432</v>
      </c>
      <c r="G13" s="107" t="s">
        <v>492</v>
      </c>
      <c r="H13" s="311">
        <f>'R.FILE GOC'!H63</f>
        <v>8.8000000000000007</v>
      </c>
      <c r="I13" s="57" t="s">
        <v>8</v>
      </c>
      <c r="J13" s="58">
        <f>'R.FILE GOC'!K63</f>
        <v>0</v>
      </c>
      <c r="K13" s="59" t="s">
        <v>9</v>
      </c>
      <c r="L13" s="311">
        <f>'R.FILE GOC'!N63</f>
        <v>9</v>
      </c>
      <c r="M13" s="57" t="s">
        <v>8</v>
      </c>
      <c r="N13" s="58">
        <f>'R.FILE GOC'!Q63</f>
        <v>0</v>
      </c>
      <c r="O13" s="59" t="s">
        <v>9</v>
      </c>
      <c r="P13" s="20"/>
    </row>
    <row r="14" spans="1:16" ht="42" customHeight="1">
      <c r="A14" s="860">
        <v>8</v>
      </c>
      <c r="B14" s="3108" t="s">
        <v>584</v>
      </c>
      <c r="C14" s="3110" t="s">
        <v>494</v>
      </c>
      <c r="D14" s="3110" t="s">
        <v>494</v>
      </c>
      <c r="E14" s="3111" t="s">
        <v>494</v>
      </c>
      <c r="F14" s="47" t="s">
        <v>5</v>
      </c>
      <c r="G14" s="107" t="s">
        <v>495</v>
      </c>
      <c r="H14" s="311">
        <f>'R.FILE GOC'!H64</f>
        <v>7.5</v>
      </c>
      <c r="I14" s="57"/>
      <c r="J14" s="58"/>
      <c r="K14" s="59"/>
      <c r="L14" s="311">
        <f>'R.FILE GOC'!N64</f>
        <v>7.8</v>
      </c>
      <c r="M14" s="57"/>
      <c r="N14" s="58"/>
      <c r="O14" s="59"/>
      <c r="P14" s="20"/>
    </row>
    <row r="15" spans="1:16" ht="42" customHeight="1">
      <c r="A15" s="860">
        <v>9</v>
      </c>
      <c r="B15" s="3341" t="s">
        <v>585</v>
      </c>
      <c r="C15" s="3342" t="s">
        <v>583</v>
      </c>
      <c r="D15" s="3342" t="s">
        <v>583</v>
      </c>
      <c r="E15" s="3343" t="s">
        <v>583</v>
      </c>
      <c r="F15" s="47" t="s">
        <v>5</v>
      </c>
      <c r="G15" s="107" t="s">
        <v>498</v>
      </c>
      <c r="H15" s="481">
        <f>'R.FILE GOC'!H65</f>
        <v>5.6</v>
      </c>
      <c r="I15" s="57"/>
      <c r="J15" s="58"/>
      <c r="K15" s="59"/>
      <c r="L15" s="481">
        <f>'R.FILE GOC'!N65</f>
        <v>5.5</v>
      </c>
      <c r="M15" s="57"/>
      <c r="N15" s="58"/>
      <c r="O15" s="59"/>
      <c r="P15" s="20"/>
    </row>
    <row r="16" spans="1:16" ht="36.75" hidden="1" customHeight="1">
      <c r="A16" s="860">
        <v>10</v>
      </c>
      <c r="B16" s="3341" t="s">
        <v>586</v>
      </c>
      <c r="C16" s="3342" t="s">
        <v>583</v>
      </c>
      <c r="D16" s="3342" t="s">
        <v>583</v>
      </c>
      <c r="E16" s="3343" t="s">
        <v>583</v>
      </c>
      <c r="F16" s="47" t="s">
        <v>5</v>
      </c>
      <c r="G16" s="107" t="s">
        <v>498</v>
      </c>
      <c r="H16" s="482">
        <f>'R.FILE GOC'!H66</f>
        <v>0</v>
      </c>
      <c r="I16" s="57"/>
      <c r="J16" s="58"/>
      <c r="K16" s="59"/>
      <c r="L16" s="482">
        <f>'R.FILE GOC'!N66</f>
        <v>0</v>
      </c>
      <c r="M16" s="57"/>
      <c r="N16" s="58"/>
      <c r="O16" s="59"/>
      <c r="P16" s="20"/>
    </row>
    <row r="17" spans="1:16" ht="39.75" customHeight="1">
      <c r="A17" s="860">
        <v>11</v>
      </c>
      <c r="B17" s="3341" t="s">
        <v>374</v>
      </c>
      <c r="C17" s="3342"/>
      <c r="D17" s="3342"/>
      <c r="E17" s="3343"/>
      <c r="F17" s="47" t="s">
        <v>3</v>
      </c>
      <c r="G17" s="448" t="s">
        <v>375</v>
      </c>
      <c r="H17" s="449">
        <f>'R.FILE GOC'!H67</f>
        <v>15.1</v>
      </c>
      <c r="I17" s="57" t="s">
        <v>8</v>
      </c>
      <c r="J17" s="58">
        <f>'R.FILE GOC'!K67</f>
        <v>0</v>
      </c>
      <c r="K17" s="59" t="s">
        <v>10</v>
      </c>
      <c r="L17" s="1021" t="s">
        <v>1634</v>
      </c>
      <c r="M17" s="57"/>
      <c r="N17" s="58"/>
      <c r="O17" s="59"/>
      <c r="P17" s="1021"/>
    </row>
    <row r="18" spans="1:16" ht="39.75" customHeight="1">
      <c r="A18" s="860">
        <v>12</v>
      </c>
      <c r="B18" s="3341" t="s">
        <v>376</v>
      </c>
      <c r="C18" s="3342"/>
      <c r="D18" s="3342"/>
      <c r="E18" s="3343"/>
      <c r="F18" s="47" t="s">
        <v>3</v>
      </c>
      <c r="G18" s="448" t="s">
        <v>377</v>
      </c>
      <c r="H18" s="449">
        <f>'R.FILE GOC'!H68</f>
        <v>11.6</v>
      </c>
      <c r="I18" s="57" t="s">
        <v>8</v>
      </c>
      <c r="J18" s="58">
        <f>'R.FILE GOC'!K68</f>
        <v>9.1800000000000086</v>
      </c>
      <c r="K18" s="59" t="s">
        <v>10</v>
      </c>
      <c r="L18" s="1021" t="s">
        <v>1634</v>
      </c>
      <c r="M18" s="57"/>
      <c r="N18" s="58"/>
      <c r="O18" s="59"/>
      <c r="P18" s="20"/>
    </row>
    <row r="19" spans="1:16" ht="36.75" hidden="1" customHeight="1">
      <c r="A19" s="860">
        <v>13</v>
      </c>
      <c r="B19" s="3341" t="s">
        <v>378</v>
      </c>
      <c r="C19" s="3342"/>
      <c r="D19" s="3342"/>
      <c r="E19" s="3343"/>
      <c r="F19" s="47" t="s">
        <v>3</v>
      </c>
      <c r="G19" s="448" t="s">
        <v>375</v>
      </c>
      <c r="H19" s="450" t="str">
        <f>'R.FILE GOC'!H69</f>
        <v/>
      </c>
      <c r="I19" s="57"/>
      <c r="J19" s="58" t="str">
        <f>'R.FILE GOC'!K69</f>
        <v/>
      </c>
      <c r="K19" s="59"/>
      <c r="L19" s="1021"/>
      <c r="M19" s="57"/>
      <c r="N19" s="58"/>
      <c r="O19" s="59"/>
      <c r="P19" s="20"/>
    </row>
    <row r="20" spans="1:16" ht="36.75" hidden="1" customHeight="1">
      <c r="A20" s="860">
        <v>14</v>
      </c>
      <c r="B20" s="3341" t="s">
        <v>379</v>
      </c>
      <c r="C20" s="3342"/>
      <c r="D20" s="3342"/>
      <c r="E20" s="3343"/>
      <c r="F20" s="47" t="s">
        <v>3</v>
      </c>
      <c r="G20" s="448" t="s">
        <v>377</v>
      </c>
      <c r="H20" s="450" t="str">
        <f>'R.FILE GOC'!H70</f>
        <v/>
      </c>
      <c r="I20" s="57"/>
      <c r="J20" s="58" t="str">
        <f>'R.FILE GOC'!K70</f>
        <v/>
      </c>
      <c r="K20" s="59"/>
      <c r="L20" s="1021"/>
      <c r="M20" s="57"/>
      <c r="N20" s="58"/>
      <c r="O20" s="59"/>
      <c r="P20" s="20"/>
    </row>
    <row r="21" spans="1:16" ht="41.25" customHeight="1">
      <c r="A21" s="860">
        <v>15</v>
      </c>
      <c r="B21" s="3341" t="s">
        <v>380</v>
      </c>
      <c r="C21" s="3342" t="s">
        <v>380</v>
      </c>
      <c r="D21" s="3342" t="s">
        <v>380</v>
      </c>
      <c r="E21" s="3343" t="s">
        <v>380</v>
      </c>
      <c r="F21" s="47" t="s">
        <v>3</v>
      </c>
      <c r="G21" s="107" t="s">
        <v>381</v>
      </c>
      <c r="H21" s="62">
        <f>'R.FILE GOC'!H71</f>
        <v>2.2000000000000002</v>
      </c>
      <c r="I21" s="57"/>
      <c r="J21" s="58"/>
      <c r="K21" s="59"/>
      <c r="L21" s="1021"/>
      <c r="M21" s="57"/>
      <c r="N21" s="58"/>
      <c r="O21" s="59"/>
      <c r="P21" s="20"/>
    </row>
    <row r="22" spans="1:16" ht="41.25" customHeight="1">
      <c r="A22" s="860">
        <v>16</v>
      </c>
      <c r="B22" s="3341" t="s">
        <v>383</v>
      </c>
      <c r="C22" s="3342" t="s">
        <v>383</v>
      </c>
      <c r="D22" s="3342" t="s">
        <v>383</v>
      </c>
      <c r="E22" s="3343" t="s">
        <v>383</v>
      </c>
      <c r="F22" s="47" t="s">
        <v>3</v>
      </c>
      <c r="G22" s="107" t="s">
        <v>384</v>
      </c>
      <c r="H22" s="62">
        <f>'R.FILE GOC'!H72</f>
        <v>1.9</v>
      </c>
      <c r="I22" s="57"/>
      <c r="J22" s="58"/>
      <c r="K22" s="59"/>
      <c r="L22" s="1021"/>
      <c r="M22" s="57"/>
      <c r="N22" s="58"/>
      <c r="O22" s="59"/>
      <c r="P22" s="20"/>
    </row>
    <row r="23" spans="1:16" ht="48.75" customHeight="1">
      <c r="A23" s="862"/>
      <c r="B23" s="483"/>
      <c r="C23" s="484"/>
      <c r="D23" s="484"/>
      <c r="E23" s="484"/>
      <c r="F23" s="484"/>
      <c r="G23" s="484"/>
      <c r="H23" s="485" t="s">
        <v>110</v>
      </c>
      <c r="I23" s="484"/>
      <c r="J23" s="484"/>
      <c r="K23" s="484"/>
      <c r="L23" s="484"/>
      <c r="M23" s="484"/>
      <c r="N23" s="484"/>
      <c r="O23" s="484"/>
      <c r="P23" s="486"/>
    </row>
    <row r="24" spans="1:16" ht="59.25" customHeight="1">
      <c r="A24" s="863" t="s">
        <v>7</v>
      </c>
      <c r="B24" s="3349" t="s">
        <v>62</v>
      </c>
      <c r="C24" s="3350"/>
      <c r="D24" s="3350"/>
      <c r="E24" s="3351"/>
      <c r="F24" s="488" t="s">
        <v>64</v>
      </c>
      <c r="G24" s="334" t="s">
        <v>65</v>
      </c>
      <c r="H24" s="400" t="s">
        <v>46</v>
      </c>
      <c r="I24" s="3145" t="s">
        <v>63</v>
      </c>
      <c r="J24" s="3143"/>
      <c r="K24" s="3143"/>
      <c r="L24" s="400" t="s">
        <v>46</v>
      </c>
      <c r="M24" s="3145" t="s">
        <v>63</v>
      </c>
      <c r="N24" s="3143"/>
      <c r="O24" s="3143"/>
      <c r="P24" s="338" t="s">
        <v>91</v>
      </c>
    </row>
    <row r="25" spans="1:16" ht="51" customHeight="1">
      <c r="A25" s="863">
        <v>1</v>
      </c>
      <c r="B25" s="3150" t="s">
        <v>475</v>
      </c>
      <c r="C25" s="3151"/>
      <c r="D25" s="3151"/>
      <c r="E25" s="3152"/>
      <c r="F25" s="21" t="s">
        <v>106</v>
      </c>
      <c r="G25" s="107" t="s">
        <v>508</v>
      </c>
      <c r="H25" s="489">
        <f>'R.FILE GOC'!H75</f>
        <v>56</v>
      </c>
      <c r="I25" s="2928">
        <f>'R.FILE GOC'!K75</f>
        <v>59</v>
      </c>
      <c r="J25" s="2929"/>
      <c r="K25" s="2924"/>
      <c r="L25" s="489">
        <f>'R.FILE GOC'!N75</f>
        <v>58</v>
      </c>
      <c r="M25" s="2928">
        <v>57</v>
      </c>
      <c r="N25" s="2929"/>
      <c r="O25" s="2924"/>
      <c r="P25" s="20"/>
    </row>
    <row r="26" spans="1:16" ht="51" customHeight="1">
      <c r="A26" s="863">
        <v>2</v>
      </c>
      <c r="B26" s="3150" t="s">
        <v>479</v>
      </c>
      <c r="C26" s="3151" t="s">
        <v>479</v>
      </c>
      <c r="D26" s="3151" t="s">
        <v>479</v>
      </c>
      <c r="E26" s="3152" t="s">
        <v>479</v>
      </c>
      <c r="F26" s="21" t="s">
        <v>106</v>
      </c>
      <c r="G26" s="107" t="s">
        <v>508</v>
      </c>
      <c r="H26" s="489">
        <v>59</v>
      </c>
      <c r="I26" s="2928">
        <v>58</v>
      </c>
      <c r="J26" s="2929"/>
      <c r="K26" s="2924"/>
      <c r="L26" s="489">
        <v>59</v>
      </c>
      <c r="M26" s="2928">
        <f>'R.FILE GOC'!Q76</f>
        <v>59</v>
      </c>
      <c r="N26" s="2929"/>
      <c r="O26" s="2924"/>
      <c r="P26" s="20"/>
    </row>
    <row r="27" spans="1:16" ht="51" customHeight="1">
      <c r="A27" s="863">
        <v>3</v>
      </c>
      <c r="B27" s="3150" t="s">
        <v>481</v>
      </c>
      <c r="C27" s="3151" t="s">
        <v>481</v>
      </c>
      <c r="D27" s="3151" t="s">
        <v>481</v>
      </c>
      <c r="E27" s="3152" t="s">
        <v>481</v>
      </c>
      <c r="F27" s="21" t="s">
        <v>106</v>
      </c>
      <c r="G27" s="107" t="s">
        <v>508</v>
      </c>
      <c r="H27" s="489">
        <f>'R.FILE GOC'!H77</f>
        <v>58</v>
      </c>
      <c r="I27" s="2928">
        <f>'R.FILE GOC'!K77</f>
        <v>59</v>
      </c>
      <c r="J27" s="2929"/>
      <c r="K27" s="2924"/>
      <c r="L27" s="489">
        <f>'R.FILE GOC'!N77</f>
        <v>58</v>
      </c>
      <c r="M27" s="2928">
        <f>'R.FILE GOC'!Q77</f>
        <v>59</v>
      </c>
      <c r="N27" s="2929"/>
      <c r="O27" s="2924"/>
      <c r="P27" s="20"/>
    </row>
    <row r="28" spans="1:16" ht="51" customHeight="1">
      <c r="A28" s="863">
        <v>4</v>
      </c>
      <c r="B28" s="3150" t="s">
        <v>976</v>
      </c>
      <c r="C28" s="3151" t="s">
        <v>512</v>
      </c>
      <c r="D28" s="3151" t="s">
        <v>512</v>
      </c>
      <c r="E28" s="3152" t="s">
        <v>512</v>
      </c>
      <c r="F28" s="21" t="s">
        <v>106</v>
      </c>
      <c r="G28" s="107" t="s">
        <v>513</v>
      </c>
      <c r="H28" s="489">
        <f>'R.FILE GOC'!H78</f>
        <v>40</v>
      </c>
      <c r="I28" s="2928">
        <f>'R.FILE GOC'!K78</f>
        <v>38</v>
      </c>
      <c r="J28" s="2929"/>
      <c r="K28" s="2924"/>
      <c r="L28" s="489">
        <v>40</v>
      </c>
      <c r="M28" s="2928">
        <v>39</v>
      </c>
      <c r="N28" s="2929"/>
      <c r="O28" s="2924"/>
      <c r="P28" s="20"/>
    </row>
    <row r="29" spans="1:16" ht="51" customHeight="1">
      <c r="A29" s="863">
        <v>5</v>
      </c>
      <c r="B29" s="3150" t="s">
        <v>587</v>
      </c>
      <c r="C29" s="3151"/>
      <c r="D29" s="3151"/>
      <c r="E29" s="3152"/>
      <c r="F29" s="21" t="s">
        <v>106</v>
      </c>
      <c r="G29" s="107" t="s">
        <v>516</v>
      </c>
      <c r="H29" s="489">
        <f>'R.FILE GOC'!H79</f>
        <v>30</v>
      </c>
      <c r="I29" s="2928">
        <f>'R.FILE GOC'!K79</f>
        <v>26</v>
      </c>
      <c r="J29" s="2929"/>
      <c r="K29" s="2924"/>
      <c r="L29" s="489">
        <f>'R.FILE GOC'!N79</f>
        <v>29</v>
      </c>
      <c r="M29" s="2928">
        <v>27</v>
      </c>
      <c r="N29" s="2929"/>
      <c r="O29" s="2924"/>
      <c r="P29" s="20"/>
    </row>
    <row r="30" spans="1:16" ht="43.5" hidden="1" customHeight="1">
      <c r="A30" s="863">
        <v>6</v>
      </c>
      <c r="B30" s="3150" t="s">
        <v>588</v>
      </c>
      <c r="C30" s="3151"/>
      <c r="D30" s="3151"/>
      <c r="E30" s="3152"/>
      <c r="F30" s="21" t="s">
        <v>106</v>
      </c>
      <c r="G30" s="107" t="s">
        <v>516</v>
      </c>
      <c r="H30" s="489">
        <f>'R.FILE GOC'!H80</f>
        <v>0</v>
      </c>
      <c r="I30" s="2928">
        <f>'R.FILE GOC'!K80</f>
        <v>0</v>
      </c>
      <c r="J30" s="2929"/>
      <c r="K30" s="2924"/>
      <c r="L30" s="489">
        <f>'R.FILE GOC'!N80</f>
        <v>0</v>
      </c>
      <c r="M30" s="2928">
        <f>'R.FILE GOC'!Q80</f>
        <v>0</v>
      </c>
      <c r="N30" s="2929"/>
      <c r="O30" s="2924"/>
      <c r="P30" s="20"/>
    </row>
    <row r="31" spans="1:16" ht="50.25" customHeight="1">
      <c r="A31" s="863">
        <v>7</v>
      </c>
      <c r="B31" s="3150" t="s">
        <v>520</v>
      </c>
      <c r="C31" s="3151" t="s">
        <v>520</v>
      </c>
      <c r="D31" s="3151" t="s">
        <v>520</v>
      </c>
      <c r="E31" s="3152" t="s">
        <v>520</v>
      </c>
      <c r="F31" s="21" t="s">
        <v>106</v>
      </c>
      <c r="G31" s="107" t="s">
        <v>521</v>
      </c>
      <c r="H31" s="255" t="str">
        <f>'R.FILE GOC'!H81</f>
        <v>\</v>
      </c>
      <c r="I31" s="2928">
        <f>'R.FILE GOC'!K81</f>
        <v>171</v>
      </c>
      <c r="J31" s="2929"/>
      <c r="K31" s="2929"/>
      <c r="L31" s="255" t="str">
        <f>'R.FILE GOC'!N81</f>
        <v>\</v>
      </c>
      <c r="M31" s="2928">
        <f>'R.FILE GOC'!Q81</f>
        <v>178</v>
      </c>
      <c r="N31" s="2929"/>
      <c r="O31" s="2929"/>
      <c r="P31" s="20"/>
    </row>
    <row r="32" spans="1:16" ht="48" hidden="1" customHeight="1">
      <c r="A32" s="862"/>
      <c r="B32" s="490"/>
      <c r="C32" s="491"/>
      <c r="D32" s="491"/>
      <c r="E32" s="491"/>
      <c r="F32" s="491"/>
      <c r="G32" s="491"/>
      <c r="H32" s="492" t="s">
        <v>522</v>
      </c>
      <c r="I32" s="491"/>
      <c r="J32" s="491"/>
      <c r="K32" s="491"/>
      <c r="L32" s="491"/>
      <c r="M32" s="491"/>
      <c r="N32" s="491"/>
      <c r="O32" s="491"/>
      <c r="P32" s="493"/>
    </row>
    <row r="33" spans="1:16" ht="52.5" hidden="1" customHeight="1">
      <c r="A33" s="863">
        <v>1</v>
      </c>
      <c r="B33" s="3108" t="s">
        <v>522</v>
      </c>
      <c r="C33" s="3110"/>
      <c r="D33" s="3110"/>
      <c r="E33" s="3111"/>
      <c r="F33" s="334" t="s">
        <v>523</v>
      </c>
      <c r="G33" s="334" t="s">
        <v>524</v>
      </c>
      <c r="H33" s="3145">
        <f>'R.FILE GOC'!H83</f>
        <v>0</v>
      </c>
      <c r="I33" s="3143"/>
      <c r="J33" s="3143"/>
      <c r="K33" s="3143"/>
      <c r="L33" s="3145">
        <f>'R.FILE GOC'!N83</f>
        <v>0</v>
      </c>
      <c r="M33" s="3143"/>
      <c r="N33" s="3143"/>
      <c r="O33" s="3143"/>
      <c r="P33" s="338"/>
    </row>
    <row r="34" spans="1:16" ht="52.5" hidden="1" customHeight="1">
      <c r="A34" s="863">
        <v>2</v>
      </c>
      <c r="B34" s="3150" t="s">
        <v>525</v>
      </c>
      <c r="C34" s="3151"/>
      <c r="D34" s="3151"/>
      <c r="E34" s="3152"/>
      <c r="F34" s="334" t="s">
        <v>523</v>
      </c>
      <c r="G34" s="107" t="s">
        <v>526</v>
      </c>
      <c r="H34" s="3145">
        <f>'R.FILE GOC'!H84</f>
        <v>0</v>
      </c>
      <c r="I34" s="3143"/>
      <c r="J34" s="3143"/>
      <c r="K34" s="3143"/>
      <c r="L34" s="3145">
        <f>'R.FILE GOC'!N84</f>
        <v>0</v>
      </c>
      <c r="M34" s="3143"/>
      <c r="N34" s="3143"/>
      <c r="O34" s="3143"/>
      <c r="P34" s="20"/>
    </row>
  </sheetData>
  <sheetProtection formatCells="0" formatColumns="0" formatRows="0" insertColumns="0" insertRows="0" insertHyperlinks="0" deleteColumns="0" deleteRows="0" selectLockedCells="1" sort="0" autoFilter="0" pivotTables="0"/>
  <mergeCells count="59">
    <mergeCell ref="B34:E34"/>
    <mergeCell ref="H34:K34"/>
    <mergeCell ref="L34:O34"/>
    <mergeCell ref="B31:E31"/>
    <mergeCell ref="I31:K31"/>
    <mergeCell ref="M31:O31"/>
    <mergeCell ref="B33:E33"/>
    <mergeCell ref="H33:K33"/>
    <mergeCell ref="L33:O33"/>
    <mergeCell ref="B29:E29"/>
    <mergeCell ref="I29:K29"/>
    <mergeCell ref="M29:O29"/>
    <mergeCell ref="B30:E30"/>
    <mergeCell ref="I30:K30"/>
    <mergeCell ref="M30:O30"/>
    <mergeCell ref="B27:E27"/>
    <mergeCell ref="I27:K27"/>
    <mergeCell ref="M27:O27"/>
    <mergeCell ref="B28:E28"/>
    <mergeCell ref="I28:K28"/>
    <mergeCell ref="M28:O28"/>
    <mergeCell ref="B25:E25"/>
    <mergeCell ref="I25:K25"/>
    <mergeCell ref="M25:O25"/>
    <mergeCell ref="B26:E26"/>
    <mergeCell ref="I26:K26"/>
    <mergeCell ref="M26:O26"/>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A1:J1"/>
    <mergeCell ref="A2:M2"/>
    <mergeCell ref="N2:O2"/>
    <mergeCell ref="N3:O3"/>
    <mergeCell ref="A4:A6"/>
    <mergeCell ref="B4:E6"/>
    <mergeCell ref="F4:F6"/>
    <mergeCell ref="G4:G6"/>
  </mergeCells>
  <phoneticPr fontId="7" type="noConversion"/>
  <conditionalFormatting sqref="H10 L10">
    <cfRule type="expression" dxfId="819" priority="143">
      <formula>H10&lt;5</formula>
    </cfRule>
    <cfRule type="expression" dxfId="818" priority="144">
      <formula>H10&gt;15</formula>
    </cfRule>
  </conditionalFormatting>
  <conditionalFormatting sqref="H11 L11">
    <cfRule type="expression" dxfId="817" priority="142">
      <formula>H11&gt;1.5</formula>
    </cfRule>
  </conditionalFormatting>
  <conditionalFormatting sqref="H12 L12">
    <cfRule type="expression" dxfId="816" priority="140">
      <formula>H12&lt;20</formula>
    </cfRule>
    <cfRule type="expression" dxfId="815" priority="141">
      <formula>H12&gt;25</formula>
    </cfRule>
  </conditionalFormatting>
  <conditionalFormatting sqref="H13 L13">
    <cfRule type="expression" dxfId="814" priority="138">
      <formula>H13&lt;6</formula>
    </cfRule>
    <cfRule type="expression" dxfId="813" priority="139">
      <formula>H13&gt;9</formula>
    </cfRule>
  </conditionalFormatting>
  <conditionalFormatting sqref="H14 L14">
    <cfRule type="expression" dxfId="812" priority="136">
      <formula>H14&lt;7</formula>
    </cfRule>
    <cfRule type="expression" dxfId="811" priority="137">
      <formula>H14&gt;10</formula>
    </cfRule>
  </conditionalFormatting>
  <conditionalFormatting sqref="H15:H16 L15:L16">
    <cfRule type="expression" dxfId="810" priority="134">
      <formula>H15&lt;5.3</formula>
    </cfRule>
    <cfRule type="expression" dxfId="809" priority="135">
      <formula>H15&gt;6</formula>
    </cfRule>
  </conditionalFormatting>
  <conditionalFormatting sqref="H17 H19">
    <cfRule type="expression" dxfId="808" priority="130">
      <formula>H17&lt;12</formula>
    </cfRule>
    <cfRule type="expression" dxfId="807" priority="131">
      <formula>H17&gt;18</formula>
    </cfRule>
  </conditionalFormatting>
  <conditionalFormatting sqref="H18 H20">
    <cfRule type="expression" dxfId="806" priority="126">
      <formula>H18&lt;8</formula>
    </cfRule>
    <cfRule type="expression" dxfId="805" priority="127">
      <formula>H18&gt;16</formula>
    </cfRule>
  </conditionalFormatting>
  <conditionalFormatting sqref="H25:O27">
    <cfRule type="expression" dxfId="804" priority="95">
      <formula>H25&lt;51</formula>
    </cfRule>
    <cfRule type="expression" dxfId="803" priority="96">
      <formula>H25&gt;59</formula>
    </cfRule>
  </conditionalFormatting>
  <conditionalFormatting sqref="H25:O30 I31 M31">
    <cfRule type="expression" dxfId="802" priority="94">
      <formula>H25&lt;1</formula>
    </cfRule>
  </conditionalFormatting>
  <conditionalFormatting sqref="H28:O28">
    <cfRule type="expression" dxfId="801" priority="89">
      <formula>H28&lt;30</formula>
    </cfRule>
    <cfRule type="expression" dxfId="800" priority="90">
      <formula>H28&gt;40</formula>
    </cfRule>
  </conditionalFormatting>
  <conditionalFormatting sqref="H29:O30">
    <cfRule type="expression" dxfId="799" priority="86">
      <formula>H29&lt;26</formula>
    </cfRule>
    <cfRule type="expression" dxfId="798" priority="87">
      <formula>H29&gt;32</formula>
    </cfRule>
  </conditionalFormatting>
  <conditionalFormatting sqref="I31 M31">
    <cfRule type="expression" dxfId="797" priority="35">
      <formula>I31&lt;170</formula>
    </cfRule>
    <cfRule type="expression" dxfId="796" priority="36">
      <formula>I31&gt;220</formula>
    </cfRule>
  </conditionalFormatting>
  <pageMargins left="0.5699999999999999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4.xml><?xml version="1.0" encoding="utf-8"?>
<worksheet xmlns="http://schemas.openxmlformats.org/spreadsheetml/2006/main" xmlns:r="http://schemas.openxmlformats.org/officeDocument/2006/relationships">
  <sheetPr codeName="Sheet23">
    <tabColor rgb="FFFFC000"/>
  </sheetPr>
  <dimension ref="A1:S44"/>
  <sheetViews>
    <sheetView zoomScale="70" zoomScaleNormal="70" workbookViewId="0">
      <selection activeCell="D3" sqref="D3:E3"/>
    </sheetView>
  </sheetViews>
  <sheetFormatPr defaultRowHeight="13.5"/>
  <cols>
    <col min="1" max="1" width="3.875" style="496" customWidth="1"/>
    <col min="2" max="2" width="21.625" style="546" customWidth="1"/>
    <col min="3" max="3" width="21.625" style="546" hidden="1" customWidth="1"/>
    <col min="4" max="4" width="7.625" style="496" customWidth="1"/>
    <col min="5" max="5" width="14.375" style="496" customWidth="1"/>
    <col min="6" max="6" width="8.75" style="496" customWidth="1"/>
    <col min="7" max="7" width="2.375" style="496" customWidth="1"/>
    <col min="8" max="8" width="6.5" style="547" customWidth="1"/>
    <col min="9" max="9" width="3.125" style="547" customWidth="1"/>
    <col min="10" max="10" width="8.125" style="547" customWidth="1"/>
    <col min="11" max="11" width="2.5" style="547" customWidth="1"/>
    <col min="12" max="12" width="6.5" style="547" customWidth="1"/>
    <col min="13" max="13" width="3.75" style="547" customWidth="1"/>
    <col min="14" max="14" width="8.125" style="547" customWidth="1"/>
    <col min="15" max="15" width="2.5" style="547" customWidth="1"/>
    <col min="16" max="16" width="6.5" style="547" customWidth="1"/>
    <col min="17" max="17" width="3.75" style="547" customWidth="1"/>
    <col min="18" max="18" width="7.375" style="495" customWidth="1"/>
    <col min="19" max="19" width="5.75" style="495" customWidth="1"/>
    <col min="20" max="16384" width="9" style="496"/>
  </cols>
  <sheetData>
    <row r="1" spans="1:19" ht="33" customHeight="1">
      <c r="A1" s="3352" t="s">
        <v>589</v>
      </c>
      <c r="B1" s="3352"/>
      <c r="C1" s="3352"/>
      <c r="D1" s="3352"/>
      <c r="E1" s="3352"/>
      <c r="F1" s="3352"/>
      <c r="G1" s="3352"/>
      <c r="H1" s="3352"/>
      <c r="I1" s="3352"/>
      <c r="J1" s="3352"/>
      <c r="K1" s="3352"/>
      <c r="L1" s="3352"/>
      <c r="M1" s="3352"/>
      <c r="N1" s="494"/>
      <c r="O1" s="494"/>
      <c r="P1" s="494"/>
      <c r="Q1" s="494"/>
    </row>
    <row r="2" spans="1:19" ht="39.75" customHeight="1">
      <c r="A2" s="3353" t="s">
        <v>919</v>
      </c>
      <c r="B2" s="3353"/>
      <c r="C2" s="3353"/>
      <c r="D2" s="3353"/>
      <c r="E2" s="3353"/>
      <c r="F2" s="3353"/>
      <c r="G2" s="3353"/>
      <c r="H2" s="3353"/>
      <c r="I2" s="3353"/>
      <c r="J2" s="3353"/>
      <c r="K2" s="3353"/>
      <c r="L2" s="3353"/>
      <c r="M2" s="3353"/>
      <c r="N2" s="497"/>
      <c r="O2" s="497"/>
      <c r="P2" s="3354" t="s">
        <v>590</v>
      </c>
      <c r="Q2" s="3355"/>
      <c r="R2" s="3356" t="s">
        <v>591</v>
      </c>
      <c r="S2" s="3357"/>
    </row>
    <row r="3" spans="1:19" ht="22.5" customHeight="1">
      <c r="A3" s="498"/>
      <c r="B3" s="499" t="s">
        <v>592</v>
      </c>
      <c r="C3" s="499"/>
      <c r="D3" s="2139" t="str">
        <f>MENU!$AC$9</f>
        <v>Thứ 3,</v>
      </c>
      <c r="E3" s="1933" t="str">
        <f>MENU!$AD$9</f>
        <v>2024/01/09</v>
      </c>
      <c r="F3" s="498"/>
      <c r="G3" s="498"/>
      <c r="H3" s="498"/>
      <c r="I3" s="498"/>
      <c r="J3" s="502"/>
      <c r="K3" s="502"/>
      <c r="L3" s="502"/>
      <c r="M3" s="502"/>
      <c r="N3" s="502"/>
      <c r="O3" s="502"/>
      <c r="P3" s="3358" t="str">
        <f>'1.xi den'!$N$3</f>
        <v>Trang</v>
      </c>
      <c r="Q3" s="3359"/>
      <c r="R3" s="3360" t="s">
        <v>593</v>
      </c>
      <c r="S3" s="3361"/>
    </row>
    <row r="4" spans="1:19" s="504" customFormat="1" ht="33" customHeight="1">
      <c r="A4" s="3372" t="s">
        <v>594</v>
      </c>
      <c r="B4" s="3375" t="s">
        <v>595</v>
      </c>
      <c r="C4" s="503"/>
      <c r="D4" s="3375" t="s">
        <v>125</v>
      </c>
      <c r="E4" s="3376" t="s">
        <v>596</v>
      </c>
      <c r="F4" s="3378" t="s">
        <v>923</v>
      </c>
      <c r="G4" s="3379"/>
      <c r="H4" s="3379"/>
      <c r="I4" s="3379"/>
      <c r="J4" s="3379"/>
      <c r="K4" s="3379"/>
      <c r="L4" s="3379"/>
      <c r="M4" s="3379"/>
      <c r="N4" s="3379"/>
      <c r="O4" s="3379"/>
      <c r="P4" s="3379"/>
      <c r="Q4" s="3380"/>
      <c r="R4" s="3362" t="s">
        <v>598</v>
      </c>
      <c r="S4" s="3362"/>
    </row>
    <row r="5" spans="1:19" s="504" customFormat="1" ht="15.75" customHeight="1">
      <c r="A5" s="3373"/>
      <c r="B5" s="3375"/>
      <c r="C5" s="503"/>
      <c r="D5" s="3375"/>
      <c r="E5" s="3376"/>
      <c r="F5" s="3363">
        <v>0.375</v>
      </c>
      <c r="G5" s="3364"/>
      <c r="H5" s="3364"/>
      <c r="I5" s="3364"/>
      <c r="J5" s="3365">
        <v>0.5625</v>
      </c>
      <c r="K5" s="3366"/>
      <c r="L5" s="3366"/>
      <c r="M5" s="3367"/>
      <c r="N5" s="3365">
        <v>0.72916666666666663</v>
      </c>
      <c r="O5" s="3366"/>
      <c r="P5" s="3366"/>
      <c r="Q5" s="3367"/>
      <c r="R5" s="3362"/>
      <c r="S5" s="3362"/>
    </row>
    <row r="6" spans="1:19" s="504" customFormat="1" ht="44.25" customHeight="1">
      <c r="A6" s="3374"/>
      <c r="B6" s="3364"/>
      <c r="C6" s="505"/>
      <c r="D6" s="3364"/>
      <c r="E6" s="3377"/>
      <c r="F6" s="506" t="s">
        <v>599</v>
      </c>
      <c r="G6" s="3368" t="s">
        <v>600</v>
      </c>
      <c r="H6" s="3369"/>
      <c r="I6" s="3370"/>
      <c r="J6" s="506" t="s">
        <v>599</v>
      </c>
      <c r="K6" s="3381" t="s">
        <v>600</v>
      </c>
      <c r="L6" s="3382"/>
      <c r="M6" s="3383"/>
      <c r="N6" s="506" t="s">
        <v>599</v>
      </c>
      <c r="O6" s="3381" t="s">
        <v>600</v>
      </c>
      <c r="P6" s="3382"/>
      <c r="Q6" s="3383"/>
      <c r="R6" s="3371" t="s">
        <v>601</v>
      </c>
      <c r="S6" s="3371"/>
    </row>
    <row r="7" spans="1:19" ht="29.25" customHeight="1">
      <c r="A7" s="505">
        <v>1</v>
      </c>
      <c r="B7" s="507" t="s">
        <v>602</v>
      </c>
      <c r="C7" s="507"/>
      <c r="D7" s="508" t="s">
        <v>603</v>
      </c>
      <c r="E7" s="509" t="s">
        <v>604</v>
      </c>
      <c r="F7" s="510">
        <f>'R.FILE GOC'!H6</f>
        <v>0</v>
      </c>
      <c r="G7" s="511" t="s">
        <v>605</v>
      </c>
      <c r="H7" s="512">
        <f>'R.FILE GOC'!K6</f>
        <v>292.1875</v>
      </c>
      <c r="I7" s="505" t="s">
        <v>10</v>
      </c>
      <c r="J7" s="510">
        <f>'R.FILE GOC'!N6</f>
        <v>0</v>
      </c>
      <c r="K7" s="511" t="s">
        <v>605</v>
      </c>
      <c r="L7" s="512">
        <f>'R.FILE GOC'!Q6</f>
        <v>292.1875</v>
      </c>
      <c r="M7" s="505" t="s">
        <v>10</v>
      </c>
      <c r="N7" s="510">
        <f>'R.FILE GOC'!T6</f>
        <v>0</v>
      </c>
      <c r="O7" s="511" t="s">
        <v>605</v>
      </c>
      <c r="P7" s="512">
        <f>'R.FILE GOC'!W6</f>
        <v>292.1875</v>
      </c>
      <c r="Q7" s="505" t="s">
        <v>10</v>
      </c>
      <c r="R7" s="3384" t="s">
        <v>606</v>
      </c>
      <c r="S7" s="3384"/>
    </row>
    <row r="8" spans="1:19" ht="29.25" hidden="1" customHeight="1">
      <c r="A8" s="505">
        <v>2</v>
      </c>
      <c r="B8" s="507" t="s">
        <v>607</v>
      </c>
      <c r="C8" s="513"/>
      <c r="D8" s="508" t="s">
        <v>603</v>
      </c>
      <c r="E8" s="509" t="s">
        <v>604</v>
      </c>
      <c r="F8" s="514">
        <f>'R.FILE GOC'!H7</f>
        <v>0</v>
      </c>
      <c r="G8" s="515" t="s">
        <v>605</v>
      </c>
      <c r="H8" s="516">
        <f>'R.FILE GOC'!K7</f>
        <v>292.1875</v>
      </c>
      <c r="I8" s="217" t="s">
        <v>10</v>
      </c>
      <c r="J8" s="514">
        <f>'R.FILE GOC'!N7</f>
        <v>0</v>
      </c>
      <c r="K8" s="515" t="s">
        <v>605</v>
      </c>
      <c r="L8" s="516">
        <f>'R.FILE GOC'!Q7</f>
        <v>292.1875</v>
      </c>
      <c r="M8" s="217" t="s">
        <v>10</v>
      </c>
      <c r="N8" s="514">
        <f>'R.FILE GOC'!T7</f>
        <v>0</v>
      </c>
      <c r="O8" s="515" t="s">
        <v>605</v>
      </c>
      <c r="P8" s="516">
        <f>'R.FILE GOC'!W7</f>
        <v>292.1875</v>
      </c>
      <c r="Q8" s="217" t="s">
        <v>10</v>
      </c>
      <c r="R8" s="517"/>
      <c r="S8" s="517"/>
    </row>
    <row r="9" spans="1:19" ht="29.25" customHeight="1">
      <c r="A9" s="505">
        <v>3</v>
      </c>
      <c r="B9" s="3385" t="s">
        <v>608</v>
      </c>
      <c r="C9" s="518"/>
      <c r="D9" s="3388" t="s">
        <v>432</v>
      </c>
      <c r="E9" s="509" t="s">
        <v>609</v>
      </c>
      <c r="F9" s="510">
        <f>'R.FILE GOC'!H8</f>
        <v>0</v>
      </c>
      <c r="G9" s="511" t="s">
        <v>610</v>
      </c>
      <c r="H9" s="512">
        <f>'R.FILE GOC'!K8</f>
        <v>69.400000000000006</v>
      </c>
      <c r="I9" s="505" t="s">
        <v>611</v>
      </c>
      <c r="J9" s="510">
        <f>'R.FILE GOC'!N8</f>
        <v>0</v>
      </c>
      <c r="K9" s="511" t="s">
        <v>610</v>
      </c>
      <c r="L9" s="512">
        <f>'R.FILE GOC'!Q8</f>
        <v>69.400000000000006</v>
      </c>
      <c r="M9" s="505" t="s">
        <v>611</v>
      </c>
      <c r="N9" s="510">
        <f>'R.FILE GOC'!T8</f>
        <v>0</v>
      </c>
      <c r="O9" s="511" t="s">
        <v>610</v>
      </c>
      <c r="P9" s="512">
        <f>'R.FILE GOC'!W8</f>
        <v>69.400000000000006</v>
      </c>
      <c r="Q9" s="505" t="s">
        <v>611</v>
      </c>
      <c r="R9" s="3384" t="s">
        <v>612</v>
      </c>
      <c r="S9" s="3384"/>
    </row>
    <row r="10" spans="1:19" ht="29.25" customHeight="1">
      <c r="A10" s="505">
        <v>4</v>
      </c>
      <c r="B10" s="3386"/>
      <c r="C10" s="519"/>
      <c r="D10" s="3388"/>
      <c r="E10" s="509" t="s">
        <v>613</v>
      </c>
      <c r="F10" s="510">
        <f>'R.FILE GOC'!H9</f>
        <v>0</v>
      </c>
      <c r="G10" s="511" t="s">
        <v>610</v>
      </c>
      <c r="H10" s="512">
        <f>'R.FILE GOC'!K9</f>
        <v>4.5110000000000001</v>
      </c>
      <c r="I10" s="505" t="s">
        <v>611</v>
      </c>
      <c r="J10" s="510">
        <f>'R.FILE GOC'!N9</f>
        <v>0</v>
      </c>
      <c r="K10" s="511" t="s">
        <v>610</v>
      </c>
      <c r="L10" s="512">
        <f>'R.FILE GOC'!Q9</f>
        <v>4.5110000000000001</v>
      </c>
      <c r="M10" s="505" t="s">
        <v>611</v>
      </c>
      <c r="N10" s="510">
        <f>'R.FILE GOC'!T9</f>
        <v>0</v>
      </c>
      <c r="O10" s="511" t="s">
        <v>610</v>
      </c>
      <c r="P10" s="512">
        <f>'R.FILE GOC'!W9</f>
        <v>4.5110000000000001</v>
      </c>
      <c r="Q10" s="505" t="s">
        <v>611</v>
      </c>
      <c r="R10" s="3384" t="s">
        <v>614</v>
      </c>
      <c r="S10" s="3384"/>
    </row>
    <row r="11" spans="1:19" ht="29.25" customHeight="1">
      <c r="A11" s="505">
        <v>5</v>
      </c>
      <c r="B11" s="3387"/>
      <c r="C11" s="520"/>
      <c r="D11" s="3388"/>
      <c r="E11" s="509" t="s">
        <v>615</v>
      </c>
      <c r="F11" s="521">
        <f>'R.FILE GOC'!H10</f>
        <v>0</v>
      </c>
      <c r="G11" s="511" t="s">
        <v>610</v>
      </c>
      <c r="H11" s="512">
        <f>'R.FILE GOC'!K10</f>
        <v>0</v>
      </c>
      <c r="I11" s="505" t="s">
        <v>611</v>
      </c>
      <c r="J11" s="521">
        <f>'R.FILE GOC'!N10</f>
        <v>0</v>
      </c>
      <c r="K11" s="511" t="s">
        <v>610</v>
      </c>
      <c r="L11" s="512">
        <f>'R.FILE GOC'!Q10</f>
        <v>0</v>
      </c>
      <c r="M11" s="505" t="s">
        <v>611</v>
      </c>
      <c r="N11" s="521">
        <f>'R.FILE GOC'!T10</f>
        <v>0</v>
      </c>
      <c r="O11" s="511" t="s">
        <v>610</v>
      </c>
      <c r="P11" s="512">
        <f>'R.FILE GOC'!W10</f>
        <v>0</v>
      </c>
      <c r="Q11" s="505" t="s">
        <v>611</v>
      </c>
      <c r="R11" s="3384"/>
      <c r="S11" s="3384"/>
    </row>
    <row r="12" spans="1:19" ht="29.25" customHeight="1">
      <c r="A12" s="505">
        <v>6</v>
      </c>
      <c r="B12" s="3385" t="s">
        <v>616</v>
      </c>
      <c r="C12" s="518"/>
      <c r="D12" s="3388" t="s">
        <v>432</v>
      </c>
      <c r="E12" s="509" t="s">
        <v>609</v>
      </c>
      <c r="F12" s="510">
        <f>'R.FILE GOC'!H11</f>
        <v>0</v>
      </c>
      <c r="G12" s="511" t="s">
        <v>610</v>
      </c>
      <c r="H12" s="512">
        <f>'R.FILE GOC'!K11</f>
        <v>69.400000000000006</v>
      </c>
      <c r="I12" s="505"/>
      <c r="J12" s="510">
        <f>'R.FILE GOC'!N11</f>
        <v>0</v>
      </c>
      <c r="K12" s="511" t="s">
        <v>610</v>
      </c>
      <c r="L12" s="512">
        <f>'R.FILE GOC'!Q11</f>
        <v>69.400000000000006</v>
      </c>
      <c r="M12" s="505" t="s">
        <v>611</v>
      </c>
      <c r="N12" s="510">
        <f>'R.FILE GOC'!T11</f>
        <v>0</v>
      </c>
      <c r="O12" s="511" t="s">
        <v>610</v>
      </c>
      <c r="P12" s="512">
        <f>'R.FILE GOC'!W11</f>
        <v>69.400000000000006</v>
      </c>
      <c r="Q12" s="505" t="s">
        <v>611</v>
      </c>
      <c r="R12" s="3384" t="s">
        <v>612</v>
      </c>
      <c r="S12" s="3384"/>
    </row>
    <row r="13" spans="1:19" ht="29.25" customHeight="1">
      <c r="A13" s="505">
        <v>7</v>
      </c>
      <c r="B13" s="3386"/>
      <c r="C13" s="519"/>
      <c r="D13" s="3388"/>
      <c r="E13" s="509" t="s">
        <v>613</v>
      </c>
      <c r="F13" s="521">
        <f>'R.FILE GOC'!H12</f>
        <v>0</v>
      </c>
      <c r="G13" s="511" t="s">
        <v>610</v>
      </c>
      <c r="H13" s="512">
        <f>'R.FILE GOC'!K12</f>
        <v>4.5110000000000001</v>
      </c>
      <c r="I13" s="505"/>
      <c r="J13" s="521">
        <f>'R.FILE GOC'!N12</f>
        <v>0</v>
      </c>
      <c r="K13" s="511" t="s">
        <v>610</v>
      </c>
      <c r="L13" s="512">
        <f>'R.FILE GOC'!Q12</f>
        <v>4.5110000000000001</v>
      </c>
      <c r="M13" s="505" t="s">
        <v>611</v>
      </c>
      <c r="N13" s="521">
        <f>'R.FILE GOC'!T12</f>
        <v>0</v>
      </c>
      <c r="O13" s="511" t="s">
        <v>610</v>
      </c>
      <c r="P13" s="512">
        <f>'R.FILE GOC'!W12</f>
        <v>4.5110000000000001</v>
      </c>
      <c r="Q13" s="505" t="s">
        <v>611</v>
      </c>
      <c r="R13" s="3384" t="s">
        <v>614</v>
      </c>
      <c r="S13" s="3384"/>
    </row>
    <row r="14" spans="1:19" ht="29.25" customHeight="1">
      <c r="A14" s="505">
        <v>8</v>
      </c>
      <c r="B14" s="3387"/>
      <c r="C14" s="520"/>
      <c r="D14" s="3388"/>
      <c r="E14" s="509" t="s">
        <v>615</v>
      </c>
      <c r="F14" s="521">
        <f>'R.FILE GOC'!H13</f>
        <v>0</v>
      </c>
      <c r="G14" s="511" t="s">
        <v>610</v>
      </c>
      <c r="H14" s="512">
        <f>'R.FILE GOC'!K13</f>
        <v>0</v>
      </c>
      <c r="I14" s="505"/>
      <c r="J14" s="521">
        <f>'R.FILE GOC'!N13</f>
        <v>0</v>
      </c>
      <c r="K14" s="511" t="s">
        <v>610</v>
      </c>
      <c r="L14" s="512">
        <f>'R.FILE GOC'!Q13</f>
        <v>0</v>
      </c>
      <c r="M14" s="505" t="s">
        <v>611</v>
      </c>
      <c r="N14" s="521">
        <f>'R.FILE GOC'!T13</f>
        <v>0</v>
      </c>
      <c r="O14" s="511" t="s">
        <v>610</v>
      </c>
      <c r="P14" s="512">
        <f>'R.FILE GOC'!W13</f>
        <v>0</v>
      </c>
      <c r="Q14" s="505" t="s">
        <v>611</v>
      </c>
      <c r="R14" s="3384"/>
      <c r="S14" s="3384"/>
    </row>
    <row r="15" spans="1:19" s="525" customFormat="1" ht="29.25" customHeight="1">
      <c r="A15" s="505">
        <v>9</v>
      </c>
      <c r="B15" s="3393" t="s">
        <v>617</v>
      </c>
      <c r="C15" s="513"/>
      <c r="D15" s="522" t="s">
        <v>432</v>
      </c>
      <c r="E15" s="509" t="s">
        <v>442</v>
      </c>
      <c r="F15" s="510">
        <f>'R.FILE GOC'!H14</f>
        <v>0</v>
      </c>
      <c r="G15" s="511" t="s">
        <v>618</v>
      </c>
      <c r="H15" s="523">
        <f>'R.FILE GOC'!K14</f>
        <v>4.3680000000000003</v>
      </c>
      <c r="I15" s="524" t="s">
        <v>619</v>
      </c>
      <c r="J15" s="510">
        <f>'R.FILE GOC'!N14</f>
        <v>0</v>
      </c>
      <c r="K15" s="511" t="s">
        <v>618</v>
      </c>
      <c r="L15" s="523">
        <f>'R.FILE GOC'!Q14</f>
        <v>4.3680000000000003</v>
      </c>
      <c r="M15" s="524" t="s">
        <v>619</v>
      </c>
      <c r="N15" s="510">
        <f>'R.FILE GOC'!T14</f>
        <v>0</v>
      </c>
      <c r="O15" s="511" t="s">
        <v>618</v>
      </c>
      <c r="P15" s="523">
        <f>'R.FILE GOC'!W14</f>
        <v>4.3680000000000003</v>
      </c>
      <c r="Q15" s="524" t="s">
        <v>619</v>
      </c>
      <c r="R15" s="3384"/>
      <c r="S15" s="3384"/>
    </row>
    <row r="16" spans="1:19" s="525" customFormat="1" ht="29.25" customHeight="1">
      <c r="A16" s="505">
        <v>10</v>
      </c>
      <c r="B16" s="3394"/>
      <c r="C16" s="526"/>
      <c r="D16" s="522" t="s">
        <v>620</v>
      </c>
      <c r="E16" s="509" t="s">
        <v>621</v>
      </c>
      <c r="F16" s="510">
        <f>'R.FILE GOC'!H15</f>
        <v>0</v>
      </c>
      <c r="G16" s="511" t="s">
        <v>618</v>
      </c>
      <c r="H16" s="512"/>
      <c r="I16" s="524"/>
      <c r="J16" s="510">
        <f>'R.FILE GOC'!N15</f>
        <v>0</v>
      </c>
      <c r="K16" s="511" t="s">
        <v>618</v>
      </c>
      <c r="L16" s="512"/>
      <c r="M16" s="524"/>
      <c r="N16" s="510">
        <f>'R.FILE GOC'!T15</f>
        <v>0</v>
      </c>
      <c r="O16" s="511" t="s">
        <v>618</v>
      </c>
      <c r="P16" s="512"/>
      <c r="Q16" s="524"/>
      <c r="R16" s="3384"/>
      <c r="S16" s="3384"/>
    </row>
    <row r="17" spans="1:19" s="525" customFormat="1" ht="30" customHeight="1">
      <c r="A17" s="3375" t="s">
        <v>622</v>
      </c>
      <c r="B17" s="3375"/>
      <c r="C17" s="3375"/>
      <c r="D17" s="3375"/>
      <c r="E17" s="3375"/>
      <c r="F17" s="3375"/>
      <c r="G17" s="3375"/>
      <c r="H17" s="3375"/>
      <c r="I17" s="3375"/>
      <c r="J17" s="3375"/>
      <c r="K17" s="3375"/>
      <c r="L17" s="3375"/>
      <c r="M17" s="3375"/>
      <c r="N17" s="3375"/>
      <c r="O17" s="3375"/>
      <c r="P17" s="3375"/>
      <c r="Q17" s="3375"/>
      <c r="R17" s="3375"/>
      <c r="S17" s="3375"/>
    </row>
    <row r="18" spans="1:19" s="525" customFormat="1" ht="40.5" customHeight="1">
      <c r="A18" s="505" t="s">
        <v>623</v>
      </c>
      <c r="B18" s="527" t="s">
        <v>624</v>
      </c>
      <c r="C18" s="527"/>
      <c r="D18" s="503" t="s">
        <v>625</v>
      </c>
      <c r="E18" s="503" t="s">
        <v>626</v>
      </c>
      <c r="F18" s="3378" t="s">
        <v>627</v>
      </c>
      <c r="G18" s="3379"/>
      <c r="H18" s="3379"/>
      <c r="I18" s="3379"/>
      <c r="J18" s="3379"/>
      <c r="K18" s="3379"/>
      <c r="L18" s="3379"/>
      <c r="M18" s="3379"/>
      <c r="N18" s="3379"/>
      <c r="O18" s="3379"/>
      <c r="P18" s="3379"/>
      <c r="Q18" s="3380"/>
      <c r="R18" s="3389" t="s">
        <v>598</v>
      </c>
      <c r="S18" s="3390"/>
    </row>
    <row r="19" spans="1:19" s="525" customFormat="1" ht="28.5" customHeight="1">
      <c r="A19" s="505">
        <v>1</v>
      </c>
      <c r="B19" s="528" t="s">
        <v>446</v>
      </c>
      <c r="C19" s="528"/>
      <c r="D19" s="529" t="s">
        <v>628</v>
      </c>
      <c r="E19" s="530" t="s">
        <v>629</v>
      </c>
      <c r="F19" s="3391">
        <f>'R.FILE GOC'!H18</f>
        <v>0</v>
      </c>
      <c r="G19" s="3392"/>
      <c r="H19" s="3392"/>
      <c r="I19" s="3392"/>
      <c r="J19" s="3391">
        <f>'R.FILE GOC'!N18</f>
        <v>0</v>
      </c>
      <c r="K19" s="3392"/>
      <c r="L19" s="3392"/>
      <c r="M19" s="3392"/>
      <c r="N19" s="3391">
        <f>'R.FILE GOC'!T18</f>
        <v>0</v>
      </c>
      <c r="O19" s="3392"/>
      <c r="P19" s="3392"/>
      <c r="Q19" s="3392"/>
      <c r="R19" s="531"/>
      <c r="S19" s="531"/>
    </row>
    <row r="20" spans="1:19" s="525" customFormat="1" ht="28.5" customHeight="1">
      <c r="A20" s="505">
        <v>2</v>
      </c>
      <c r="B20" s="528" t="s">
        <v>448</v>
      </c>
      <c r="C20" s="528"/>
      <c r="D20" s="529" t="s">
        <v>628</v>
      </c>
      <c r="E20" s="530" t="s">
        <v>629</v>
      </c>
      <c r="F20" s="3391">
        <f>'R.FILE GOC'!H19</f>
        <v>0</v>
      </c>
      <c r="G20" s="3392"/>
      <c r="H20" s="3392"/>
      <c r="I20" s="3392"/>
      <c r="J20" s="3391">
        <f>'R.FILE GOC'!N19</f>
        <v>0</v>
      </c>
      <c r="K20" s="3392"/>
      <c r="L20" s="3392"/>
      <c r="M20" s="3392"/>
      <c r="N20" s="3391">
        <f>'R.FILE GOC'!T19</f>
        <v>0</v>
      </c>
      <c r="O20" s="3392"/>
      <c r="P20" s="3392"/>
      <c r="Q20" s="3392"/>
      <c r="R20" s="532"/>
      <c r="S20" s="532"/>
    </row>
    <row r="21" spans="1:19" s="525" customFormat="1" ht="28.5" customHeight="1">
      <c r="A21" s="505">
        <v>3</v>
      </c>
      <c r="B21" s="528" t="s">
        <v>441</v>
      </c>
      <c r="C21" s="528"/>
      <c r="D21" s="529" t="s">
        <v>628</v>
      </c>
      <c r="E21" s="530" t="s">
        <v>630</v>
      </c>
      <c r="F21" s="3391">
        <f>'R.FILE GOC'!H20</f>
        <v>0</v>
      </c>
      <c r="G21" s="3392"/>
      <c r="H21" s="3392"/>
      <c r="I21" s="3392"/>
      <c r="J21" s="3391">
        <f>'R.FILE GOC'!N20</f>
        <v>0</v>
      </c>
      <c r="K21" s="3392"/>
      <c r="L21" s="3392"/>
      <c r="M21" s="3392"/>
      <c r="N21" s="3391">
        <f>'R.FILE GOC'!T20</f>
        <v>0</v>
      </c>
      <c r="O21" s="3392"/>
      <c r="P21" s="3392"/>
      <c r="Q21" s="3392"/>
      <c r="R21" s="532"/>
      <c r="S21" s="532"/>
    </row>
    <row r="22" spans="1:19" s="525" customFormat="1" ht="28.5" customHeight="1">
      <c r="A22" s="533"/>
      <c r="B22" s="534"/>
      <c r="C22" s="534"/>
      <c r="D22" s="535"/>
      <c r="E22" s="536"/>
      <c r="F22" s="3396"/>
      <c r="G22" s="3396"/>
      <c r="H22" s="3396"/>
      <c r="I22" s="3396"/>
      <c r="J22" s="3396"/>
      <c r="K22" s="3396"/>
      <c r="L22" s="3396"/>
      <c r="M22" s="3396"/>
      <c r="N22" s="3396"/>
      <c r="O22" s="3396"/>
      <c r="P22" s="3396"/>
      <c r="Q22" s="3396"/>
      <c r="R22" s="537"/>
      <c r="S22" s="537"/>
    </row>
    <row r="23" spans="1:19" ht="39" customHeight="1">
      <c r="A23" s="3353" t="s">
        <v>919</v>
      </c>
      <c r="B23" s="3353"/>
      <c r="C23" s="3353"/>
      <c r="D23" s="3353"/>
      <c r="E23" s="3353"/>
      <c r="F23" s="3353"/>
      <c r="G23" s="3353"/>
      <c r="H23" s="3353"/>
      <c r="I23" s="3353"/>
      <c r="J23" s="3353"/>
      <c r="K23" s="3353"/>
      <c r="L23" s="3353"/>
      <c r="M23" s="3353"/>
      <c r="N23" s="497"/>
      <c r="O23" s="497"/>
      <c r="P23" s="497"/>
      <c r="Q23" s="497"/>
      <c r="R23" s="3397"/>
      <c r="S23" s="3397"/>
    </row>
    <row r="24" spans="1:19" ht="23.25" customHeight="1">
      <c r="A24" s="499"/>
      <c r="B24" s="499" t="s">
        <v>631</v>
      </c>
      <c r="C24" s="499"/>
      <c r="D24" s="1932" t="str">
        <f>D3</f>
        <v>Thứ 3,</v>
      </c>
      <c r="E24" s="1500" t="str">
        <f>$E$3</f>
        <v>2024/01/09</v>
      </c>
      <c r="F24" s="498"/>
      <c r="G24" s="498"/>
      <c r="H24" s="498"/>
      <c r="I24" s="498"/>
      <c r="J24" s="498"/>
      <c r="K24" s="498"/>
      <c r="L24" s="498"/>
      <c r="M24" s="498"/>
      <c r="N24" s="498"/>
      <c r="O24" s="498"/>
      <c r="P24" s="498"/>
      <c r="Q24" s="498"/>
      <c r="R24" s="3395"/>
      <c r="S24" s="3395"/>
    </row>
    <row r="25" spans="1:19" s="504" customFormat="1" ht="36.75" customHeight="1">
      <c r="A25" s="3373" t="s">
        <v>632</v>
      </c>
      <c r="B25" s="3399" t="s">
        <v>595</v>
      </c>
      <c r="C25" s="538"/>
      <c r="D25" s="3399" t="s">
        <v>125</v>
      </c>
      <c r="E25" s="3400" t="s">
        <v>596</v>
      </c>
      <c r="F25" s="3378" t="s">
        <v>597</v>
      </c>
      <c r="G25" s="3379"/>
      <c r="H25" s="3379"/>
      <c r="I25" s="3379"/>
      <c r="J25" s="3379"/>
      <c r="K25" s="3379"/>
      <c r="L25" s="3379"/>
      <c r="M25" s="3379"/>
      <c r="N25" s="3379"/>
      <c r="O25" s="3379"/>
      <c r="P25" s="3379"/>
      <c r="Q25" s="3380"/>
      <c r="R25" s="3398" t="s">
        <v>598</v>
      </c>
      <c r="S25" s="3398"/>
    </row>
    <row r="26" spans="1:19" s="504" customFormat="1" ht="16.5" customHeight="1">
      <c r="A26" s="3373"/>
      <c r="B26" s="3375"/>
      <c r="C26" s="503"/>
      <c r="D26" s="3375"/>
      <c r="E26" s="3376"/>
      <c r="F26" s="3363">
        <v>0.875</v>
      </c>
      <c r="G26" s="3364"/>
      <c r="H26" s="3364"/>
      <c r="I26" s="3364"/>
      <c r="J26" s="3365">
        <v>8.3333333333333329E-2</v>
      </c>
      <c r="K26" s="3366"/>
      <c r="L26" s="3366"/>
      <c r="M26" s="3367"/>
      <c r="N26" s="3365">
        <v>0.22916666666666666</v>
      </c>
      <c r="O26" s="3366"/>
      <c r="P26" s="3366"/>
      <c r="Q26" s="3367"/>
      <c r="R26" s="3362"/>
      <c r="S26" s="3362"/>
    </row>
    <row r="27" spans="1:19" s="504" customFormat="1" ht="38.25" customHeight="1">
      <c r="A27" s="3374"/>
      <c r="B27" s="3364"/>
      <c r="C27" s="505"/>
      <c r="D27" s="3364"/>
      <c r="E27" s="3377"/>
      <c r="F27" s="506" t="s">
        <v>599</v>
      </c>
      <c r="G27" s="3368" t="s">
        <v>600</v>
      </c>
      <c r="H27" s="3369"/>
      <c r="I27" s="3370"/>
      <c r="J27" s="506" t="s">
        <v>599</v>
      </c>
      <c r="K27" s="3381" t="s">
        <v>600</v>
      </c>
      <c r="L27" s="3382"/>
      <c r="M27" s="3383"/>
      <c r="N27" s="506" t="s">
        <v>599</v>
      </c>
      <c r="O27" s="3381" t="s">
        <v>600</v>
      </c>
      <c r="P27" s="3382"/>
      <c r="Q27" s="3383"/>
      <c r="R27" s="3371" t="s">
        <v>633</v>
      </c>
      <c r="S27" s="3371"/>
    </row>
    <row r="28" spans="1:19" ht="28.5" customHeight="1">
      <c r="A28" s="505">
        <v>1</v>
      </c>
      <c r="B28" s="507" t="s">
        <v>602</v>
      </c>
      <c r="C28" s="507"/>
      <c r="D28" s="508" t="s">
        <v>603</v>
      </c>
      <c r="E28" s="509" t="s">
        <v>604</v>
      </c>
      <c r="F28" s="510">
        <f>'R.FILE GOC'!Z6</f>
        <v>0</v>
      </c>
      <c r="G28" s="511" t="s">
        <v>618</v>
      </c>
      <c r="H28" s="512">
        <f>'R.FILE GOC'!AC6</f>
        <v>292.1875</v>
      </c>
      <c r="I28" s="505" t="s">
        <v>10</v>
      </c>
      <c r="J28" s="510">
        <f>'R.FILE GOC'!AF6</f>
        <v>0</v>
      </c>
      <c r="K28" s="511" t="s">
        <v>618</v>
      </c>
      <c r="L28" s="512">
        <f>'R.FILE GOC'!AI6</f>
        <v>292.1875</v>
      </c>
      <c r="M28" s="505" t="s">
        <v>10</v>
      </c>
      <c r="N28" s="510">
        <f>'R.FILE GOC'!AL6</f>
        <v>0</v>
      </c>
      <c r="O28" s="511" t="s">
        <v>618</v>
      </c>
      <c r="P28" s="512">
        <f>'R.FILE GOC'!AO6</f>
        <v>292.1875</v>
      </c>
      <c r="Q28" s="505" t="s">
        <v>10</v>
      </c>
      <c r="R28" s="3384" t="s">
        <v>634</v>
      </c>
      <c r="S28" s="3384"/>
    </row>
    <row r="29" spans="1:19" ht="28.5" hidden="1" customHeight="1">
      <c r="A29" s="505">
        <v>2</v>
      </c>
      <c r="B29" s="507" t="s">
        <v>607</v>
      </c>
      <c r="C29" s="513"/>
      <c r="D29" s="508" t="s">
        <v>603</v>
      </c>
      <c r="E29" s="509" t="s">
        <v>604</v>
      </c>
      <c r="F29" s="514">
        <f>'R.FILE GOC'!Z7</f>
        <v>0</v>
      </c>
      <c r="G29" s="515" t="s">
        <v>618</v>
      </c>
      <c r="H29" s="516">
        <f>'R.FILE GOC'!AC7</f>
        <v>292.1875</v>
      </c>
      <c r="I29" s="217" t="s">
        <v>10</v>
      </c>
      <c r="J29" s="514">
        <f>'R.FILE GOC'!AF7</f>
        <v>0</v>
      </c>
      <c r="K29" s="515" t="s">
        <v>618</v>
      </c>
      <c r="L29" s="516">
        <f>'R.FILE GOC'!AI7</f>
        <v>292.1875</v>
      </c>
      <c r="M29" s="217" t="s">
        <v>10</v>
      </c>
      <c r="N29" s="514">
        <f>'R.FILE GOC'!AL7</f>
        <v>0</v>
      </c>
      <c r="O29" s="515" t="s">
        <v>618</v>
      </c>
      <c r="P29" s="516">
        <f>'R.FILE GOC'!AO7</f>
        <v>292.1875</v>
      </c>
      <c r="Q29" s="217" t="s">
        <v>10</v>
      </c>
      <c r="R29" s="3384" t="s">
        <v>635</v>
      </c>
      <c r="S29" s="3384"/>
    </row>
    <row r="30" spans="1:19" ht="28.5" customHeight="1">
      <c r="A30" s="505">
        <v>3</v>
      </c>
      <c r="B30" s="3385" t="s">
        <v>636</v>
      </c>
      <c r="C30" s="518"/>
      <c r="D30" s="3388" t="s">
        <v>432</v>
      </c>
      <c r="E30" s="509" t="s">
        <v>609</v>
      </c>
      <c r="F30" s="510">
        <f>'R.FILE GOC'!Z8</f>
        <v>0</v>
      </c>
      <c r="G30" s="511" t="s">
        <v>618</v>
      </c>
      <c r="H30" s="512">
        <f>'R.FILE GOC'!AC8</f>
        <v>69.400000000000006</v>
      </c>
      <c r="I30" s="505" t="s">
        <v>619</v>
      </c>
      <c r="J30" s="510">
        <f>'R.FILE GOC'!AF8</f>
        <v>0</v>
      </c>
      <c r="K30" s="511" t="s">
        <v>618</v>
      </c>
      <c r="L30" s="512">
        <f>'R.FILE GOC'!AI8</f>
        <v>69.400000000000006</v>
      </c>
      <c r="M30" s="505" t="s">
        <v>619</v>
      </c>
      <c r="N30" s="510">
        <f>'R.FILE GOC'!AL8</f>
        <v>0</v>
      </c>
      <c r="O30" s="511" t="s">
        <v>618</v>
      </c>
      <c r="P30" s="512">
        <f>'R.FILE GOC'!AO8</f>
        <v>69.400000000000006</v>
      </c>
      <c r="Q30" s="505" t="s">
        <v>619</v>
      </c>
      <c r="R30" s="3384" t="s">
        <v>637</v>
      </c>
      <c r="S30" s="3384"/>
    </row>
    <row r="31" spans="1:19" ht="28.5" customHeight="1">
      <c r="A31" s="505">
        <v>4</v>
      </c>
      <c r="B31" s="3386"/>
      <c r="C31" s="519"/>
      <c r="D31" s="3388"/>
      <c r="E31" s="509" t="s">
        <v>613</v>
      </c>
      <c r="F31" s="510">
        <f>'R.FILE GOC'!Z9</f>
        <v>0</v>
      </c>
      <c r="G31" s="511" t="s">
        <v>618</v>
      </c>
      <c r="H31" s="512">
        <f>'R.FILE GOC'!AC9</f>
        <v>4.5110000000000001</v>
      </c>
      <c r="I31" s="505" t="s">
        <v>619</v>
      </c>
      <c r="J31" s="510">
        <f>'R.FILE GOC'!AF9</f>
        <v>0</v>
      </c>
      <c r="K31" s="511" t="s">
        <v>618</v>
      </c>
      <c r="L31" s="512">
        <f>'R.FILE GOC'!AI9</f>
        <v>4.5110000000000001</v>
      </c>
      <c r="M31" s="505" t="s">
        <v>619</v>
      </c>
      <c r="N31" s="510">
        <f>'R.FILE GOC'!AL9</f>
        <v>0</v>
      </c>
      <c r="O31" s="511" t="s">
        <v>618</v>
      </c>
      <c r="P31" s="512">
        <f>'R.FILE GOC'!AO9</f>
        <v>4.5110000000000001</v>
      </c>
      <c r="Q31" s="505" t="s">
        <v>619</v>
      </c>
      <c r="R31" s="3384" t="s">
        <v>638</v>
      </c>
      <c r="S31" s="3384"/>
    </row>
    <row r="32" spans="1:19" ht="28.5" customHeight="1">
      <c r="A32" s="505">
        <v>5</v>
      </c>
      <c r="B32" s="3387"/>
      <c r="C32" s="520"/>
      <c r="D32" s="3388"/>
      <c r="E32" s="509" t="s">
        <v>615</v>
      </c>
      <c r="F32" s="521">
        <f>'R.FILE GOC'!Z10</f>
        <v>0</v>
      </c>
      <c r="G32" s="511" t="s">
        <v>639</v>
      </c>
      <c r="H32" s="512">
        <f>'R.FILE GOC'!AC10</f>
        <v>0</v>
      </c>
      <c r="I32" s="505" t="s">
        <v>640</v>
      </c>
      <c r="J32" s="521">
        <f>'R.FILE GOC'!AF10</f>
        <v>0</v>
      </c>
      <c r="K32" s="511" t="s">
        <v>639</v>
      </c>
      <c r="L32" s="512">
        <f>'R.FILE GOC'!AI10</f>
        <v>0</v>
      </c>
      <c r="M32" s="505" t="s">
        <v>640</v>
      </c>
      <c r="N32" s="521">
        <f>'R.FILE GOC'!AL10</f>
        <v>0</v>
      </c>
      <c r="O32" s="511" t="s">
        <v>639</v>
      </c>
      <c r="P32" s="512" t="str">
        <f>'R.FILE GOC'!AO10</f>
        <v>N/A</v>
      </c>
      <c r="Q32" s="505" t="s">
        <v>640</v>
      </c>
      <c r="R32" s="3384"/>
      <c r="S32" s="3384"/>
    </row>
    <row r="33" spans="1:19" ht="28.5" customHeight="1">
      <c r="A33" s="505">
        <v>6</v>
      </c>
      <c r="B33" s="3385" t="s">
        <v>616</v>
      </c>
      <c r="C33" s="518"/>
      <c r="D33" s="3388" t="s">
        <v>432</v>
      </c>
      <c r="E33" s="509" t="s">
        <v>609</v>
      </c>
      <c r="F33" s="510">
        <f>'R.FILE GOC'!Z11</f>
        <v>0</v>
      </c>
      <c r="G33" s="511" t="s">
        <v>639</v>
      </c>
      <c r="H33" s="512">
        <f>'R.FILE GOC'!AC11</f>
        <v>69.400000000000006</v>
      </c>
      <c r="I33" s="505" t="s">
        <v>640</v>
      </c>
      <c r="J33" s="510">
        <f>'R.FILE GOC'!AF11</f>
        <v>0</v>
      </c>
      <c r="K33" s="511" t="s">
        <v>639</v>
      </c>
      <c r="L33" s="512">
        <f>'R.FILE GOC'!AI11</f>
        <v>69.400000000000006</v>
      </c>
      <c r="M33" s="505" t="s">
        <v>640</v>
      </c>
      <c r="N33" s="510">
        <f>'R.FILE GOC'!AL11</f>
        <v>0</v>
      </c>
      <c r="O33" s="511" t="s">
        <v>639</v>
      </c>
      <c r="P33" s="512">
        <f>'R.FILE GOC'!AO11</f>
        <v>69.400000000000006</v>
      </c>
      <c r="Q33" s="505" t="s">
        <v>640</v>
      </c>
      <c r="R33" s="3384" t="s">
        <v>637</v>
      </c>
      <c r="S33" s="3384"/>
    </row>
    <row r="34" spans="1:19" ht="28.5" customHeight="1">
      <c r="A34" s="505">
        <v>7</v>
      </c>
      <c r="B34" s="3386"/>
      <c r="C34" s="519"/>
      <c r="D34" s="3388"/>
      <c r="E34" s="509" t="s">
        <v>613</v>
      </c>
      <c r="F34" s="521">
        <f>'R.FILE GOC'!Z12</f>
        <v>0</v>
      </c>
      <c r="G34" s="511" t="s">
        <v>639</v>
      </c>
      <c r="H34" s="512">
        <f>'R.FILE GOC'!AC12</f>
        <v>4.5110000000000001</v>
      </c>
      <c r="I34" s="505" t="s">
        <v>640</v>
      </c>
      <c r="J34" s="521">
        <f>'R.FILE GOC'!AF12</f>
        <v>0</v>
      </c>
      <c r="K34" s="511" t="s">
        <v>639</v>
      </c>
      <c r="L34" s="512">
        <f>'R.FILE GOC'!AI12</f>
        <v>4.5110000000000001</v>
      </c>
      <c r="M34" s="505" t="s">
        <v>640</v>
      </c>
      <c r="N34" s="521">
        <f>'R.FILE GOC'!AL12</f>
        <v>0</v>
      </c>
      <c r="O34" s="511" t="s">
        <v>639</v>
      </c>
      <c r="P34" s="512">
        <f>'R.FILE GOC'!AO12</f>
        <v>4.5110000000000001</v>
      </c>
      <c r="Q34" s="505" t="s">
        <v>640</v>
      </c>
      <c r="R34" s="3384" t="s">
        <v>638</v>
      </c>
      <c r="S34" s="3384"/>
    </row>
    <row r="35" spans="1:19" ht="28.5" customHeight="1">
      <c r="A35" s="505">
        <v>8</v>
      </c>
      <c r="B35" s="3387"/>
      <c r="C35" s="520"/>
      <c r="D35" s="3388"/>
      <c r="E35" s="509" t="s">
        <v>615</v>
      </c>
      <c r="F35" s="521">
        <f>'R.FILE GOC'!Z13</f>
        <v>0</v>
      </c>
      <c r="G35" s="511" t="s">
        <v>639</v>
      </c>
      <c r="H35" s="512">
        <f>'R.FILE GOC'!AC13</f>
        <v>0</v>
      </c>
      <c r="I35" s="505" t="s">
        <v>640</v>
      </c>
      <c r="J35" s="521">
        <f>'R.FILE GOC'!AF13</f>
        <v>0</v>
      </c>
      <c r="K35" s="511" t="s">
        <v>639</v>
      </c>
      <c r="L35" s="512">
        <f>'R.FILE GOC'!AI13</f>
        <v>0</v>
      </c>
      <c r="M35" s="505" t="s">
        <v>640</v>
      </c>
      <c r="N35" s="521">
        <f>'R.FILE GOC'!AL13</f>
        <v>0</v>
      </c>
      <c r="O35" s="511" t="s">
        <v>639</v>
      </c>
      <c r="P35" s="512" t="str">
        <f>'R.FILE GOC'!AO13</f>
        <v>N/A</v>
      </c>
      <c r="Q35" s="505" t="s">
        <v>640</v>
      </c>
      <c r="R35" s="3384"/>
      <c r="S35" s="3384"/>
    </row>
    <row r="36" spans="1:19" s="525" customFormat="1" ht="28.5" customHeight="1">
      <c r="A36" s="505">
        <v>9</v>
      </c>
      <c r="B36" s="3393" t="s">
        <v>617</v>
      </c>
      <c r="C36" s="513"/>
      <c r="D36" s="522" t="s">
        <v>432</v>
      </c>
      <c r="E36" s="509" t="s">
        <v>442</v>
      </c>
      <c r="F36" s="510">
        <f>'R.FILE GOC'!Z14</f>
        <v>0</v>
      </c>
      <c r="G36" s="511" t="s">
        <v>618</v>
      </c>
      <c r="H36" s="523">
        <f>'R.FILE GOC'!AC14</f>
        <v>4.3680000000000003</v>
      </c>
      <c r="I36" s="524" t="s">
        <v>619</v>
      </c>
      <c r="J36" s="510">
        <f>'R.FILE GOC'!AF14</f>
        <v>0</v>
      </c>
      <c r="K36" s="511" t="s">
        <v>618</v>
      </c>
      <c r="L36" s="523">
        <f>'R.FILE GOC'!AI14</f>
        <v>4.3680000000000003</v>
      </c>
      <c r="M36" s="524" t="s">
        <v>619</v>
      </c>
      <c r="N36" s="510">
        <f>'R.FILE GOC'!AL14</f>
        <v>0</v>
      </c>
      <c r="O36" s="511" t="s">
        <v>618</v>
      </c>
      <c r="P36" s="523">
        <f>'R.FILE GOC'!AO14</f>
        <v>4.3680000000000003</v>
      </c>
      <c r="Q36" s="524" t="s">
        <v>619</v>
      </c>
      <c r="R36" s="3384"/>
      <c r="S36" s="3384"/>
    </row>
    <row r="37" spans="1:19" s="525" customFormat="1" ht="28.5" customHeight="1">
      <c r="A37" s="505">
        <v>10</v>
      </c>
      <c r="B37" s="3394"/>
      <c r="C37" s="526"/>
      <c r="D37" s="522" t="s">
        <v>620</v>
      </c>
      <c r="E37" s="509" t="s">
        <v>621</v>
      </c>
      <c r="F37" s="510">
        <f>'R.FILE GOC'!Z15</f>
        <v>0</v>
      </c>
      <c r="G37" s="511"/>
      <c r="H37" s="512"/>
      <c r="I37" s="524"/>
      <c r="J37" s="510">
        <f>'R.FILE GOC'!AF15</f>
        <v>0</v>
      </c>
      <c r="K37" s="511"/>
      <c r="L37" s="512"/>
      <c r="M37" s="524"/>
      <c r="N37" s="510">
        <f>'R.FILE GOC'!AL15</f>
        <v>0</v>
      </c>
      <c r="O37" s="511"/>
      <c r="P37" s="512"/>
      <c r="Q37" s="524"/>
      <c r="R37" s="3384"/>
      <c r="S37" s="3384"/>
    </row>
    <row r="38" spans="1:19" s="525" customFormat="1" ht="27" customHeight="1">
      <c r="A38" s="3375" t="s">
        <v>622</v>
      </c>
      <c r="B38" s="3375"/>
      <c r="C38" s="3375"/>
      <c r="D38" s="3375"/>
      <c r="E38" s="3375"/>
      <c r="F38" s="3375"/>
      <c r="G38" s="3375"/>
      <c r="H38" s="3375"/>
      <c r="I38" s="3375"/>
      <c r="J38" s="3375"/>
      <c r="K38" s="3375"/>
      <c r="L38" s="3375"/>
      <c r="M38" s="3375"/>
      <c r="N38" s="3375"/>
      <c r="O38" s="3375"/>
      <c r="P38" s="3375"/>
      <c r="Q38" s="3375"/>
      <c r="R38" s="3375"/>
      <c r="S38" s="3375"/>
    </row>
    <row r="39" spans="1:19" s="525" customFormat="1" ht="34.5" customHeight="1">
      <c r="A39" s="505" t="s">
        <v>641</v>
      </c>
      <c r="B39" s="527" t="s">
        <v>624</v>
      </c>
      <c r="C39" s="527"/>
      <c r="D39" s="503" t="s">
        <v>625</v>
      </c>
      <c r="E39" s="503" t="s">
        <v>626</v>
      </c>
      <c r="F39" s="3378" t="s">
        <v>627</v>
      </c>
      <c r="G39" s="3379"/>
      <c r="H39" s="3379"/>
      <c r="I39" s="3379"/>
      <c r="J39" s="3379"/>
      <c r="K39" s="3379"/>
      <c r="L39" s="3379"/>
      <c r="M39" s="3379"/>
      <c r="N39" s="3379"/>
      <c r="O39" s="3379"/>
      <c r="P39" s="3379"/>
      <c r="Q39" s="3380"/>
      <c r="R39" s="3389" t="s">
        <v>598</v>
      </c>
      <c r="S39" s="3390"/>
    </row>
    <row r="40" spans="1:19" s="525" customFormat="1" ht="30.75" customHeight="1">
      <c r="A40" s="505">
        <v>1</v>
      </c>
      <c r="B40" s="528" t="s">
        <v>446</v>
      </c>
      <c r="C40" s="528"/>
      <c r="D40" s="529" t="s">
        <v>628</v>
      </c>
      <c r="E40" s="530" t="s">
        <v>629</v>
      </c>
      <c r="F40" s="3391">
        <f>'R.FILE GOC'!Z18</f>
        <v>0</v>
      </c>
      <c r="G40" s="3392"/>
      <c r="H40" s="3392"/>
      <c r="I40" s="3392"/>
      <c r="J40" s="3391">
        <f>'R.FILE GOC'!AF18</f>
        <v>0</v>
      </c>
      <c r="K40" s="3392"/>
      <c r="L40" s="3392"/>
      <c r="M40" s="3392"/>
      <c r="N40" s="3391">
        <f>'R.FILE GOC'!AL18</f>
        <v>0</v>
      </c>
      <c r="O40" s="3392"/>
      <c r="P40" s="3392"/>
      <c r="Q40" s="3392"/>
      <c r="R40" s="531"/>
      <c r="S40" s="531"/>
    </row>
    <row r="41" spans="1:19" s="525" customFormat="1" ht="30.75" customHeight="1">
      <c r="A41" s="505">
        <v>2</v>
      </c>
      <c r="B41" s="528" t="s">
        <v>448</v>
      </c>
      <c r="C41" s="528"/>
      <c r="D41" s="529" t="s">
        <v>628</v>
      </c>
      <c r="E41" s="530" t="s">
        <v>629</v>
      </c>
      <c r="F41" s="3391">
        <f>'R.FILE GOC'!Z19</f>
        <v>0</v>
      </c>
      <c r="G41" s="3392"/>
      <c r="H41" s="3392"/>
      <c r="I41" s="3392"/>
      <c r="J41" s="3391">
        <f>'R.FILE GOC'!AF19</f>
        <v>0</v>
      </c>
      <c r="K41" s="3392"/>
      <c r="L41" s="3392"/>
      <c r="M41" s="3392"/>
      <c r="N41" s="3391">
        <f>'R.FILE GOC'!AL19</f>
        <v>0</v>
      </c>
      <c r="O41" s="3392"/>
      <c r="P41" s="3392"/>
      <c r="Q41" s="3392"/>
      <c r="R41" s="531"/>
      <c r="S41" s="531"/>
    </row>
    <row r="42" spans="1:19" s="525" customFormat="1" ht="30.75" customHeight="1">
      <c r="A42" s="505">
        <v>3</v>
      </c>
      <c r="B42" s="528" t="s">
        <v>441</v>
      </c>
      <c r="C42" s="528"/>
      <c r="D42" s="529" t="s">
        <v>628</v>
      </c>
      <c r="E42" s="530" t="s">
        <v>630</v>
      </c>
      <c r="F42" s="3391">
        <f>'R.FILE GOC'!Z20</f>
        <v>0</v>
      </c>
      <c r="G42" s="3392"/>
      <c r="H42" s="3392"/>
      <c r="I42" s="3392"/>
      <c r="J42" s="3391">
        <f>'R.FILE GOC'!AF20</f>
        <v>0</v>
      </c>
      <c r="K42" s="3392"/>
      <c r="L42" s="3392"/>
      <c r="M42" s="3392"/>
      <c r="N42" s="3391">
        <f>'R.FILE GOC'!AL20</f>
        <v>0</v>
      </c>
      <c r="O42" s="3392"/>
      <c r="P42" s="3392"/>
      <c r="Q42" s="3392"/>
      <c r="R42" s="532"/>
      <c r="S42" s="532"/>
    </row>
    <row r="43" spans="1:19" ht="20.25" customHeight="1">
      <c r="A43" s="539"/>
      <c r="B43" s="540"/>
      <c r="C43" s="540"/>
      <c r="D43" s="541"/>
      <c r="E43" s="540"/>
      <c r="F43" s="540"/>
      <c r="G43" s="540"/>
      <c r="H43" s="540"/>
      <c r="I43" s="540"/>
      <c r="J43" s="540"/>
      <c r="K43" s="540"/>
      <c r="L43" s="540"/>
      <c r="M43" s="540"/>
      <c r="N43" s="540"/>
      <c r="O43" s="540"/>
      <c r="P43" s="540"/>
      <c r="Q43" s="540"/>
    </row>
    <row r="44" spans="1:19" ht="12.75" customHeight="1">
      <c r="A44" s="542"/>
      <c r="B44" s="540"/>
      <c r="C44" s="540"/>
      <c r="D44" s="533"/>
      <c r="E44" s="540"/>
      <c r="F44" s="543"/>
      <c r="G44" s="544"/>
      <c r="H44" s="533"/>
      <c r="I44" s="545"/>
      <c r="J44" s="545"/>
      <c r="K44" s="545"/>
      <c r="L44" s="545"/>
      <c r="M44" s="545"/>
      <c r="N44" s="545"/>
      <c r="O44" s="545"/>
      <c r="P44" s="545"/>
      <c r="Q44" s="545"/>
    </row>
  </sheetData>
  <sheetProtection selectLockedCells="1"/>
  <mergeCells count="91">
    <mergeCell ref="F42:I42"/>
    <mergeCell ref="J42:M42"/>
    <mergeCell ref="N42:Q42"/>
    <mergeCell ref="F40:I40"/>
    <mergeCell ref="J40:M40"/>
    <mergeCell ref="N40:Q40"/>
    <mergeCell ref="F41:I41"/>
    <mergeCell ref="J41:M41"/>
    <mergeCell ref="N41:Q41"/>
    <mergeCell ref="F39:Q39"/>
    <mergeCell ref="R39:S39"/>
    <mergeCell ref="B36:B37"/>
    <mergeCell ref="R36:S36"/>
    <mergeCell ref="R37:S37"/>
    <mergeCell ref="R28:S28"/>
    <mergeCell ref="R29:S29"/>
    <mergeCell ref="R34:S34"/>
    <mergeCell ref="R35:S35"/>
    <mergeCell ref="A38:S38"/>
    <mergeCell ref="B33:B35"/>
    <mergeCell ref="D33:D35"/>
    <mergeCell ref="R33:S33"/>
    <mergeCell ref="B30:B32"/>
    <mergeCell ref="D30:D32"/>
    <mergeCell ref="R30:S30"/>
    <mergeCell ref="R31:S31"/>
    <mergeCell ref="R32:S32"/>
    <mergeCell ref="A25:A27"/>
    <mergeCell ref="B25:B27"/>
    <mergeCell ref="D25:D27"/>
    <mergeCell ref="E25:E27"/>
    <mergeCell ref="F25:Q25"/>
    <mergeCell ref="K27:M27"/>
    <mergeCell ref="O27:Q27"/>
    <mergeCell ref="R25:S26"/>
    <mergeCell ref="F26:I26"/>
    <mergeCell ref="J26:M26"/>
    <mergeCell ref="N26:Q26"/>
    <mergeCell ref="G27:I27"/>
    <mergeCell ref="R27:S27"/>
    <mergeCell ref="R24:S24"/>
    <mergeCell ref="F20:I20"/>
    <mergeCell ref="J20:M20"/>
    <mergeCell ref="N20:Q20"/>
    <mergeCell ref="F21:I21"/>
    <mergeCell ref="J21:M21"/>
    <mergeCell ref="N21:Q21"/>
    <mergeCell ref="F22:I22"/>
    <mergeCell ref="J22:M22"/>
    <mergeCell ref="N22:Q22"/>
    <mergeCell ref="A23:M23"/>
    <mergeCell ref="R23:S23"/>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7:S7"/>
    <mergeCell ref="B9:B11"/>
    <mergeCell ref="D9:D11"/>
    <mergeCell ref="R9:S9"/>
    <mergeCell ref="R10:S10"/>
    <mergeCell ref="R11:S11"/>
    <mergeCell ref="A4:A6"/>
    <mergeCell ref="B4:B6"/>
    <mergeCell ref="D4:D6"/>
    <mergeCell ref="E4:E6"/>
    <mergeCell ref="F4:Q4"/>
    <mergeCell ref="K6:M6"/>
    <mergeCell ref="O6:Q6"/>
    <mergeCell ref="R4:S5"/>
    <mergeCell ref="F5:I5"/>
    <mergeCell ref="J5:M5"/>
    <mergeCell ref="N5:Q5"/>
    <mergeCell ref="G6:I6"/>
    <mergeCell ref="R6:S6"/>
    <mergeCell ref="A1:M1"/>
    <mergeCell ref="A2:M2"/>
    <mergeCell ref="P2:Q2"/>
    <mergeCell ref="R2:S2"/>
    <mergeCell ref="P3:Q3"/>
    <mergeCell ref="R3:S3"/>
  </mergeCells>
  <phoneticPr fontId="7" type="noConversion"/>
  <conditionalFormatting sqref="F40:Q41 F19:Q20">
    <cfRule type="expression" dxfId="795" priority="53">
      <formula>F19&lt;65</formula>
    </cfRule>
    <cfRule type="expression" dxfId="794" priority="54">
      <formula>F19&gt;85</formula>
    </cfRule>
  </conditionalFormatting>
  <conditionalFormatting sqref="F42:Q42 F21:Q21">
    <cfRule type="expression" dxfId="793" priority="51">
      <formula>F21&lt;80</formula>
    </cfRule>
    <cfRule type="expression" dxfId="792" priority="52">
      <formula>F21&gt;90</formula>
    </cfRule>
  </conditionalFormatting>
  <conditionalFormatting sqref="F8 J8">
    <cfRule type="expression" dxfId="791" priority="49">
      <formula>F8&lt;10</formula>
    </cfRule>
    <cfRule type="expression" dxfId="790" priority="50">
      <formula>F8&gt;15</formula>
    </cfRule>
  </conditionalFormatting>
  <conditionalFormatting sqref="N8">
    <cfRule type="expression" dxfId="789" priority="47">
      <formula>N8&lt;10</formula>
    </cfRule>
    <cfRule type="expression" dxfId="788" priority="48">
      <formula>N8&gt;15</formula>
    </cfRule>
  </conditionalFormatting>
  <conditionalFormatting sqref="J8">
    <cfRule type="expression" dxfId="787" priority="45">
      <formula>J8&lt;10</formula>
    </cfRule>
    <cfRule type="expression" dxfId="786" priority="46">
      <formula>J8&gt;15</formula>
    </cfRule>
  </conditionalFormatting>
  <conditionalFormatting sqref="N8">
    <cfRule type="expression" dxfId="785" priority="43">
      <formula>N8&lt;10</formula>
    </cfRule>
    <cfRule type="expression" dxfId="784" priority="44">
      <formula>N8&gt;15</formula>
    </cfRule>
  </conditionalFormatting>
  <conditionalFormatting sqref="F8">
    <cfRule type="expression" dxfId="783" priority="41">
      <formula>F8&lt;10</formula>
    </cfRule>
    <cfRule type="expression" dxfId="782" priority="42">
      <formula>F8&gt;15</formula>
    </cfRule>
  </conditionalFormatting>
  <conditionalFormatting sqref="F8 J8">
    <cfRule type="expression" dxfId="781" priority="39">
      <formula>F8&lt;10</formula>
    </cfRule>
    <cfRule type="expression" dxfId="780" priority="40">
      <formula>F8&gt;15</formula>
    </cfRule>
  </conditionalFormatting>
  <conditionalFormatting sqref="N8">
    <cfRule type="expression" dxfId="779" priority="37">
      <formula>N8&lt;10</formula>
    </cfRule>
    <cfRule type="expression" dxfId="778" priority="38">
      <formula>N8&gt;15</formula>
    </cfRule>
  </conditionalFormatting>
  <conditionalFormatting sqref="F8">
    <cfRule type="expression" dxfId="777" priority="35">
      <formula>F8&lt;10</formula>
    </cfRule>
    <cfRule type="expression" dxfId="776" priority="36">
      <formula>F8&gt;15</formula>
    </cfRule>
  </conditionalFormatting>
  <conditionalFormatting sqref="F8">
    <cfRule type="expression" dxfId="775" priority="34">
      <formula>F8&lt;1</formula>
    </cfRule>
  </conditionalFormatting>
  <conditionalFormatting sqref="J8">
    <cfRule type="expression" dxfId="774" priority="32">
      <formula>J8&lt;10</formula>
    </cfRule>
    <cfRule type="expression" dxfId="773" priority="33">
      <formula>J8&gt;15</formula>
    </cfRule>
  </conditionalFormatting>
  <conditionalFormatting sqref="J8">
    <cfRule type="expression" dxfId="772" priority="31">
      <formula>J8&lt;1</formula>
    </cfRule>
  </conditionalFormatting>
  <conditionalFormatting sqref="N8">
    <cfRule type="expression" dxfId="771" priority="29">
      <formula>N8&lt;10</formula>
    </cfRule>
    <cfRule type="expression" dxfId="770" priority="30">
      <formula>N8&gt;15</formula>
    </cfRule>
  </conditionalFormatting>
  <conditionalFormatting sqref="N8">
    <cfRule type="expression" dxfId="769" priority="27">
      <formula>N8&lt;10</formula>
    </cfRule>
    <cfRule type="expression" dxfId="768" priority="28">
      <formula>N8&gt;15</formula>
    </cfRule>
  </conditionalFormatting>
  <conditionalFormatting sqref="N8">
    <cfRule type="expression" dxfId="767" priority="26">
      <formula>N8&lt;1</formula>
    </cfRule>
  </conditionalFormatting>
  <conditionalFormatting sqref="F29 J29">
    <cfRule type="expression" dxfId="766" priority="24">
      <formula>F29&lt;10</formula>
    </cfRule>
    <cfRule type="expression" dxfId="765" priority="25">
      <formula>F29&gt;15</formula>
    </cfRule>
  </conditionalFormatting>
  <conditionalFormatting sqref="N29">
    <cfRule type="expression" dxfId="764" priority="22">
      <formula>N29&lt;10</formula>
    </cfRule>
    <cfRule type="expression" dxfId="763" priority="23">
      <formula>N29&gt;15</formula>
    </cfRule>
  </conditionalFormatting>
  <conditionalFormatting sqref="J29">
    <cfRule type="expression" dxfId="762" priority="20">
      <formula>J29&lt;10</formula>
    </cfRule>
    <cfRule type="expression" dxfId="761" priority="21">
      <formula>J29&gt;15</formula>
    </cfRule>
  </conditionalFormatting>
  <conditionalFormatting sqref="N29">
    <cfRule type="expression" dxfId="760" priority="18">
      <formula>N29&lt;10</formula>
    </cfRule>
    <cfRule type="expression" dxfId="759" priority="19">
      <formula>N29&gt;15</formula>
    </cfRule>
  </conditionalFormatting>
  <conditionalFormatting sqref="F29">
    <cfRule type="expression" dxfId="758" priority="16">
      <formula>F29&lt;10</formula>
    </cfRule>
    <cfRule type="expression" dxfId="757" priority="17">
      <formula>F29&gt;15</formula>
    </cfRule>
  </conditionalFormatting>
  <conditionalFormatting sqref="F29 J29">
    <cfRule type="expression" dxfId="756" priority="14">
      <formula>F29&lt;10</formula>
    </cfRule>
    <cfRule type="expression" dxfId="755" priority="15">
      <formula>F29&gt;15</formula>
    </cfRule>
  </conditionalFormatting>
  <conditionalFormatting sqref="N29">
    <cfRule type="expression" dxfId="754" priority="12">
      <formula>N29&lt;10</formula>
    </cfRule>
    <cfRule type="expression" dxfId="753" priority="13">
      <formula>N29&gt;15</formula>
    </cfRule>
  </conditionalFormatting>
  <conditionalFormatting sqref="F29">
    <cfRule type="expression" dxfId="752" priority="10">
      <formula>F29&lt;10</formula>
    </cfRule>
    <cfRule type="expression" dxfId="751" priority="11">
      <formula>F29&gt;15</formula>
    </cfRule>
  </conditionalFormatting>
  <conditionalFormatting sqref="F29">
    <cfRule type="expression" dxfId="750" priority="9">
      <formula>F29&lt;1</formula>
    </cfRule>
  </conditionalFormatting>
  <conditionalFormatting sqref="J29">
    <cfRule type="expression" dxfId="749" priority="7">
      <formula>J29&lt;10</formula>
    </cfRule>
    <cfRule type="expression" dxfId="748" priority="8">
      <formula>J29&gt;15</formula>
    </cfRule>
  </conditionalFormatting>
  <conditionalFormatting sqref="J29">
    <cfRule type="expression" dxfId="747" priority="6">
      <formula>J29&lt;1</formula>
    </cfRule>
  </conditionalFormatting>
  <conditionalFormatting sqref="N29">
    <cfRule type="expression" dxfId="746" priority="4">
      <formula>N29&lt;10</formula>
    </cfRule>
    <cfRule type="expression" dxfId="745" priority="5">
      <formula>N29&gt;15</formula>
    </cfRule>
  </conditionalFormatting>
  <conditionalFormatting sqref="N29">
    <cfRule type="expression" dxfId="744" priority="2">
      <formula>N29&lt;10</formula>
    </cfRule>
    <cfRule type="expression" dxfId="743" priority="3">
      <formula>N29&gt;15</formula>
    </cfRule>
  </conditionalFormatting>
  <conditionalFormatting sqref="N29">
    <cfRule type="expression" dxfId="742"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4">
    <tabColor rgb="FFFFC000"/>
  </sheetPr>
  <dimension ref="A1:Q35"/>
  <sheetViews>
    <sheetView zoomScale="85" zoomScaleNormal="85" workbookViewId="0">
      <selection activeCell="C3" sqref="C3:D3"/>
    </sheetView>
  </sheetViews>
  <sheetFormatPr defaultRowHeight="13.5"/>
  <cols>
    <col min="1" max="1" width="5.5" style="496" customWidth="1"/>
    <col min="2" max="2" width="23.875" style="546" customWidth="1"/>
    <col min="3" max="3" width="8.5" style="496" customWidth="1"/>
    <col min="4" max="4" width="14" style="496" customWidth="1"/>
    <col min="5" max="5" width="7.375" style="496" customWidth="1"/>
    <col min="6" max="6" width="3.875" style="496" customWidth="1"/>
    <col min="7" max="7" width="7.5" style="496" customWidth="1"/>
    <col min="8" max="8" width="4.375" style="496" customWidth="1"/>
    <col min="9" max="9" width="8.5" style="496" customWidth="1"/>
    <col min="10" max="10" width="2.625" style="496" customWidth="1"/>
    <col min="11" max="11" width="6.875" style="496" customWidth="1"/>
    <col min="12" max="12" width="4.25" style="496" customWidth="1"/>
    <col min="13" max="13" width="8.5" style="496" customWidth="1"/>
    <col min="14" max="14" width="2.625" style="496" customWidth="1"/>
    <col min="15" max="15" width="6.875" style="496" customWidth="1"/>
    <col min="16" max="16" width="4.25" style="496" customWidth="1"/>
    <col min="17" max="17" width="11.125" style="496" customWidth="1"/>
    <col min="18" max="16384" width="9" style="496"/>
  </cols>
  <sheetData>
    <row r="1" spans="1:17" ht="27.75" customHeight="1">
      <c r="A1" s="3352" t="s">
        <v>589</v>
      </c>
      <c r="B1" s="3352"/>
      <c r="C1" s="3352"/>
      <c r="D1" s="3352"/>
      <c r="E1" s="3352"/>
      <c r="F1" s="3352"/>
      <c r="G1" s="3352"/>
      <c r="H1" s="3352"/>
      <c r="I1" s="3352"/>
      <c r="J1" s="3352"/>
      <c r="K1" s="3352"/>
      <c r="L1" s="3352"/>
      <c r="M1" s="494"/>
      <c r="N1" s="494"/>
      <c r="O1" s="494"/>
      <c r="P1" s="494"/>
      <c r="Q1" s="494"/>
    </row>
    <row r="2" spans="1:17" ht="36.75" customHeight="1">
      <c r="A2" s="3353" t="s">
        <v>922</v>
      </c>
      <c r="B2" s="3353"/>
      <c r="C2" s="3353"/>
      <c r="D2" s="3353"/>
      <c r="E2" s="3353"/>
      <c r="F2" s="3353"/>
      <c r="G2" s="3353"/>
      <c r="H2" s="3353"/>
      <c r="I2" s="3353"/>
      <c r="J2" s="3353"/>
      <c r="K2" s="3353"/>
      <c r="L2" s="3353"/>
      <c r="M2" s="497"/>
      <c r="N2" s="497"/>
      <c r="O2" s="3194" t="s">
        <v>642</v>
      </c>
      <c r="P2" s="3169"/>
      <c r="Q2" s="78" t="s">
        <v>17</v>
      </c>
    </row>
    <row r="3" spans="1:17" ht="22.5" customHeight="1">
      <c r="A3" s="498"/>
      <c r="B3" s="499" t="s">
        <v>592</v>
      </c>
      <c r="C3" s="2139" t="str">
        <f>MENU!$AC$9</f>
        <v>Thứ 3,</v>
      </c>
      <c r="D3" s="1933" t="str">
        <f>MENU!$AD$9</f>
        <v>2024/01/09</v>
      </c>
      <c r="E3" s="500"/>
      <c r="F3" s="500"/>
      <c r="G3" s="500"/>
      <c r="H3" s="500"/>
      <c r="I3" s="3408"/>
      <c r="J3" s="3408"/>
      <c r="K3" s="3408"/>
      <c r="L3" s="548"/>
      <c r="M3" s="499"/>
      <c r="N3" s="499"/>
      <c r="O3" s="3358" t="str">
        <f>'1.xi den'!$N$3</f>
        <v>Trang</v>
      </c>
      <c r="P3" s="3359"/>
      <c r="Q3" s="549" t="s">
        <v>643</v>
      </c>
    </row>
    <row r="4" spans="1:17" s="550" customFormat="1" ht="39" customHeight="1">
      <c r="A4" s="3401" t="s">
        <v>644</v>
      </c>
      <c r="B4" s="3404" t="s">
        <v>645</v>
      </c>
      <c r="C4" s="3404" t="s">
        <v>646</v>
      </c>
      <c r="D4" s="3406" t="s">
        <v>647</v>
      </c>
      <c r="E4" s="3378" t="s">
        <v>921</v>
      </c>
      <c r="F4" s="3379"/>
      <c r="G4" s="3379"/>
      <c r="H4" s="3379"/>
      <c r="I4" s="3379"/>
      <c r="J4" s="3379"/>
      <c r="K4" s="3379"/>
      <c r="L4" s="3379"/>
      <c r="M4" s="3379"/>
      <c r="N4" s="3379"/>
      <c r="O4" s="3379"/>
      <c r="P4" s="3380"/>
      <c r="Q4" s="2961" t="s">
        <v>648</v>
      </c>
    </row>
    <row r="5" spans="1:17" s="550" customFormat="1" ht="25.5" customHeight="1">
      <c r="A5" s="3402"/>
      <c r="B5" s="3404"/>
      <c r="C5" s="3404"/>
      <c r="D5" s="3406"/>
      <c r="E5" s="3363">
        <v>0.375</v>
      </c>
      <c r="F5" s="3364"/>
      <c r="G5" s="3364"/>
      <c r="H5" s="3364"/>
      <c r="I5" s="3365">
        <v>0.5625</v>
      </c>
      <c r="J5" s="3366"/>
      <c r="K5" s="3366"/>
      <c r="L5" s="3367"/>
      <c r="M5" s="3365">
        <v>0.72916666666666663</v>
      </c>
      <c r="N5" s="3366"/>
      <c r="O5" s="3366"/>
      <c r="P5" s="3367"/>
      <c r="Q5" s="2962"/>
    </row>
    <row r="6" spans="1:17" s="550" customFormat="1" ht="40.5" customHeight="1">
      <c r="A6" s="3403"/>
      <c r="B6" s="3405"/>
      <c r="C6" s="3405"/>
      <c r="D6" s="3407"/>
      <c r="E6" s="551" t="s">
        <v>649</v>
      </c>
      <c r="F6" s="3242" t="s">
        <v>650</v>
      </c>
      <c r="G6" s="3247"/>
      <c r="H6" s="3410"/>
      <c r="I6" s="551" t="s">
        <v>649</v>
      </c>
      <c r="J6" s="3242" t="s">
        <v>650</v>
      </c>
      <c r="K6" s="3247"/>
      <c r="L6" s="3410"/>
      <c r="M6" s="551" t="s">
        <v>649</v>
      </c>
      <c r="N6" s="3242" t="s">
        <v>650</v>
      </c>
      <c r="O6" s="3247"/>
      <c r="P6" s="3410"/>
      <c r="Q6" s="281" t="s">
        <v>651</v>
      </c>
    </row>
    <row r="7" spans="1:17" s="550" customFormat="1" ht="27.75" customHeight="1">
      <c r="A7" s="552">
        <v>1</v>
      </c>
      <c r="B7" s="553" t="s">
        <v>652</v>
      </c>
      <c r="C7" s="554" t="s">
        <v>653</v>
      </c>
      <c r="D7" s="509" t="s">
        <v>451</v>
      </c>
      <c r="E7" s="555">
        <f>'R.FILE GOC'!H25</f>
        <v>0</v>
      </c>
      <c r="F7" s="515" t="s">
        <v>654</v>
      </c>
      <c r="G7" s="516">
        <f>'R.FILE GOC'!K25</f>
        <v>93.2</v>
      </c>
      <c r="H7" s="217" t="s">
        <v>655</v>
      </c>
      <c r="I7" s="555">
        <f>'R.FILE GOC'!N25</f>
        <v>0</v>
      </c>
      <c r="J7" s="515" t="s">
        <v>654</v>
      </c>
      <c r="K7" s="516">
        <f>'R.FILE GOC'!Q25</f>
        <v>93.2</v>
      </c>
      <c r="L7" s="217" t="s">
        <v>655</v>
      </c>
      <c r="M7" s="555">
        <f>'R.FILE GOC'!T25</f>
        <v>0</v>
      </c>
      <c r="N7" s="515" t="s">
        <v>639</v>
      </c>
      <c r="O7" s="516">
        <f>'R.FILE GOC'!W25</f>
        <v>93.2</v>
      </c>
      <c r="P7" s="217" t="s">
        <v>640</v>
      </c>
      <c r="Q7" s="281" t="s">
        <v>656</v>
      </c>
    </row>
    <row r="8" spans="1:17" s="559" customFormat="1" ht="30" customHeight="1">
      <c r="A8" s="552">
        <v>2</v>
      </c>
      <c r="B8" s="556" t="s">
        <v>657</v>
      </c>
      <c r="C8" s="557" t="s">
        <v>658</v>
      </c>
      <c r="D8" s="558" t="s">
        <v>427</v>
      </c>
      <c r="E8" s="555">
        <f>'R.FILE GOC'!H26</f>
        <v>0</v>
      </c>
      <c r="F8" s="515" t="s">
        <v>659</v>
      </c>
      <c r="G8" s="516">
        <f>'R.FILE GOC'!K26</f>
        <v>1017.578125</v>
      </c>
      <c r="H8" s="217" t="s">
        <v>660</v>
      </c>
      <c r="I8" s="555">
        <f>'R.FILE GOC'!N26</f>
        <v>0</v>
      </c>
      <c r="J8" s="515" t="s">
        <v>659</v>
      </c>
      <c r="K8" s="516">
        <f>'R.FILE GOC'!Q26</f>
        <v>1017.578125</v>
      </c>
      <c r="L8" s="217" t="s">
        <v>660</v>
      </c>
      <c r="M8" s="555">
        <f>'R.FILE GOC'!T26</f>
        <v>0</v>
      </c>
      <c r="N8" s="515" t="s">
        <v>639</v>
      </c>
      <c r="O8" s="516">
        <f>'R.FILE GOC'!W26</f>
        <v>1017.578125</v>
      </c>
      <c r="P8" s="217" t="s">
        <v>660</v>
      </c>
      <c r="Q8" s="281" t="s">
        <v>661</v>
      </c>
    </row>
    <row r="9" spans="1:17" s="559" customFormat="1" ht="27.75" customHeight="1">
      <c r="A9" s="552">
        <v>3</v>
      </c>
      <c r="B9" s="3411" t="s">
        <v>662</v>
      </c>
      <c r="C9" s="3414" t="s">
        <v>432</v>
      </c>
      <c r="D9" s="509" t="s">
        <v>609</v>
      </c>
      <c r="E9" s="555">
        <f>'R.FILE GOC'!H27</f>
        <v>0</v>
      </c>
      <c r="F9" s="515" t="s">
        <v>654</v>
      </c>
      <c r="G9" s="516">
        <f>'R.FILE GOC'!K27</f>
        <v>246.75</v>
      </c>
      <c r="H9" s="217" t="s">
        <v>655</v>
      </c>
      <c r="I9" s="555">
        <f>'R.FILE GOC'!N27</f>
        <v>0</v>
      </c>
      <c r="J9" s="515" t="s">
        <v>654</v>
      </c>
      <c r="K9" s="516">
        <f>'R.FILE GOC'!Q27</f>
        <v>246.75</v>
      </c>
      <c r="L9" s="217" t="s">
        <v>655</v>
      </c>
      <c r="M9" s="555">
        <f>'R.FILE GOC'!T27</f>
        <v>0</v>
      </c>
      <c r="N9" s="515" t="s">
        <v>639</v>
      </c>
      <c r="O9" s="516">
        <f>'R.FILE GOC'!W27</f>
        <v>246.75</v>
      </c>
      <c r="P9" s="217" t="s">
        <v>640</v>
      </c>
      <c r="Q9" s="281" t="s">
        <v>663</v>
      </c>
    </row>
    <row r="10" spans="1:17" s="559" customFormat="1" ht="27.75" customHeight="1">
      <c r="A10" s="552">
        <v>4</v>
      </c>
      <c r="B10" s="3412"/>
      <c r="C10" s="3414"/>
      <c r="D10" s="509" t="s">
        <v>613</v>
      </c>
      <c r="E10" s="555">
        <f>'R.FILE GOC'!H28</f>
        <v>0</v>
      </c>
      <c r="F10" s="515" t="s">
        <v>654</v>
      </c>
      <c r="G10" s="516">
        <f>'R.FILE GOC'!K28</f>
        <v>32.077500000000001</v>
      </c>
      <c r="H10" s="217" t="s">
        <v>655</v>
      </c>
      <c r="I10" s="555">
        <f>'R.FILE GOC'!N28</f>
        <v>0</v>
      </c>
      <c r="J10" s="515" t="s">
        <v>654</v>
      </c>
      <c r="K10" s="516">
        <f>'R.FILE GOC'!Q28</f>
        <v>32.077500000000001</v>
      </c>
      <c r="L10" s="217" t="s">
        <v>655</v>
      </c>
      <c r="M10" s="555">
        <f>'R.FILE GOC'!T28</f>
        <v>0</v>
      </c>
      <c r="N10" s="515" t="s">
        <v>639</v>
      </c>
      <c r="O10" s="516">
        <f>'R.FILE GOC'!W28</f>
        <v>32.077500000000001</v>
      </c>
      <c r="P10" s="217" t="s">
        <v>640</v>
      </c>
      <c r="Q10" s="281" t="s">
        <v>664</v>
      </c>
    </row>
    <row r="11" spans="1:17" s="559" customFormat="1" ht="27.75" customHeight="1">
      <c r="A11" s="552">
        <v>5</v>
      </c>
      <c r="B11" s="3413"/>
      <c r="C11" s="3414"/>
      <c r="D11" s="509" t="s">
        <v>615</v>
      </c>
      <c r="E11" s="68">
        <f>'R.FILE GOC'!H29</f>
        <v>0</v>
      </c>
      <c r="F11" s="515" t="s">
        <v>654</v>
      </c>
      <c r="G11" s="560">
        <f>'R.FILE GOC'!K29</f>
        <v>0</v>
      </c>
      <c r="H11" s="68" t="s">
        <v>655</v>
      </c>
      <c r="I11" s="68">
        <f>'R.FILE GOC'!N29</f>
        <v>0</v>
      </c>
      <c r="J11" s="515" t="s">
        <v>654</v>
      </c>
      <c r="K11" s="560">
        <f>'R.FILE GOC'!Q29</f>
        <v>0</v>
      </c>
      <c r="L11" s="68" t="s">
        <v>655</v>
      </c>
      <c r="M11" s="68">
        <f>'R.FILE GOC'!T29</f>
        <v>0</v>
      </c>
      <c r="N11" s="515" t="s">
        <v>639</v>
      </c>
      <c r="O11" s="560">
        <f>'R.FILE GOC'!W29</f>
        <v>0</v>
      </c>
      <c r="P11" s="68" t="s">
        <v>640</v>
      </c>
      <c r="Q11" s="561"/>
    </row>
    <row r="12" spans="1:17" s="564" customFormat="1" ht="27.75" customHeight="1">
      <c r="A12" s="552">
        <v>6</v>
      </c>
      <c r="B12" s="3411" t="s">
        <v>665</v>
      </c>
      <c r="C12" s="554" t="s">
        <v>432</v>
      </c>
      <c r="D12" s="509" t="s">
        <v>442</v>
      </c>
      <c r="E12" s="555">
        <f>'R.FILE GOC'!H30</f>
        <v>0</v>
      </c>
      <c r="F12" s="515"/>
      <c r="G12" s="562">
        <f>'R.FILE GOC'!K30</f>
        <v>1.234</v>
      </c>
      <c r="H12" s="68" t="s">
        <v>655</v>
      </c>
      <c r="I12" s="555">
        <f>'R.FILE GOC'!N30</f>
        <v>0</v>
      </c>
      <c r="J12" s="515"/>
      <c r="K12" s="562">
        <f>'R.FILE GOC'!Q30</f>
        <v>1.234</v>
      </c>
      <c r="L12" s="68" t="s">
        <v>655</v>
      </c>
      <c r="M12" s="555">
        <f>'R.FILE GOC'!T30</f>
        <v>0</v>
      </c>
      <c r="N12" s="515"/>
      <c r="O12" s="562">
        <f>'R.FILE GOC'!W30</f>
        <v>1.234</v>
      </c>
      <c r="P12" s="68" t="s">
        <v>640</v>
      </c>
      <c r="Q12" s="563" t="s">
        <v>666</v>
      </c>
    </row>
    <row r="13" spans="1:17" s="564" customFormat="1" ht="27.75" customHeight="1">
      <c r="A13" s="552">
        <v>7</v>
      </c>
      <c r="B13" s="3413"/>
      <c r="C13" s="565" t="s">
        <v>667</v>
      </c>
      <c r="D13" s="1018" t="s">
        <v>977</v>
      </c>
      <c r="E13" s="555">
        <f>'R.FILE GOC'!H31</f>
        <v>0</v>
      </c>
      <c r="F13" s="515" t="s">
        <v>654</v>
      </c>
      <c r="G13" s="516">
        <f>'R.FILE GOC'!K31</f>
        <v>0</v>
      </c>
      <c r="H13" s="217" t="s">
        <v>655</v>
      </c>
      <c r="I13" s="555">
        <f>'R.FILE GOC'!N31</f>
        <v>0</v>
      </c>
      <c r="J13" s="515" t="s">
        <v>654</v>
      </c>
      <c r="K13" s="516"/>
      <c r="L13" s="217" t="s">
        <v>655</v>
      </c>
      <c r="M13" s="555">
        <f>'R.FILE GOC'!T31</f>
        <v>0</v>
      </c>
      <c r="N13" s="515" t="s">
        <v>639</v>
      </c>
      <c r="O13" s="516"/>
      <c r="P13" s="217" t="s">
        <v>640</v>
      </c>
      <c r="Q13" s="217"/>
    </row>
    <row r="14" spans="1:17" s="559" customFormat="1" ht="30.75" customHeight="1">
      <c r="A14" s="3415" t="s">
        <v>668</v>
      </c>
      <c r="B14" s="3415"/>
      <c r="C14" s="3415"/>
      <c r="D14" s="3415"/>
      <c r="E14" s="3415"/>
      <c r="F14" s="3415"/>
      <c r="G14" s="3415"/>
      <c r="H14" s="3415"/>
      <c r="I14" s="3415"/>
      <c r="J14" s="3415"/>
      <c r="K14" s="3415"/>
      <c r="L14" s="3415"/>
      <c r="M14" s="3415"/>
      <c r="N14" s="3415"/>
      <c r="O14" s="3415"/>
      <c r="P14" s="3415"/>
      <c r="Q14" s="3415"/>
    </row>
    <row r="15" spans="1:17" s="559" customFormat="1" ht="37.5" customHeight="1">
      <c r="A15" s="217" t="s">
        <v>669</v>
      </c>
      <c r="B15" s="566" t="s">
        <v>670</v>
      </c>
      <c r="C15" s="566" t="s">
        <v>671</v>
      </c>
      <c r="D15" s="566" t="s">
        <v>672</v>
      </c>
      <c r="E15" s="3404" t="s">
        <v>920</v>
      </c>
      <c r="F15" s="3404"/>
      <c r="G15" s="3404"/>
      <c r="H15" s="3404"/>
      <c r="I15" s="3404"/>
      <c r="J15" s="3404"/>
      <c r="K15" s="3404"/>
      <c r="L15" s="3404"/>
      <c r="M15" s="3404"/>
      <c r="N15" s="3404"/>
      <c r="O15" s="3404"/>
      <c r="P15" s="3404"/>
      <c r="Q15" s="337"/>
    </row>
    <row r="16" spans="1:17" s="559" customFormat="1" ht="27.75" customHeight="1">
      <c r="A16" s="217">
        <v>1</v>
      </c>
      <c r="B16" s="869" t="s">
        <v>867</v>
      </c>
      <c r="C16" s="567" t="s">
        <v>674</v>
      </c>
      <c r="D16" s="509" t="s">
        <v>675</v>
      </c>
      <c r="E16" s="3409">
        <f>'R.FILE GOC'!K34</f>
        <v>0</v>
      </c>
      <c r="F16" s="3409"/>
      <c r="G16" s="3409"/>
      <c r="H16" s="3409"/>
      <c r="I16" s="3409">
        <f>'R.FILE GOC'!Q34</f>
        <v>0</v>
      </c>
      <c r="J16" s="3409"/>
      <c r="K16" s="3409"/>
      <c r="L16" s="3409"/>
      <c r="M16" s="3409">
        <f>'R.FILE GOC'!W34</f>
        <v>0</v>
      </c>
      <c r="N16" s="3409"/>
      <c r="O16" s="3409"/>
      <c r="P16" s="3409"/>
      <c r="Q16" s="516"/>
    </row>
    <row r="17" spans="1:17" s="559" customFormat="1" ht="27.75" customHeight="1">
      <c r="A17" s="217">
        <v>2</v>
      </c>
      <c r="B17" s="566" t="s">
        <v>676</v>
      </c>
      <c r="C17" s="567" t="s">
        <v>674</v>
      </c>
      <c r="D17" s="509" t="s">
        <v>677</v>
      </c>
      <c r="E17" s="3409">
        <f>'R.FILE GOC'!K35</f>
        <v>0</v>
      </c>
      <c r="F17" s="3409"/>
      <c r="G17" s="3409"/>
      <c r="H17" s="3409"/>
      <c r="I17" s="3409">
        <f>'R.FILE GOC'!Q35</f>
        <v>0</v>
      </c>
      <c r="J17" s="3409"/>
      <c r="K17" s="3409"/>
      <c r="L17" s="3409"/>
      <c r="M17" s="3409">
        <f>'R.FILE GOC'!W35</f>
        <v>0</v>
      </c>
      <c r="N17" s="3409"/>
      <c r="O17" s="3409"/>
      <c r="P17" s="3409"/>
      <c r="Q17" s="516"/>
    </row>
    <row r="18" spans="1:17" s="559" customFormat="1" ht="27.75" customHeight="1">
      <c r="A18" s="217">
        <v>3</v>
      </c>
      <c r="B18" s="566" t="s">
        <v>678</v>
      </c>
      <c r="C18" s="567" t="s">
        <v>674</v>
      </c>
      <c r="D18" s="509" t="s">
        <v>679</v>
      </c>
      <c r="E18" s="3409">
        <f>'R.FILE GOC'!K36</f>
        <v>0</v>
      </c>
      <c r="F18" s="3409"/>
      <c r="G18" s="3409"/>
      <c r="H18" s="3409"/>
      <c r="I18" s="3409">
        <f>'R.FILE GOC'!Q36</f>
        <v>0</v>
      </c>
      <c r="J18" s="3409"/>
      <c r="K18" s="3409"/>
      <c r="L18" s="3409"/>
      <c r="M18" s="3409">
        <f>'R.FILE GOC'!W36</f>
        <v>0</v>
      </c>
      <c r="N18" s="3409"/>
      <c r="O18" s="3409"/>
      <c r="P18" s="3409"/>
      <c r="Q18" s="516"/>
    </row>
    <row r="19" spans="1:17" ht="36.75" customHeight="1">
      <c r="A19" s="3353" t="s">
        <v>922</v>
      </c>
      <c r="B19" s="3353"/>
      <c r="C19" s="3353"/>
      <c r="D19" s="3353"/>
      <c r="E19" s="3353"/>
      <c r="F19" s="3353"/>
      <c r="G19" s="3353"/>
      <c r="H19" s="3353"/>
      <c r="I19" s="3353"/>
      <c r="J19" s="3353"/>
      <c r="K19" s="3353"/>
      <c r="L19" s="3353"/>
      <c r="M19" s="497"/>
      <c r="N19" s="497"/>
      <c r="O19" s="497"/>
      <c r="P19" s="497"/>
      <c r="Q19" s="568"/>
    </row>
    <row r="20" spans="1:17" ht="21.75" customHeight="1">
      <c r="A20" s="498"/>
      <c r="B20" s="499" t="s">
        <v>680</v>
      </c>
      <c r="C20" s="500"/>
      <c r="D20" s="500"/>
      <c r="E20" s="500"/>
      <c r="F20" s="500"/>
      <c r="G20" s="500"/>
      <c r="H20" s="500"/>
      <c r="I20" s="3408"/>
      <c r="J20" s="3408"/>
      <c r="K20" s="3408"/>
      <c r="L20" s="548"/>
      <c r="M20" s="3408"/>
      <c r="N20" s="3408"/>
      <c r="O20" s="3408"/>
      <c r="P20" s="548"/>
      <c r="Q20" s="569"/>
    </row>
    <row r="21" spans="1:17" s="550" customFormat="1" ht="37.5" customHeight="1">
      <c r="A21" s="3401" t="s">
        <v>681</v>
      </c>
      <c r="B21" s="3404" t="s">
        <v>645</v>
      </c>
      <c r="C21" s="3404" t="s">
        <v>646</v>
      </c>
      <c r="D21" s="3406" t="s">
        <v>647</v>
      </c>
      <c r="E21" s="3378" t="s">
        <v>921</v>
      </c>
      <c r="F21" s="3379"/>
      <c r="G21" s="3379"/>
      <c r="H21" s="3379"/>
      <c r="I21" s="3379"/>
      <c r="J21" s="3379"/>
      <c r="K21" s="3379"/>
      <c r="L21" s="3379"/>
      <c r="M21" s="3379"/>
      <c r="N21" s="3379"/>
      <c r="O21" s="3379"/>
      <c r="P21" s="3380"/>
      <c r="Q21" s="2939" t="s">
        <v>648</v>
      </c>
    </row>
    <row r="22" spans="1:17" s="550" customFormat="1" ht="20.25" customHeight="1">
      <c r="A22" s="3402"/>
      <c r="B22" s="3404"/>
      <c r="C22" s="3404"/>
      <c r="D22" s="3406"/>
      <c r="E22" s="3363">
        <v>0.875</v>
      </c>
      <c r="F22" s="3364"/>
      <c r="G22" s="3364"/>
      <c r="H22" s="3364"/>
      <c r="I22" s="3365">
        <v>8.3333333333333329E-2</v>
      </c>
      <c r="J22" s="3366"/>
      <c r="K22" s="3366"/>
      <c r="L22" s="3367"/>
      <c r="M22" s="3365">
        <v>0.22916666666666666</v>
      </c>
      <c r="N22" s="3366"/>
      <c r="O22" s="3366"/>
      <c r="P22" s="3367"/>
      <c r="Q22" s="2939"/>
    </row>
    <row r="23" spans="1:17" s="550" customFormat="1" ht="36" customHeight="1">
      <c r="A23" s="3403"/>
      <c r="B23" s="3405"/>
      <c r="C23" s="3405"/>
      <c r="D23" s="3407"/>
      <c r="E23" s="551" t="s">
        <v>649</v>
      </c>
      <c r="F23" s="3242" t="s">
        <v>650</v>
      </c>
      <c r="G23" s="3247"/>
      <c r="H23" s="3410"/>
      <c r="I23" s="551" t="s">
        <v>649</v>
      </c>
      <c r="J23" s="3242" t="s">
        <v>650</v>
      </c>
      <c r="K23" s="3247"/>
      <c r="L23" s="3410"/>
      <c r="M23" s="551" t="s">
        <v>649</v>
      </c>
      <c r="N23" s="3242" t="s">
        <v>650</v>
      </c>
      <c r="O23" s="3247"/>
      <c r="P23" s="3410"/>
      <c r="Q23" s="281" t="s">
        <v>651</v>
      </c>
    </row>
    <row r="24" spans="1:17" s="550" customFormat="1" ht="30.75" customHeight="1">
      <c r="A24" s="552">
        <v>1</v>
      </c>
      <c r="B24" s="553" t="s">
        <v>652</v>
      </c>
      <c r="C24" s="554" t="s">
        <v>653</v>
      </c>
      <c r="D24" s="509" t="s">
        <v>451</v>
      </c>
      <c r="E24" s="555">
        <f>'R.FILE GOC'!Z25</f>
        <v>0</v>
      </c>
      <c r="F24" s="515" t="s">
        <v>605</v>
      </c>
      <c r="G24" s="516">
        <f>'R.FILE GOC'!AC25</f>
        <v>93.2</v>
      </c>
      <c r="H24" s="217" t="s">
        <v>682</v>
      </c>
      <c r="I24" s="555">
        <f>'R.FILE GOC'!AF25</f>
        <v>0</v>
      </c>
      <c r="J24" s="515" t="s">
        <v>605</v>
      </c>
      <c r="K24" s="516">
        <f>'R.FILE GOC'!AI25</f>
        <v>93.2</v>
      </c>
      <c r="L24" s="217" t="s">
        <v>682</v>
      </c>
      <c r="M24" s="555">
        <f>'R.FILE GOC'!AL25</f>
        <v>0</v>
      </c>
      <c r="N24" s="515" t="s">
        <v>605</v>
      </c>
      <c r="O24" s="516">
        <f>'R.FILE GOC'!AO25</f>
        <v>93.2</v>
      </c>
      <c r="P24" s="217" t="s">
        <v>682</v>
      </c>
      <c r="Q24" s="281" t="s">
        <v>656</v>
      </c>
    </row>
    <row r="25" spans="1:17" s="559" customFormat="1" ht="30.75" customHeight="1">
      <c r="A25" s="552">
        <v>2</v>
      </c>
      <c r="B25" s="556" t="s">
        <v>657</v>
      </c>
      <c r="C25" s="557" t="s">
        <v>683</v>
      </c>
      <c r="D25" s="558" t="s">
        <v>604</v>
      </c>
      <c r="E25" s="555">
        <f>'R.FILE GOC'!Z26</f>
        <v>0</v>
      </c>
      <c r="F25" s="515" t="s">
        <v>605</v>
      </c>
      <c r="G25" s="516">
        <f>'R.FILE GOC'!AC26</f>
        <v>1017.578125</v>
      </c>
      <c r="H25" s="217" t="s">
        <v>684</v>
      </c>
      <c r="I25" s="555">
        <f>'R.FILE GOC'!AF26</f>
        <v>0</v>
      </c>
      <c r="J25" s="515" t="s">
        <v>605</v>
      </c>
      <c r="K25" s="516">
        <f>'R.FILE GOC'!AI26</f>
        <v>1017.578125</v>
      </c>
      <c r="L25" s="217" t="s">
        <v>684</v>
      </c>
      <c r="M25" s="555">
        <f>'R.FILE GOC'!AL26</f>
        <v>0</v>
      </c>
      <c r="N25" s="515" t="s">
        <v>605</v>
      </c>
      <c r="O25" s="516">
        <f>'R.FILE GOC'!AO26</f>
        <v>1017.578125</v>
      </c>
      <c r="P25" s="217" t="s">
        <v>684</v>
      </c>
      <c r="Q25" s="281" t="s">
        <v>661</v>
      </c>
    </row>
    <row r="26" spans="1:17" s="559" customFormat="1" ht="30.75" customHeight="1">
      <c r="A26" s="552">
        <v>3</v>
      </c>
      <c r="B26" s="3411" t="s">
        <v>685</v>
      </c>
      <c r="C26" s="3414" t="s">
        <v>686</v>
      </c>
      <c r="D26" s="509" t="s">
        <v>609</v>
      </c>
      <c r="E26" s="555">
        <f>'R.FILE GOC'!Z27</f>
        <v>0</v>
      </c>
      <c r="F26" s="515" t="s">
        <v>605</v>
      </c>
      <c r="G26" s="516">
        <f>'R.FILE GOC'!AC27</f>
        <v>246.75</v>
      </c>
      <c r="H26" s="217" t="s">
        <v>682</v>
      </c>
      <c r="I26" s="555">
        <f>'R.FILE GOC'!AF27</f>
        <v>0</v>
      </c>
      <c r="J26" s="515" t="s">
        <v>605</v>
      </c>
      <c r="K26" s="516">
        <f>'R.FILE GOC'!AI27</f>
        <v>246.75</v>
      </c>
      <c r="L26" s="217" t="s">
        <v>682</v>
      </c>
      <c r="M26" s="555">
        <f>'R.FILE GOC'!AL27</f>
        <v>0</v>
      </c>
      <c r="N26" s="515" t="s">
        <v>605</v>
      </c>
      <c r="O26" s="516">
        <f>'R.FILE GOC'!AO27</f>
        <v>246.75</v>
      </c>
      <c r="P26" s="217" t="s">
        <v>682</v>
      </c>
      <c r="Q26" s="281" t="s">
        <v>663</v>
      </c>
    </row>
    <row r="27" spans="1:17" s="559" customFormat="1" ht="30.75" customHeight="1">
      <c r="A27" s="552">
        <v>4</v>
      </c>
      <c r="B27" s="3412"/>
      <c r="C27" s="3414"/>
      <c r="D27" s="509" t="s">
        <v>613</v>
      </c>
      <c r="E27" s="555">
        <f>'R.FILE GOC'!Z28</f>
        <v>0</v>
      </c>
      <c r="F27" s="515" t="s">
        <v>605</v>
      </c>
      <c r="G27" s="516">
        <f>'R.FILE GOC'!AC28</f>
        <v>32.077500000000001</v>
      </c>
      <c r="H27" s="217" t="s">
        <v>682</v>
      </c>
      <c r="I27" s="555">
        <f>'R.FILE GOC'!AF28</f>
        <v>0</v>
      </c>
      <c r="J27" s="515" t="s">
        <v>605</v>
      </c>
      <c r="K27" s="516">
        <f>'R.FILE GOC'!AI28</f>
        <v>32.077500000000001</v>
      </c>
      <c r="L27" s="217" t="s">
        <v>682</v>
      </c>
      <c r="M27" s="555">
        <f>'R.FILE GOC'!AL28</f>
        <v>0</v>
      </c>
      <c r="N27" s="515" t="s">
        <v>605</v>
      </c>
      <c r="O27" s="516">
        <f>'R.FILE GOC'!AO28</f>
        <v>32.077500000000001</v>
      </c>
      <c r="P27" s="217" t="s">
        <v>682</v>
      </c>
      <c r="Q27" s="281" t="s">
        <v>664</v>
      </c>
    </row>
    <row r="28" spans="1:17" s="559" customFormat="1" ht="30.75" customHeight="1">
      <c r="A28" s="552">
        <v>5</v>
      </c>
      <c r="B28" s="3413"/>
      <c r="C28" s="3414"/>
      <c r="D28" s="509" t="s">
        <v>615</v>
      </c>
      <c r="E28" s="68">
        <f>'R.FILE GOC'!Z29</f>
        <v>0</v>
      </c>
      <c r="F28" s="515" t="s">
        <v>605</v>
      </c>
      <c r="G28" s="560">
        <f>'R.FILE GOC'!AC29</f>
        <v>0</v>
      </c>
      <c r="H28" s="68" t="s">
        <v>682</v>
      </c>
      <c r="I28" s="68">
        <f>'R.FILE GOC'!AF29</f>
        <v>0</v>
      </c>
      <c r="J28" s="515" t="s">
        <v>605</v>
      </c>
      <c r="K28" s="560">
        <f>'R.FILE GOC'!AI29</f>
        <v>0</v>
      </c>
      <c r="L28" s="68" t="s">
        <v>682</v>
      </c>
      <c r="M28" s="68">
        <f>'R.FILE GOC'!AL29</f>
        <v>0</v>
      </c>
      <c r="N28" s="515" t="s">
        <v>605</v>
      </c>
      <c r="O28" s="560" t="str">
        <f>'R.FILE GOC'!AO29</f>
        <v>N/A</v>
      </c>
      <c r="P28" s="68" t="s">
        <v>682</v>
      </c>
      <c r="Q28" s="561"/>
    </row>
    <row r="29" spans="1:17" s="564" customFormat="1" ht="30.75" customHeight="1">
      <c r="A29" s="552">
        <v>6</v>
      </c>
      <c r="B29" s="3411" t="s">
        <v>665</v>
      </c>
      <c r="C29" s="554" t="s">
        <v>432</v>
      </c>
      <c r="D29" s="509" t="s">
        <v>442</v>
      </c>
      <c r="E29" s="555">
        <f>'R.FILE GOC'!Z30</f>
        <v>0</v>
      </c>
      <c r="F29" s="570" t="s">
        <v>605</v>
      </c>
      <c r="G29" s="562">
        <f>'R.FILE GOC'!AC30</f>
        <v>1.234</v>
      </c>
      <c r="H29" s="555" t="s">
        <v>682</v>
      </c>
      <c r="I29" s="555">
        <f>'R.FILE GOC'!AF30</f>
        <v>0</v>
      </c>
      <c r="J29" s="570" t="s">
        <v>605</v>
      </c>
      <c r="K29" s="562">
        <f>'R.FILE GOC'!AI30</f>
        <v>1.234</v>
      </c>
      <c r="L29" s="555" t="s">
        <v>682</v>
      </c>
      <c r="M29" s="555">
        <f>'R.FILE GOC'!AL30</f>
        <v>0</v>
      </c>
      <c r="N29" s="570" t="s">
        <v>605</v>
      </c>
      <c r="O29" s="562">
        <f>'R.FILE GOC'!AO30</f>
        <v>1.234</v>
      </c>
      <c r="P29" s="555" t="s">
        <v>682</v>
      </c>
      <c r="Q29" s="563" t="s">
        <v>666</v>
      </c>
    </row>
    <row r="30" spans="1:17" s="564" customFormat="1" ht="30.75" customHeight="1">
      <c r="A30" s="552">
        <v>7</v>
      </c>
      <c r="B30" s="3413"/>
      <c r="C30" s="565" t="s">
        <v>687</v>
      </c>
      <c r="D30" s="1018" t="s">
        <v>977</v>
      </c>
      <c r="E30" s="555">
        <f>'R.FILE GOC'!Z31</f>
        <v>0</v>
      </c>
      <c r="F30" s="515" t="s">
        <v>605</v>
      </c>
      <c r="G30" s="516"/>
      <c r="H30" s="217" t="s">
        <v>682</v>
      </c>
      <c r="I30" s="555">
        <f>'R.FILE GOC'!AF31</f>
        <v>0</v>
      </c>
      <c r="J30" s="515" t="s">
        <v>605</v>
      </c>
      <c r="K30" s="516"/>
      <c r="L30" s="217" t="s">
        <v>682</v>
      </c>
      <c r="M30" s="555">
        <f>'R.FILE GOC'!AL31</f>
        <v>0</v>
      </c>
      <c r="N30" s="515" t="s">
        <v>605</v>
      </c>
      <c r="O30" s="516"/>
      <c r="P30" s="217" t="s">
        <v>682</v>
      </c>
      <c r="Q30" s="217"/>
    </row>
    <row r="31" spans="1:17" s="559" customFormat="1" ht="25.5" customHeight="1">
      <c r="A31" s="3415" t="s">
        <v>668</v>
      </c>
      <c r="B31" s="3415"/>
      <c r="C31" s="3415"/>
      <c r="D31" s="3415"/>
      <c r="E31" s="3415"/>
      <c r="F31" s="3415"/>
      <c r="G31" s="3415"/>
      <c r="H31" s="3415"/>
      <c r="I31" s="3415"/>
      <c r="J31" s="3415"/>
      <c r="K31" s="3415"/>
      <c r="L31" s="3415"/>
      <c r="M31" s="3415"/>
      <c r="N31" s="3415"/>
      <c r="O31" s="3415"/>
      <c r="P31" s="3415"/>
      <c r="Q31" s="3415"/>
    </row>
    <row r="32" spans="1:17" s="559" customFormat="1" ht="38.25" customHeight="1">
      <c r="A32" s="217" t="s">
        <v>688</v>
      </c>
      <c r="B32" s="566" t="s">
        <v>670</v>
      </c>
      <c r="C32" s="566" t="s">
        <v>671</v>
      </c>
      <c r="D32" s="566" t="s">
        <v>672</v>
      </c>
      <c r="E32" s="3404" t="s">
        <v>920</v>
      </c>
      <c r="F32" s="3404"/>
      <c r="G32" s="3404"/>
      <c r="H32" s="3404"/>
      <c r="I32" s="3404"/>
      <c r="J32" s="3404"/>
      <c r="K32" s="3404"/>
      <c r="L32" s="3404"/>
      <c r="M32" s="3404"/>
      <c r="N32" s="3404"/>
      <c r="O32" s="3404"/>
      <c r="P32" s="3404"/>
      <c r="Q32" s="337"/>
    </row>
    <row r="33" spans="1:17" s="559" customFormat="1" ht="30" customHeight="1">
      <c r="A33" s="217">
        <v>1</v>
      </c>
      <c r="B33" s="869" t="s">
        <v>869</v>
      </c>
      <c r="C33" s="567" t="s">
        <v>674</v>
      </c>
      <c r="D33" s="509" t="s">
        <v>675</v>
      </c>
      <c r="E33" s="3409">
        <f>'R.FILE GOC'!AC34</f>
        <v>0</v>
      </c>
      <c r="F33" s="3409"/>
      <c r="G33" s="3409"/>
      <c r="H33" s="3409"/>
      <c r="I33" s="3409">
        <f>'R.FILE GOC'!AI34</f>
        <v>0</v>
      </c>
      <c r="J33" s="3409"/>
      <c r="K33" s="3409"/>
      <c r="L33" s="3409"/>
      <c r="M33" s="3409">
        <f>'R.FILE GOC'!AO34</f>
        <v>0</v>
      </c>
      <c r="N33" s="3409"/>
      <c r="O33" s="3409"/>
      <c r="P33" s="3409"/>
      <c r="Q33" s="516"/>
    </row>
    <row r="34" spans="1:17" s="559" customFormat="1" ht="30" customHeight="1">
      <c r="A34" s="217">
        <v>2</v>
      </c>
      <c r="B34" s="566" t="s">
        <v>689</v>
      </c>
      <c r="C34" s="567" t="s">
        <v>674</v>
      </c>
      <c r="D34" s="509" t="s">
        <v>677</v>
      </c>
      <c r="E34" s="3409">
        <f>'R.FILE GOC'!AC35</f>
        <v>0</v>
      </c>
      <c r="F34" s="3409"/>
      <c r="G34" s="3409"/>
      <c r="H34" s="3409"/>
      <c r="I34" s="3409">
        <f>'R.FILE GOC'!AI35</f>
        <v>0</v>
      </c>
      <c r="J34" s="3409"/>
      <c r="K34" s="3409"/>
      <c r="L34" s="3409"/>
      <c r="M34" s="3409">
        <f>'R.FILE GOC'!AO35</f>
        <v>0</v>
      </c>
      <c r="N34" s="3409"/>
      <c r="O34" s="3409"/>
      <c r="P34" s="3409"/>
      <c r="Q34" s="516"/>
    </row>
    <row r="35" spans="1:17" s="559" customFormat="1" ht="30" customHeight="1">
      <c r="A35" s="217">
        <v>3</v>
      </c>
      <c r="B35" s="566" t="s">
        <v>678</v>
      </c>
      <c r="C35" s="567" t="s">
        <v>674</v>
      </c>
      <c r="D35" s="509" t="s">
        <v>679</v>
      </c>
      <c r="E35" s="3409">
        <f>'R.FILE GOC'!AC36</f>
        <v>0</v>
      </c>
      <c r="F35" s="3409"/>
      <c r="G35" s="3409"/>
      <c r="H35" s="3409"/>
      <c r="I35" s="3409">
        <f>'R.FILE GOC'!AI36</f>
        <v>0</v>
      </c>
      <c r="J35" s="3409"/>
      <c r="K35" s="3409"/>
      <c r="L35" s="3409"/>
      <c r="M35" s="3409">
        <f>'R.FILE GOC'!AO36</f>
        <v>0</v>
      </c>
      <c r="N35" s="3409"/>
      <c r="O35" s="3409"/>
      <c r="P35" s="3409"/>
      <c r="Q35" s="516"/>
    </row>
  </sheetData>
  <sheetProtection selectLockedCells="1"/>
  <mergeCells count="60">
    <mergeCell ref="E34:H34"/>
    <mergeCell ref="I34:L34"/>
    <mergeCell ref="M34:P34"/>
    <mergeCell ref="E35:H35"/>
    <mergeCell ref="I35:L35"/>
    <mergeCell ref="M35:P35"/>
    <mergeCell ref="B26:B28"/>
    <mergeCell ref="C26:C28"/>
    <mergeCell ref="B29:B30"/>
    <mergeCell ref="A31:Q31"/>
    <mergeCell ref="E32:P32"/>
    <mergeCell ref="E33:H33"/>
    <mergeCell ref="I33:L33"/>
    <mergeCell ref="M33:P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E17:H17"/>
    <mergeCell ref="I17:L17"/>
    <mergeCell ref="M17:P17"/>
    <mergeCell ref="E18:H18"/>
    <mergeCell ref="I18:L18"/>
    <mergeCell ref="M18:P18"/>
    <mergeCell ref="B9:B11"/>
    <mergeCell ref="C9:C11"/>
    <mergeCell ref="B12:B13"/>
    <mergeCell ref="A14:Q14"/>
    <mergeCell ref="E15:P15"/>
    <mergeCell ref="E16:H16"/>
    <mergeCell ref="I16:L16"/>
    <mergeCell ref="M16:P16"/>
    <mergeCell ref="Q4:Q5"/>
    <mergeCell ref="E5:H5"/>
    <mergeCell ref="I5:L5"/>
    <mergeCell ref="M5:P5"/>
    <mergeCell ref="F6:H6"/>
    <mergeCell ref="J6:L6"/>
    <mergeCell ref="N6:P6"/>
    <mergeCell ref="A1:L1"/>
    <mergeCell ref="A2:L2"/>
    <mergeCell ref="O2:P2"/>
    <mergeCell ref="I3:K3"/>
    <mergeCell ref="O3:P3"/>
    <mergeCell ref="A4:A6"/>
    <mergeCell ref="B4:B6"/>
    <mergeCell ref="C4:C6"/>
    <mergeCell ref="D4:D6"/>
    <mergeCell ref="E4:P4"/>
  </mergeCells>
  <phoneticPr fontId="7" type="noConversion"/>
  <conditionalFormatting sqref="E17:L17 E34:H34">
    <cfRule type="expression" dxfId="741" priority="17">
      <formula>E17&lt;65</formula>
    </cfRule>
    <cfRule type="expression" dxfId="740" priority="18">
      <formula>E17&gt;85</formula>
    </cfRule>
  </conditionalFormatting>
  <conditionalFormatting sqref="E18:L18 E35:H35">
    <cfRule type="expression" dxfId="739" priority="15">
      <formula>E18&lt;80</formula>
    </cfRule>
    <cfRule type="expression" dxfId="738" priority="16">
      <formula>E18&gt;90</formula>
    </cfRule>
  </conditionalFormatting>
  <conditionalFormatting sqref="E16 I16 E33">
    <cfRule type="expression" dxfId="737" priority="13">
      <formula>E16&lt;55</formula>
    </cfRule>
    <cfRule type="expression" dxfId="736" priority="14">
      <formula>E16&gt;65</formula>
    </cfRule>
  </conditionalFormatting>
  <conditionalFormatting sqref="M17:P17">
    <cfRule type="expression" dxfId="735" priority="11">
      <formula>M17&lt;65</formula>
    </cfRule>
    <cfRule type="expression" dxfId="734" priority="12">
      <formula>M17&gt;85</formula>
    </cfRule>
  </conditionalFormatting>
  <conditionalFormatting sqref="M18:P18">
    <cfRule type="expression" dxfId="733" priority="9">
      <formula>M18&lt;80</formula>
    </cfRule>
    <cfRule type="expression" dxfId="732" priority="10">
      <formula>M18&gt;90</formula>
    </cfRule>
  </conditionalFormatting>
  <conditionalFormatting sqref="M16">
    <cfRule type="expression" dxfId="731" priority="7">
      <formula>M16&lt;55</formula>
    </cfRule>
    <cfRule type="expression" dxfId="730" priority="8">
      <formula>M16&gt;65</formula>
    </cfRule>
  </conditionalFormatting>
  <conditionalFormatting sqref="I34:P34">
    <cfRule type="expression" dxfId="729" priority="5">
      <formula>I34&lt;65</formula>
    </cfRule>
    <cfRule type="expression" dxfId="728" priority="6">
      <formula>I34&gt;85</formula>
    </cfRule>
  </conditionalFormatting>
  <conditionalFormatting sqref="I35:P35">
    <cfRule type="expression" dxfId="727" priority="3">
      <formula>I35&lt;80</formula>
    </cfRule>
    <cfRule type="expression" dxfId="726" priority="4">
      <formula>I35&gt;90</formula>
    </cfRule>
  </conditionalFormatting>
  <conditionalFormatting sqref="I33 M33">
    <cfRule type="expression" dxfId="725" priority="1">
      <formula>I33&lt;55</formula>
    </cfRule>
    <cfRule type="expression" dxfId="724"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5">
    <tabColor rgb="FFFFC000"/>
  </sheetPr>
  <dimension ref="A1:R42"/>
  <sheetViews>
    <sheetView zoomScale="70" zoomScaleNormal="70" workbookViewId="0">
      <selection activeCell="N43" sqref="N43"/>
    </sheetView>
  </sheetViews>
  <sheetFormatPr defaultRowHeight="13.5"/>
  <cols>
    <col min="1" max="1" width="5.5" style="496" customWidth="1"/>
    <col min="2" max="2" width="24.625" style="546" customWidth="1"/>
    <col min="3" max="3" width="11.5" style="546" hidden="1" customWidth="1"/>
    <col min="4" max="4" width="10" style="496" customWidth="1"/>
    <col min="5" max="5" width="15.5" style="496" customWidth="1"/>
    <col min="6" max="6" width="9.25" style="496" customWidth="1"/>
    <col min="7" max="7" width="3.875" style="496" customWidth="1"/>
    <col min="8" max="8" width="7.875" style="496" customWidth="1"/>
    <col min="9" max="9" width="4.375" style="496" customWidth="1"/>
    <col min="10" max="10" width="9.625" style="496" customWidth="1"/>
    <col min="11" max="11" width="2.625" style="496" customWidth="1"/>
    <col min="12" max="12" width="7.875" style="496" customWidth="1"/>
    <col min="13" max="13" width="4.25" style="496" customWidth="1"/>
    <col min="14" max="14" width="9.625" style="496" customWidth="1"/>
    <col min="15" max="15" width="2.625" style="496" customWidth="1"/>
    <col min="16" max="16" width="7.875" style="496" customWidth="1"/>
    <col min="17" max="17" width="4.25" style="496" customWidth="1"/>
    <col min="18" max="18" width="13.875" style="496" customWidth="1"/>
    <col min="19" max="16384" width="9" style="496"/>
  </cols>
  <sheetData>
    <row r="1" spans="1:18" ht="27.75" customHeight="1">
      <c r="A1" s="3352" t="s">
        <v>589</v>
      </c>
      <c r="B1" s="3352"/>
      <c r="C1" s="3352"/>
      <c r="D1" s="3352"/>
      <c r="E1" s="3352"/>
      <c r="F1" s="3352"/>
      <c r="G1" s="3352"/>
      <c r="H1" s="3352"/>
      <c r="I1" s="3352"/>
      <c r="J1" s="3352"/>
      <c r="K1" s="3352"/>
      <c r="L1" s="3352"/>
      <c r="M1" s="3352"/>
      <c r="N1" s="494"/>
      <c r="O1" s="494"/>
      <c r="P1" s="494"/>
      <c r="Q1" s="494"/>
      <c r="R1" s="494"/>
    </row>
    <row r="2" spans="1:18" ht="36.75" customHeight="1">
      <c r="A2" s="3353" t="s">
        <v>925</v>
      </c>
      <c r="B2" s="3353"/>
      <c r="C2" s="3353"/>
      <c r="D2" s="3353"/>
      <c r="E2" s="3353"/>
      <c r="F2" s="3353"/>
      <c r="G2" s="3353"/>
      <c r="H2" s="3353"/>
      <c r="I2" s="3353"/>
      <c r="J2" s="3353"/>
      <c r="K2" s="3353"/>
      <c r="L2" s="3353"/>
      <c r="M2" s="3353"/>
      <c r="N2" s="497"/>
      <c r="O2" s="497"/>
      <c r="P2" s="3194" t="s">
        <v>642</v>
      </c>
      <c r="Q2" s="3169"/>
      <c r="R2" s="78" t="s">
        <v>17</v>
      </c>
    </row>
    <row r="3" spans="1:18" ht="27" customHeight="1">
      <c r="A3" s="498"/>
      <c r="B3" s="499" t="s">
        <v>592</v>
      </c>
      <c r="C3" s="499"/>
      <c r="D3" s="2139" t="str">
        <f>MENU!$AC$9</f>
        <v>Thứ 3,</v>
      </c>
      <c r="E3" s="1933" t="str">
        <f>MENU!$AD$9</f>
        <v>2024/01/09</v>
      </c>
      <c r="F3" s="500"/>
      <c r="G3" s="500"/>
      <c r="H3" s="500"/>
      <c r="I3" s="500"/>
      <c r="J3" s="3408"/>
      <c r="K3" s="3408"/>
      <c r="L3" s="3408"/>
      <c r="M3" s="548"/>
      <c r="N3" s="499"/>
      <c r="O3" s="499"/>
      <c r="P3" s="3358" t="str">
        <f>'1.xi den'!$N$3</f>
        <v>Trang</v>
      </c>
      <c r="Q3" s="3359"/>
      <c r="R3" s="549" t="s">
        <v>643</v>
      </c>
    </row>
    <row r="4" spans="1:18" s="550" customFormat="1" ht="42" customHeight="1">
      <c r="A4" s="3401" t="s">
        <v>681</v>
      </c>
      <c r="B4" s="3404" t="s">
        <v>645</v>
      </c>
      <c r="C4" s="566"/>
      <c r="D4" s="3404" t="s">
        <v>646</v>
      </c>
      <c r="E4" s="3406" t="s">
        <v>647</v>
      </c>
      <c r="F4" s="3378" t="s">
        <v>924</v>
      </c>
      <c r="G4" s="3379"/>
      <c r="H4" s="3379"/>
      <c r="I4" s="3379"/>
      <c r="J4" s="3379"/>
      <c r="K4" s="3379"/>
      <c r="L4" s="3379"/>
      <c r="M4" s="3379"/>
      <c r="N4" s="3379"/>
      <c r="O4" s="3379"/>
      <c r="P4" s="3379"/>
      <c r="Q4" s="3380"/>
      <c r="R4" s="2961" t="s">
        <v>648</v>
      </c>
    </row>
    <row r="5" spans="1:18" s="550" customFormat="1" ht="24" customHeight="1">
      <c r="A5" s="3402"/>
      <c r="B5" s="3404"/>
      <c r="C5" s="566"/>
      <c r="D5" s="3404"/>
      <c r="E5" s="3406"/>
      <c r="F5" s="3363">
        <v>0.375</v>
      </c>
      <c r="G5" s="3364"/>
      <c r="H5" s="3364"/>
      <c r="I5" s="3364"/>
      <c r="J5" s="3365">
        <v>0.5625</v>
      </c>
      <c r="K5" s="3366"/>
      <c r="L5" s="3366"/>
      <c r="M5" s="3367"/>
      <c r="N5" s="3365">
        <v>0.70833333333333337</v>
      </c>
      <c r="O5" s="3366"/>
      <c r="P5" s="3366"/>
      <c r="Q5" s="3367"/>
      <c r="R5" s="2962"/>
    </row>
    <row r="6" spans="1:18" s="550" customFormat="1" ht="42.75" customHeight="1">
      <c r="A6" s="3403"/>
      <c r="B6" s="3405"/>
      <c r="C6" s="217"/>
      <c r="D6" s="3405"/>
      <c r="E6" s="3407"/>
      <c r="F6" s="551" t="s">
        <v>649</v>
      </c>
      <c r="G6" s="3242" t="s">
        <v>650</v>
      </c>
      <c r="H6" s="3247"/>
      <c r="I6" s="3410"/>
      <c r="J6" s="551" t="s">
        <v>649</v>
      </c>
      <c r="K6" s="3242" t="s">
        <v>650</v>
      </c>
      <c r="L6" s="3247"/>
      <c r="M6" s="3410"/>
      <c r="N6" s="551" t="s">
        <v>649</v>
      </c>
      <c r="O6" s="3242" t="s">
        <v>650</v>
      </c>
      <c r="P6" s="3247"/>
      <c r="Q6" s="3410"/>
      <c r="R6" s="563" t="s">
        <v>690</v>
      </c>
    </row>
    <row r="7" spans="1:18" s="559" customFormat="1" ht="24" customHeight="1">
      <c r="A7" s="552">
        <v>1</v>
      </c>
      <c r="B7" s="553" t="s">
        <v>860</v>
      </c>
      <c r="C7" s="868" t="s">
        <v>653</v>
      </c>
      <c r="D7" s="868" t="s">
        <v>653</v>
      </c>
      <c r="E7" s="872" t="s">
        <v>451</v>
      </c>
      <c r="F7" s="510">
        <f>'R.FILE GOC'!H41</f>
        <v>48</v>
      </c>
      <c r="G7" s="511" t="s">
        <v>864</v>
      </c>
      <c r="H7" s="512">
        <f>'R.FILE GOC'!K41</f>
        <v>0</v>
      </c>
      <c r="I7" s="866" t="s">
        <v>865</v>
      </c>
      <c r="J7" s="510">
        <f>'R.FILE GOC'!N41</f>
        <v>48</v>
      </c>
      <c r="K7" s="511" t="s">
        <v>864</v>
      </c>
      <c r="L7" s="512">
        <f>'R.FILE GOC'!Q41</f>
        <v>0</v>
      </c>
      <c r="M7" s="866" t="s">
        <v>865</v>
      </c>
      <c r="N7" s="510">
        <f>'R.FILE GOC'!T41</f>
        <v>46</v>
      </c>
      <c r="O7" s="511" t="s">
        <v>864</v>
      </c>
      <c r="P7" s="512">
        <f>'R.FILE GOC'!W41</f>
        <v>0</v>
      </c>
      <c r="Q7" s="870" t="s">
        <v>655</v>
      </c>
      <c r="R7" s="563" t="s">
        <v>691</v>
      </c>
    </row>
    <row r="8" spans="1:18" s="559" customFormat="1" ht="21" customHeight="1">
      <c r="A8" s="552">
        <v>2</v>
      </c>
      <c r="B8" s="867" t="s">
        <v>657</v>
      </c>
      <c r="C8" s="557" t="s">
        <v>658</v>
      </c>
      <c r="D8" s="557" t="s">
        <v>658</v>
      </c>
      <c r="E8" s="871" t="s">
        <v>427</v>
      </c>
      <c r="F8" s="873">
        <f>'R.FILE GOC'!H42</f>
        <v>10.95</v>
      </c>
      <c r="G8" s="511" t="s">
        <v>864</v>
      </c>
      <c r="H8" s="512">
        <f>'R.FILE GOC'!K42</f>
        <v>126.17968750000006</v>
      </c>
      <c r="I8" s="866" t="s">
        <v>866</v>
      </c>
      <c r="J8" s="873">
        <f>'R.FILE GOC'!N42</f>
        <v>11.315000000000001</v>
      </c>
      <c r="K8" s="511" t="s">
        <v>864</v>
      </c>
      <c r="L8" s="512">
        <f>'R.FILE GOC'!Q42</f>
        <v>96.466406249999892</v>
      </c>
      <c r="M8" s="866" t="s">
        <v>866</v>
      </c>
      <c r="N8" s="873">
        <f>'R.FILE GOC'!T42</f>
        <v>10.219999999999999</v>
      </c>
      <c r="O8" s="511"/>
      <c r="P8" s="512">
        <f>'R.FILE GOC'!W42</f>
        <v>185.6062500000001</v>
      </c>
      <c r="Q8" s="217"/>
      <c r="R8" s="563"/>
    </row>
    <row r="9" spans="1:18" s="559" customFormat="1" ht="29.25" customHeight="1">
      <c r="A9" s="552">
        <v>3</v>
      </c>
      <c r="B9" s="3411" t="s">
        <v>692</v>
      </c>
      <c r="C9" s="556"/>
      <c r="D9" s="3414" t="s">
        <v>432</v>
      </c>
      <c r="E9" s="509" t="s">
        <v>609</v>
      </c>
      <c r="F9" s="555">
        <f>'R.FILE GOC'!H43</f>
        <v>55</v>
      </c>
      <c r="G9" s="515" t="s">
        <v>605</v>
      </c>
      <c r="H9" s="516">
        <f>'R.FILE GOC'!K43</f>
        <v>0</v>
      </c>
      <c r="I9" s="217" t="s">
        <v>682</v>
      </c>
      <c r="J9" s="555">
        <f>'R.FILE GOC'!N43</f>
        <v>49</v>
      </c>
      <c r="K9" s="515" t="s">
        <v>605</v>
      </c>
      <c r="L9" s="516">
        <f>'R.FILE GOC'!Q43</f>
        <v>4.9349999999999996</v>
      </c>
      <c r="M9" s="217" t="s">
        <v>682</v>
      </c>
      <c r="N9" s="555">
        <f>'R.FILE GOC'!T43</f>
        <v>51</v>
      </c>
      <c r="O9" s="515" t="s">
        <v>605</v>
      </c>
      <c r="P9" s="516">
        <f>'R.FILE GOC'!W43</f>
        <v>0</v>
      </c>
      <c r="Q9" s="217" t="s">
        <v>682</v>
      </c>
      <c r="R9" s="563" t="s">
        <v>693</v>
      </c>
    </row>
    <row r="10" spans="1:18" s="559" customFormat="1" ht="29.25" customHeight="1">
      <c r="A10" s="552">
        <v>4</v>
      </c>
      <c r="B10" s="3412"/>
      <c r="C10" s="571"/>
      <c r="D10" s="3414"/>
      <c r="E10" s="509" t="s">
        <v>613</v>
      </c>
      <c r="F10" s="555">
        <f>'R.FILE GOC'!H44</f>
        <v>7.5</v>
      </c>
      <c r="G10" s="515" t="s">
        <v>605</v>
      </c>
      <c r="H10" s="516">
        <f>'R.FILE GOC'!K44</f>
        <v>0</v>
      </c>
      <c r="I10" s="217" t="s">
        <v>682</v>
      </c>
      <c r="J10" s="555">
        <f>'R.FILE GOC'!N44</f>
        <v>7.1</v>
      </c>
      <c r="K10" s="515" t="s">
        <v>605</v>
      </c>
      <c r="L10" s="516">
        <f>'R.FILE GOC'!Q44</f>
        <v>0</v>
      </c>
      <c r="M10" s="217" t="s">
        <v>682</v>
      </c>
      <c r="N10" s="555">
        <f>'R.FILE GOC'!T44</f>
        <v>6.5</v>
      </c>
      <c r="O10" s="515" t="s">
        <v>605</v>
      </c>
      <c r="P10" s="516">
        <f>'R.FILE GOC'!W44</f>
        <v>0</v>
      </c>
      <c r="Q10" s="217" t="s">
        <v>682</v>
      </c>
      <c r="R10" s="563" t="s">
        <v>694</v>
      </c>
    </row>
    <row r="11" spans="1:18" s="559" customFormat="1" ht="29.25" customHeight="1">
      <c r="A11" s="552">
        <v>5</v>
      </c>
      <c r="B11" s="3413"/>
      <c r="C11" s="572"/>
      <c r="D11" s="3414"/>
      <c r="E11" s="509" t="s">
        <v>615</v>
      </c>
      <c r="F11" s="68">
        <f>'R.FILE GOC'!H45</f>
        <v>0.4</v>
      </c>
      <c r="G11" s="515" t="s">
        <v>605</v>
      </c>
      <c r="H11" s="560">
        <f>'R.FILE GOC'!K45</f>
        <v>0</v>
      </c>
      <c r="I11" s="68" t="s">
        <v>682</v>
      </c>
      <c r="J11" s="68">
        <f>'R.FILE GOC'!N45</f>
        <v>0.32</v>
      </c>
      <c r="K11" s="515" t="s">
        <v>605</v>
      </c>
      <c r="L11" s="560">
        <f>'R.FILE GOC'!Q45</f>
        <v>0</v>
      </c>
      <c r="M11" s="68" t="s">
        <v>682</v>
      </c>
      <c r="N11" s="68">
        <f>'R.FILE GOC'!T45</f>
        <v>0.26</v>
      </c>
      <c r="O11" s="515" t="s">
        <v>605</v>
      </c>
      <c r="P11" s="560">
        <f>'R.FILE GOC'!W45</f>
        <v>0</v>
      </c>
      <c r="Q11" s="68" t="s">
        <v>682</v>
      </c>
      <c r="R11" s="563"/>
    </row>
    <row r="12" spans="1:18" s="559" customFormat="1" ht="29.25" hidden="1" customHeight="1">
      <c r="A12" s="552">
        <v>6</v>
      </c>
      <c r="B12" s="3411" t="s">
        <v>695</v>
      </c>
      <c r="C12" s="556"/>
      <c r="D12" s="3414" t="s">
        <v>432</v>
      </c>
      <c r="E12" s="509" t="s">
        <v>609</v>
      </c>
      <c r="F12" s="555" t="e">
        <f>'R.FILE GOC'!#REF!</f>
        <v>#REF!</v>
      </c>
      <c r="G12" s="515" t="s">
        <v>605</v>
      </c>
      <c r="H12" s="516" t="e">
        <f>'R.FILE GOC'!#REF!</f>
        <v>#REF!</v>
      </c>
      <c r="I12" s="217" t="s">
        <v>682</v>
      </c>
      <c r="J12" s="555" t="e">
        <f>'R.FILE GOC'!#REF!</f>
        <v>#REF!</v>
      </c>
      <c r="K12" s="515" t="s">
        <v>605</v>
      </c>
      <c r="L12" s="516" t="e">
        <f>'R.FILE GOC'!#REF!</f>
        <v>#REF!</v>
      </c>
      <c r="M12" s="217" t="s">
        <v>682</v>
      </c>
      <c r="N12" s="555" t="e">
        <f>'R.FILE GOC'!#REF!</f>
        <v>#REF!</v>
      </c>
      <c r="O12" s="515" t="s">
        <v>605</v>
      </c>
      <c r="P12" s="516" t="e">
        <f>'R.FILE GOC'!#REF!</f>
        <v>#REF!</v>
      </c>
      <c r="Q12" s="217" t="s">
        <v>682</v>
      </c>
      <c r="R12" s="563" t="s">
        <v>693</v>
      </c>
    </row>
    <row r="13" spans="1:18" s="559" customFormat="1" ht="29.25" hidden="1" customHeight="1">
      <c r="A13" s="552">
        <v>7</v>
      </c>
      <c r="B13" s="3412"/>
      <c r="C13" s="571"/>
      <c r="D13" s="3414"/>
      <c r="E13" s="509" t="s">
        <v>613</v>
      </c>
      <c r="F13" s="555" t="e">
        <f>'R.FILE GOC'!#REF!</f>
        <v>#REF!</v>
      </c>
      <c r="G13" s="515" t="s">
        <v>605</v>
      </c>
      <c r="H13" s="516" t="e">
        <f>'R.FILE GOC'!#REF!</f>
        <v>#REF!</v>
      </c>
      <c r="I13" s="217" t="s">
        <v>682</v>
      </c>
      <c r="J13" s="555" t="e">
        <f>'R.FILE GOC'!#REF!</f>
        <v>#REF!</v>
      </c>
      <c r="K13" s="515" t="s">
        <v>605</v>
      </c>
      <c r="L13" s="516" t="e">
        <f>'R.FILE GOC'!#REF!</f>
        <v>#REF!</v>
      </c>
      <c r="M13" s="217" t="s">
        <v>682</v>
      </c>
      <c r="N13" s="555" t="e">
        <f>'R.FILE GOC'!#REF!</f>
        <v>#REF!</v>
      </c>
      <c r="O13" s="515" t="s">
        <v>605</v>
      </c>
      <c r="P13" s="516" t="e">
        <f>'R.FILE GOC'!#REF!</f>
        <v>#REF!</v>
      </c>
      <c r="Q13" s="217" t="s">
        <v>682</v>
      </c>
      <c r="R13" s="563" t="s">
        <v>694</v>
      </c>
    </row>
    <row r="14" spans="1:18" s="559" customFormat="1" ht="29.25" hidden="1" customHeight="1">
      <c r="A14" s="552">
        <v>8</v>
      </c>
      <c r="B14" s="3413"/>
      <c r="C14" s="572"/>
      <c r="D14" s="3414"/>
      <c r="E14" s="509" t="s">
        <v>615</v>
      </c>
      <c r="F14" s="68" t="e">
        <f>'R.FILE GOC'!#REF!</f>
        <v>#REF!</v>
      </c>
      <c r="G14" s="515" t="s">
        <v>605</v>
      </c>
      <c r="H14" s="560" t="e">
        <f>'R.FILE GOC'!#REF!</f>
        <v>#REF!</v>
      </c>
      <c r="I14" s="68" t="s">
        <v>682</v>
      </c>
      <c r="J14" s="68" t="e">
        <f>'R.FILE GOC'!#REF!</f>
        <v>#REF!</v>
      </c>
      <c r="K14" s="515" t="s">
        <v>605</v>
      </c>
      <c r="L14" s="560" t="e">
        <f>'R.FILE GOC'!#REF!</f>
        <v>#REF!</v>
      </c>
      <c r="M14" s="68" t="s">
        <v>682</v>
      </c>
      <c r="N14" s="68" t="e">
        <f>'R.FILE GOC'!#REF!</f>
        <v>#REF!</v>
      </c>
      <c r="O14" s="515" t="s">
        <v>605</v>
      </c>
      <c r="P14" s="560" t="e">
        <f>'R.FILE GOC'!#REF!</f>
        <v>#REF!</v>
      </c>
      <c r="Q14" s="68" t="s">
        <v>682</v>
      </c>
      <c r="R14" s="563"/>
    </row>
    <row r="15" spans="1:18" s="564" customFormat="1" ht="29.25" customHeight="1">
      <c r="A15" s="552">
        <v>9</v>
      </c>
      <c r="B15" s="3411" t="s">
        <v>665</v>
      </c>
      <c r="C15" s="556"/>
      <c r="D15" s="554" t="s">
        <v>432</v>
      </c>
      <c r="E15" s="509" t="s">
        <v>442</v>
      </c>
      <c r="F15" s="555">
        <f>'R.FILE GOC'!H46</f>
        <v>0.9</v>
      </c>
      <c r="G15" s="570" t="s">
        <v>605</v>
      </c>
      <c r="H15" s="562">
        <f>'R.FILE GOC'!K46</f>
        <v>0.12339999999999998</v>
      </c>
      <c r="I15" s="555" t="s">
        <v>682</v>
      </c>
      <c r="J15" s="555">
        <f>'R.FILE GOC'!N46</f>
        <v>0.95</v>
      </c>
      <c r="K15" s="570" t="s">
        <v>605</v>
      </c>
      <c r="L15" s="562">
        <f>'R.FILE GOC'!Q46</f>
        <v>6.1700000000000053E-2</v>
      </c>
      <c r="M15" s="555" t="s">
        <v>682</v>
      </c>
      <c r="N15" s="555">
        <f>'R.FILE GOC'!T46</f>
        <v>0.9</v>
      </c>
      <c r="O15" s="570" t="s">
        <v>605</v>
      </c>
      <c r="P15" s="562">
        <f>'R.FILE GOC'!W46</f>
        <v>0.12339999999999998</v>
      </c>
      <c r="Q15" s="555" t="s">
        <v>682</v>
      </c>
      <c r="R15" s="563" t="s">
        <v>666</v>
      </c>
    </row>
    <row r="16" spans="1:18" s="564" customFormat="1" ht="29.25" customHeight="1">
      <c r="A16" s="552">
        <v>10</v>
      </c>
      <c r="B16" s="3413"/>
      <c r="C16" s="572"/>
      <c r="D16" s="565" t="s">
        <v>687</v>
      </c>
      <c r="E16" s="1018" t="s">
        <v>977</v>
      </c>
      <c r="F16" s="555">
        <f>'R.FILE GOC'!H47</f>
        <v>9</v>
      </c>
      <c r="G16" s="515" t="s">
        <v>605</v>
      </c>
      <c r="H16" s="516"/>
      <c r="I16" s="217" t="s">
        <v>682</v>
      </c>
      <c r="J16" s="555">
        <f>'R.FILE GOC'!N47</f>
        <v>10</v>
      </c>
      <c r="K16" s="515" t="s">
        <v>605</v>
      </c>
      <c r="L16" s="516"/>
      <c r="M16" s="217" t="s">
        <v>682</v>
      </c>
      <c r="N16" s="555">
        <f>'R.FILE GOC'!T47</f>
        <v>10</v>
      </c>
      <c r="O16" s="515" t="s">
        <v>605</v>
      </c>
      <c r="P16" s="516"/>
      <c r="Q16" s="217" t="s">
        <v>682</v>
      </c>
      <c r="R16" s="217"/>
    </row>
    <row r="17" spans="1:18" s="559" customFormat="1" ht="29.25" customHeight="1">
      <c r="A17" s="3415" t="s">
        <v>668</v>
      </c>
      <c r="B17" s="3415"/>
      <c r="C17" s="3415"/>
      <c r="D17" s="3415"/>
      <c r="E17" s="3415"/>
      <c r="F17" s="3415"/>
      <c r="G17" s="3415"/>
      <c r="H17" s="3415"/>
      <c r="I17" s="3415"/>
      <c r="J17" s="3415"/>
      <c r="K17" s="3415"/>
      <c r="L17" s="3415"/>
      <c r="M17" s="3415"/>
      <c r="N17" s="3415"/>
      <c r="O17" s="3415"/>
      <c r="P17" s="3415"/>
      <c r="Q17" s="3415"/>
      <c r="R17" s="3415"/>
    </row>
    <row r="18" spans="1:18" s="559" customFormat="1" ht="29.25" customHeight="1">
      <c r="A18" s="217" t="s">
        <v>688</v>
      </c>
      <c r="B18" s="566" t="s">
        <v>670</v>
      </c>
      <c r="C18" s="566"/>
      <c r="D18" s="566" t="s">
        <v>671</v>
      </c>
      <c r="E18" s="566" t="s">
        <v>672</v>
      </c>
      <c r="F18" s="3404" t="s">
        <v>920</v>
      </c>
      <c r="G18" s="3404"/>
      <c r="H18" s="3404"/>
      <c r="I18" s="3404"/>
      <c r="J18" s="3404"/>
      <c r="K18" s="3404"/>
      <c r="L18" s="3404"/>
      <c r="M18" s="3404"/>
      <c r="N18" s="3404"/>
      <c r="O18" s="3404"/>
      <c r="P18" s="3404"/>
      <c r="Q18" s="3404"/>
      <c r="R18" s="1200"/>
    </row>
    <row r="19" spans="1:18" s="559" customFormat="1" ht="29.25" customHeight="1">
      <c r="A19" s="217">
        <v>1</v>
      </c>
      <c r="B19" s="869" t="s">
        <v>867</v>
      </c>
      <c r="C19" s="566"/>
      <c r="D19" s="567" t="s">
        <v>674</v>
      </c>
      <c r="E19" s="872" t="s">
        <v>675</v>
      </c>
      <c r="F19" s="3409">
        <f>'R.FILE GOC'!K50</f>
        <v>60</v>
      </c>
      <c r="G19" s="3409"/>
      <c r="H19" s="3409"/>
      <c r="I19" s="3409"/>
      <c r="J19" s="3409">
        <f>'R.FILE GOC'!Q50</f>
        <v>60</v>
      </c>
      <c r="K19" s="3409"/>
      <c r="L19" s="3409"/>
      <c r="M19" s="3409"/>
      <c r="N19" s="3409">
        <f>'R.FILE GOC'!W50</f>
        <v>59</v>
      </c>
      <c r="O19" s="3409"/>
      <c r="P19" s="3409"/>
      <c r="Q19" s="3409"/>
      <c r="R19" s="516"/>
    </row>
    <row r="20" spans="1:18" s="559" customFormat="1" ht="29.25" customHeight="1">
      <c r="A20" s="217">
        <v>2</v>
      </c>
      <c r="B20" s="869" t="s">
        <v>868</v>
      </c>
      <c r="C20" s="566"/>
      <c r="D20" s="567" t="s">
        <v>674</v>
      </c>
      <c r="E20" s="509" t="s">
        <v>677</v>
      </c>
      <c r="F20" s="3409">
        <f>'R.FILE GOC'!K51</f>
        <v>69</v>
      </c>
      <c r="G20" s="3409"/>
      <c r="H20" s="3409"/>
      <c r="I20" s="3409"/>
      <c r="J20" s="3409">
        <f>'R.FILE GOC'!Q51</f>
        <v>69</v>
      </c>
      <c r="K20" s="3409"/>
      <c r="L20" s="3409"/>
      <c r="M20" s="3409"/>
      <c r="N20" s="3409">
        <f>'R.FILE GOC'!W51</f>
        <v>70</v>
      </c>
      <c r="O20" s="3409"/>
      <c r="P20" s="3409"/>
      <c r="Q20" s="3409"/>
      <c r="R20" s="516"/>
    </row>
    <row r="21" spans="1:18" s="559" customFormat="1" ht="29.25" customHeight="1">
      <c r="A21" s="217">
        <v>3</v>
      </c>
      <c r="B21" s="566" t="s">
        <v>678</v>
      </c>
      <c r="C21" s="566"/>
      <c r="D21" s="567" t="s">
        <v>674</v>
      </c>
      <c r="E21" s="509" t="s">
        <v>679</v>
      </c>
      <c r="F21" s="3409">
        <f>'R.FILE GOC'!K52</f>
        <v>84</v>
      </c>
      <c r="G21" s="3409"/>
      <c r="H21" s="3409"/>
      <c r="I21" s="3409"/>
      <c r="J21" s="3409">
        <v>82</v>
      </c>
      <c r="K21" s="3409"/>
      <c r="L21" s="3409"/>
      <c r="M21" s="3409"/>
      <c r="N21" s="3409">
        <f>'R.FILE GOC'!W52</f>
        <v>85</v>
      </c>
      <c r="O21" s="3409"/>
      <c r="P21" s="3409"/>
      <c r="Q21" s="3409"/>
      <c r="R21" s="516"/>
    </row>
    <row r="22" spans="1:18" ht="27.75" customHeight="1">
      <c r="A22" s="3352" t="s">
        <v>589</v>
      </c>
      <c r="B22" s="3352"/>
      <c r="C22" s="3352"/>
      <c r="D22" s="3352"/>
      <c r="E22" s="3352"/>
      <c r="F22" s="3352"/>
      <c r="G22" s="3352"/>
      <c r="H22" s="3352"/>
      <c r="I22" s="3352"/>
      <c r="J22" s="3352"/>
      <c r="K22" s="3352"/>
      <c r="L22" s="3352"/>
      <c r="M22" s="3352"/>
      <c r="N22" s="494"/>
      <c r="O22" s="494"/>
      <c r="P22" s="494"/>
      <c r="Q22" s="494"/>
      <c r="R22" s="494"/>
    </row>
    <row r="23" spans="1:18" ht="36.75" customHeight="1">
      <c r="A23" s="3353" t="s">
        <v>862</v>
      </c>
      <c r="B23" s="3353"/>
      <c r="C23" s="3353"/>
      <c r="D23" s="3353"/>
      <c r="E23" s="3353"/>
      <c r="F23" s="3353"/>
      <c r="G23" s="3353"/>
      <c r="H23" s="3353"/>
      <c r="I23" s="3353"/>
      <c r="J23" s="3353"/>
      <c r="K23" s="3353"/>
      <c r="L23" s="3353"/>
      <c r="M23" s="3353"/>
      <c r="N23" s="497"/>
      <c r="O23" s="497"/>
      <c r="P23" s="497"/>
      <c r="Q23" s="497"/>
      <c r="R23" s="497"/>
    </row>
    <row r="24" spans="1:18" ht="27" customHeight="1">
      <c r="A24" s="498"/>
      <c r="B24" s="499" t="s">
        <v>680</v>
      </c>
      <c r="C24" s="499"/>
      <c r="D24" s="500"/>
      <c r="E24" s="500"/>
      <c r="F24" s="500"/>
      <c r="G24" s="500"/>
      <c r="H24" s="500"/>
      <c r="I24" s="500"/>
      <c r="J24" s="3408"/>
      <c r="K24" s="3408"/>
      <c r="L24" s="3408"/>
      <c r="M24" s="548"/>
      <c r="N24" s="3408"/>
      <c r="O24" s="3408"/>
      <c r="P24" s="3408"/>
      <c r="Q24" s="548"/>
      <c r="R24" s="548"/>
    </row>
    <row r="25" spans="1:18" s="550" customFormat="1" ht="42" customHeight="1">
      <c r="A25" s="3401" t="s">
        <v>681</v>
      </c>
      <c r="B25" s="3404" t="s">
        <v>645</v>
      </c>
      <c r="C25" s="566"/>
      <c r="D25" s="3404" t="s">
        <v>646</v>
      </c>
      <c r="E25" s="3406" t="s">
        <v>647</v>
      </c>
      <c r="F25" s="3378" t="s">
        <v>924</v>
      </c>
      <c r="G25" s="3379"/>
      <c r="H25" s="3379"/>
      <c r="I25" s="3379"/>
      <c r="J25" s="3379"/>
      <c r="K25" s="3379"/>
      <c r="L25" s="3379"/>
      <c r="M25" s="3379"/>
      <c r="N25" s="3379"/>
      <c r="O25" s="3379"/>
      <c r="P25" s="3379"/>
      <c r="Q25" s="3380"/>
      <c r="R25" s="2961" t="s">
        <v>648</v>
      </c>
    </row>
    <row r="26" spans="1:18" s="550" customFormat="1" ht="21" customHeight="1">
      <c r="A26" s="3402"/>
      <c r="B26" s="3404"/>
      <c r="C26" s="566"/>
      <c r="D26" s="3404"/>
      <c r="E26" s="3406"/>
      <c r="F26" s="3363">
        <v>0.875</v>
      </c>
      <c r="G26" s="3364"/>
      <c r="H26" s="3364"/>
      <c r="I26" s="3364"/>
      <c r="J26" s="3365">
        <v>8.3333333333333329E-2</v>
      </c>
      <c r="K26" s="3366"/>
      <c r="L26" s="3366"/>
      <c r="M26" s="3367"/>
      <c r="N26" s="3365">
        <v>0.16666666666666666</v>
      </c>
      <c r="O26" s="3366"/>
      <c r="P26" s="3366"/>
      <c r="Q26" s="3367"/>
      <c r="R26" s="2962"/>
    </row>
    <row r="27" spans="1:18" s="550" customFormat="1" ht="40.5" customHeight="1">
      <c r="A27" s="3403"/>
      <c r="B27" s="3405"/>
      <c r="C27" s="217"/>
      <c r="D27" s="3405"/>
      <c r="E27" s="3407"/>
      <c r="F27" s="551" t="s">
        <v>649</v>
      </c>
      <c r="G27" s="3242" t="s">
        <v>650</v>
      </c>
      <c r="H27" s="3247"/>
      <c r="I27" s="3410"/>
      <c r="J27" s="551" t="s">
        <v>649</v>
      </c>
      <c r="K27" s="3242" t="s">
        <v>650</v>
      </c>
      <c r="L27" s="3247"/>
      <c r="M27" s="3410"/>
      <c r="N27" s="551" t="s">
        <v>649</v>
      </c>
      <c r="O27" s="3242" t="s">
        <v>650</v>
      </c>
      <c r="P27" s="3247"/>
      <c r="Q27" s="3410"/>
      <c r="R27" s="574" t="s">
        <v>690</v>
      </c>
    </row>
    <row r="28" spans="1:18" s="559" customFormat="1" ht="30" customHeight="1">
      <c r="A28" s="552">
        <v>1</v>
      </c>
      <c r="B28" s="553" t="s">
        <v>860</v>
      </c>
      <c r="C28" s="868" t="s">
        <v>653</v>
      </c>
      <c r="D28" s="868" t="s">
        <v>653</v>
      </c>
      <c r="E28" s="872" t="s">
        <v>451</v>
      </c>
      <c r="F28" s="510">
        <f>'R.FILE GOC'!Z41</f>
        <v>45</v>
      </c>
      <c r="G28" s="511" t="s">
        <v>864</v>
      </c>
      <c r="H28" s="512">
        <f>'R.FILE GOC'!AC41</f>
        <v>0</v>
      </c>
      <c r="I28" s="866" t="s">
        <v>865</v>
      </c>
      <c r="J28" s="510">
        <f>'R.FILE GOC'!AF41</f>
        <v>40</v>
      </c>
      <c r="K28" s="511" t="s">
        <v>864</v>
      </c>
      <c r="L28" s="512">
        <f>'R.FILE GOC'!AI41</f>
        <v>0</v>
      </c>
      <c r="M28" s="866" t="s">
        <v>865</v>
      </c>
      <c r="N28" s="510">
        <f>'R.FILE GOC'!AL41</f>
        <v>40</v>
      </c>
      <c r="O28" s="511" t="s">
        <v>864</v>
      </c>
      <c r="P28" s="512">
        <f>'R.FILE GOC'!AO41</f>
        <v>0</v>
      </c>
      <c r="Q28" s="870" t="s">
        <v>655</v>
      </c>
      <c r="R28" s="574" t="s">
        <v>696</v>
      </c>
    </row>
    <row r="29" spans="1:18" s="559" customFormat="1" ht="23.25" customHeight="1">
      <c r="A29" s="552">
        <v>2</v>
      </c>
      <c r="B29" s="867" t="s">
        <v>657</v>
      </c>
      <c r="C29" s="557" t="s">
        <v>658</v>
      </c>
      <c r="D29" s="557" t="s">
        <v>658</v>
      </c>
      <c r="E29" s="871" t="s">
        <v>427</v>
      </c>
      <c r="F29" s="873">
        <f>'R.FILE GOC'!Z42</f>
        <v>10.584999999999999</v>
      </c>
      <c r="G29" s="511" t="s">
        <v>864</v>
      </c>
      <c r="H29" s="512">
        <f>'R.FILE GOC'!AC42</f>
        <v>155.89296875000008</v>
      </c>
      <c r="I29" s="866" t="s">
        <v>866</v>
      </c>
      <c r="J29" s="873">
        <f>'R.FILE GOC'!AF42</f>
        <v>12.3</v>
      </c>
      <c r="K29" s="511" t="s">
        <v>864</v>
      </c>
      <c r="L29" s="512">
        <f>'R.FILE GOC'!AI42</f>
        <v>16.281249999999943</v>
      </c>
      <c r="M29" s="866" t="s">
        <v>866</v>
      </c>
      <c r="N29" s="873">
        <f>'R.FILE GOC'!AL42</f>
        <v>13</v>
      </c>
      <c r="O29" s="511" t="s">
        <v>864</v>
      </c>
      <c r="P29" s="512">
        <f>'R.FILE GOC'!AO42</f>
        <v>0</v>
      </c>
      <c r="Q29" s="217" t="s">
        <v>684</v>
      </c>
      <c r="R29" s="574"/>
    </row>
    <row r="30" spans="1:18" s="559" customFormat="1" ht="30" customHeight="1">
      <c r="A30" s="552">
        <v>3</v>
      </c>
      <c r="B30" s="3411" t="s">
        <v>692</v>
      </c>
      <c r="C30" s="556"/>
      <c r="D30" s="3414" t="s">
        <v>432</v>
      </c>
      <c r="E30" s="509" t="s">
        <v>609</v>
      </c>
      <c r="F30" s="555">
        <f>'R.FILE GOC'!Z43</f>
        <v>50</v>
      </c>
      <c r="G30" s="515" t="s">
        <v>605</v>
      </c>
      <c r="H30" s="516">
        <f>'R.FILE GOC'!AC43</f>
        <v>0</v>
      </c>
      <c r="I30" s="217" t="s">
        <v>682</v>
      </c>
      <c r="J30" s="555">
        <f>'R.FILE GOC'!AF43</f>
        <v>45</v>
      </c>
      <c r="K30" s="515" t="s">
        <v>605</v>
      </c>
      <c r="L30" s="516">
        <f>'R.FILE GOC'!AI43</f>
        <v>24.675000000000001</v>
      </c>
      <c r="M30" s="217" t="s">
        <v>682</v>
      </c>
      <c r="N30" s="555">
        <f>'R.FILE GOC'!AL43</f>
        <v>48</v>
      </c>
      <c r="O30" s="515" t="s">
        <v>605</v>
      </c>
      <c r="P30" s="516">
        <f>'R.FILE GOC'!AO43</f>
        <v>9.8699999999999992</v>
      </c>
      <c r="Q30" s="217" t="s">
        <v>682</v>
      </c>
      <c r="R30" s="574" t="s">
        <v>694</v>
      </c>
    </row>
    <row r="31" spans="1:18" s="559" customFormat="1" ht="30" customHeight="1">
      <c r="A31" s="552">
        <v>4</v>
      </c>
      <c r="B31" s="3412"/>
      <c r="C31" s="571"/>
      <c r="D31" s="3414"/>
      <c r="E31" s="509" t="s">
        <v>613</v>
      </c>
      <c r="F31" s="555">
        <f>'R.FILE GOC'!Z44</f>
        <v>6.9</v>
      </c>
      <c r="G31" s="515" t="s">
        <v>605</v>
      </c>
      <c r="H31" s="516">
        <f>'R.FILE GOC'!AC44</f>
        <v>0</v>
      </c>
      <c r="I31" s="217" t="s">
        <v>682</v>
      </c>
      <c r="J31" s="555">
        <f>'R.FILE GOC'!AF44</f>
        <v>7</v>
      </c>
      <c r="K31" s="515" t="s">
        <v>605</v>
      </c>
      <c r="L31" s="516">
        <f>'R.FILE GOC'!AI44</f>
        <v>0</v>
      </c>
      <c r="M31" s="217" t="s">
        <v>682</v>
      </c>
      <c r="N31" s="555">
        <f>'R.FILE GOC'!AL44</f>
        <v>7.2</v>
      </c>
      <c r="O31" s="515" t="s">
        <v>605</v>
      </c>
      <c r="P31" s="516">
        <f>'R.FILE GOC'!AO44</f>
        <v>0</v>
      </c>
      <c r="Q31" s="217" t="s">
        <v>682</v>
      </c>
      <c r="R31" s="575"/>
    </row>
    <row r="32" spans="1:18" s="559" customFormat="1" ht="30" customHeight="1">
      <c r="A32" s="552">
        <v>5</v>
      </c>
      <c r="B32" s="3413"/>
      <c r="C32" s="572"/>
      <c r="D32" s="3414"/>
      <c r="E32" s="509" t="s">
        <v>615</v>
      </c>
      <c r="F32" s="68">
        <f>'R.FILE GOC'!Z45</f>
        <v>0.3</v>
      </c>
      <c r="G32" s="515" t="s">
        <v>605</v>
      </c>
      <c r="H32" s="560">
        <f>'R.FILE GOC'!AC45</f>
        <v>0</v>
      </c>
      <c r="I32" s="68" t="s">
        <v>682</v>
      </c>
      <c r="J32" s="68">
        <f>'R.FILE GOC'!AF45</f>
        <v>0.32</v>
      </c>
      <c r="K32" s="515" t="s">
        <v>605</v>
      </c>
      <c r="L32" s="560">
        <f>'R.FILE GOC'!AI45</f>
        <v>0</v>
      </c>
      <c r="M32" s="68" t="s">
        <v>682</v>
      </c>
      <c r="N32" s="68">
        <f>'R.FILE GOC'!AL45</f>
        <v>0.36</v>
      </c>
      <c r="O32" s="515" t="s">
        <v>605</v>
      </c>
      <c r="P32" s="560">
        <f>'R.FILE GOC'!AO45</f>
        <v>0</v>
      </c>
      <c r="Q32" s="68" t="s">
        <v>682</v>
      </c>
      <c r="R32" s="574" t="s">
        <v>693</v>
      </c>
    </row>
    <row r="33" spans="1:18" s="559" customFormat="1" ht="30" hidden="1" customHeight="1">
      <c r="A33" s="552">
        <v>6</v>
      </c>
      <c r="B33" s="3411" t="s">
        <v>695</v>
      </c>
      <c r="C33" s="556"/>
      <c r="D33" s="3414" t="s">
        <v>432</v>
      </c>
      <c r="E33" s="509" t="s">
        <v>609</v>
      </c>
      <c r="F33" s="555" t="e">
        <f>'R.FILE GOC'!#REF!</f>
        <v>#REF!</v>
      </c>
      <c r="G33" s="515" t="s">
        <v>605</v>
      </c>
      <c r="H33" s="516" t="e">
        <f>'R.FILE GOC'!#REF!</f>
        <v>#REF!</v>
      </c>
      <c r="I33" s="217" t="s">
        <v>682</v>
      </c>
      <c r="J33" s="555" t="e">
        <f>'R.FILE GOC'!#REF!</f>
        <v>#REF!</v>
      </c>
      <c r="K33" s="515" t="s">
        <v>605</v>
      </c>
      <c r="L33" s="516" t="e">
        <f>'R.FILE GOC'!#REF!</f>
        <v>#REF!</v>
      </c>
      <c r="M33" s="217" t="s">
        <v>682</v>
      </c>
      <c r="N33" s="555" t="e">
        <f>'R.FILE GOC'!#REF!</f>
        <v>#REF!</v>
      </c>
      <c r="O33" s="515" t="s">
        <v>605</v>
      </c>
      <c r="P33" s="516" t="e">
        <f>'R.FILE GOC'!#REF!</f>
        <v>#REF!</v>
      </c>
      <c r="Q33" s="217" t="s">
        <v>682</v>
      </c>
      <c r="R33" s="574" t="s">
        <v>694</v>
      </c>
    </row>
    <row r="34" spans="1:18" s="559" customFormat="1" ht="30" hidden="1" customHeight="1">
      <c r="A34" s="552">
        <v>7</v>
      </c>
      <c r="B34" s="3412"/>
      <c r="C34" s="571"/>
      <c r="D34" s="3414"/>
      <c r="E34" s="509" t="s">
        <v>613</v>
      </c>
      <c r="F34" s="555" t="e">
        <f>'R.FILE GOC'!#REF!</f>
        <v>#REF!</v>
      </c>
      <c r="G34" s="515" t="s">
        <v>605</v>
      </c>
      <c r="H34" s="516" t="e">
        <f>'R.FILE GOC'!#REF!</f>
        <v>#REF!</v>
      </c>
      <c r="I34" s="217" t="s">
        <v>682</v>
      </c>
      <c r="J34" s="555" t="e">
        <f>'R.FILE GOC'!#REF!</f>
        <v>#REF!</v>
      </c>
      <c r="K34" s="515" t="s">
        <v>605</v>
      </c>
      <c r="L34" s="516" t="e">
        <f>'R.FILE GOC'!#REF!</f>
        <v>#REF!</v>
      </c>
      <c r="M34" s="217" t="s">
        <v>682</v>
      </c>
      <c r="N34" s="555" t="e">
        <f>'R.FILE GOC'!#REF!</f>
        <v>#REF!</v>
      </c>
      <c r="O34" s="515" t="s">
        <v>605</v>
      </c>
      <c r="P34" s="516" t="e">
        <f>'R.FILE GOC'!#REF!</f>
        <v>#REF!</v>
      </c>
      <c r="Q34" s="217" t="s">
        <v>682</v>
      </c>
      <c r="R34" s="574"/>
    </row>
    <row r="35" spans="1:18" s="559" customFormat="1" ht="30" hidden="1" customHeight="1">
      <c r="A35" s="552">
        <v>8</v>
      </c>
      <c r="B35" s="3413"/>
      <c r="C35" s="572"/>
      <c r="D35" s="3414"/>
      <c r="E35" s="509" t="s">
        <v>615</v>
      </c>
      <c r="F35" s="68" t="e">
        <f>'R.FILE GOC'!#REF!</f>
        <v>#REF!</v>
      </c>
      <c r="G35" s="515" t="s">
        <v>605</v>
      </c>
      <c r="H35" s="560" t="e">
        <f>'R.FILE GOC'!#REF!</f>
        <v>#REF!</v>
      </c>
      <c r="I35" s="68" t="s">
        <v>682</v>
      </c>
      <c r="J35" s="68" t="e">
        <f>'R.FILE GOC'!#REF!</f>
        <v>#REF!</v>
      </c>
      <c r="K35" s="515" t="s">
        <v>605</v>
      </c>
      <c r="L35" s="560" t="e">
        <f>'R.FILE GOC'!#REF!</f>
        <v>#REF!</v>
      </c>
      <c r="M35" s="68" t="s">
        <v>682</v>
      </c>
      <c r="N35" s="68" t="e">
        <f>'R.FILE GOC'!#REF!</f>
        <v>#REF!</v>
      </c>
      <c r="O35" s="515" t="s">
        <v>605</v>
      </c>
      <c r="P35" s="560" t="e">
        <f>'R.FILE GOC'!#REF!</f>
        <v>#REF!</v>
      </c>
      <c r="Q35" s="68" t="s">
        <v>682</v>
      </c>
      <c r="R35" s="574" t="s">
        <v>693</v>
      </c>
    </row>
    <row r="36" spans="1:18" s="564" customFormat="1" ht="30" customHeight="1">
      <c r="A36" s="552">
        <v>9</v>
      </c>
      <c r="B36" s="3411" t="s">
        <v>665</v>
      </c>
      <c r="C36" s="556"/>
      <c r="D36" s="554" t="s">
        <v>432</v>
      </c>
      <c r="E36" s="509" t="s">
        <v>442</v>
      </c>
      <c r="F36" s="555">
        <f>'R.FILE GOC'!Z46</f>
        <v>0.95</v>
      </c>
      <c r="G36" s="570" t="s">
        <v>605</v>
      </c>
      <c r="H36" s="562">
        <f>'R.FILE GOC'!AC46</f>
        <v>6.1700000000000053E-2</v>
      </c>
      <c r="I36" s="555" t="s">
        <v>682</v>
      </c>
      <c r="J36" s="555">
        <f>'R.FILE GOC'!AF46</f>
        <v>0.95</v>
      </c>
      <c r="K36" s="570" t="s">
        <v>605</v>
      </c>
      <c r="L36" s="562">
        <f>'R.FILE GOC'!AI46</f>
        <v>6.1700000000000053E-2</v>
      </c>
      <c r="M36" s="555" t="s">
        <v>682</v>
      </c>
      <c r="N36" s="555">
        <f>'R.FILE GOC'!AL46</f>
        <v>0.9</v>
      </c>
      <c r="O36" s="570" t="s">
        <v>605</v>
      </c>
      <c r="P36" s="562">
        <f>'R.FILE GOC'!AO46</f>
        <v>0.12339999999999998</v>
      </c>
      <c r="Q36" s="555" t="s">
        <v>682</v>
      </c>
      <c r="R36" s="563" t="s">
        <v>666</v>
      </c>
    </row>
    <row r="37" spans="1:18" s="564" customFormat="1" ht="30" customHeight="1">
      <c r="A37" s="552">
        <v>10</v>
      </c>
      <c r="B37" s="3413"/>
      <c r="C37" s="572"/>
      <c r="D37" s="565" t="s">
        <v>687</v>
      </c>
      <c r="E37" s="1018" t="s">
        <v>977</v>
      </c>
      <c r="F37" s="555">
        <f>'R.FILE GOC'!Z47</f>
        <v>9.5</v>
      </c>
      <c r="G37" s="515" t="s">
        <v>605</v>
      </c>
      <c r="H37" s="516"/>
      <c r="I37" s="217" t="s">
        <v>682</v>
      </c>
      <c r="J37" s="555">
        <f>'R.FILE GOC'!AF47</f>
        <v>10</v>
      </c>
      <c r="K37" s="515" t="s">
        <v>605</v>
      </c>
      <c r="L37" s="516"/>
      <c r="M37" s="217" t="s">
        <v>682</v>
      </c>
      <c r="N37" s="555">
        <f>'R.FILE GOC'!AL47</f>
        <v>9</v>
      </c>
      <c r="O37" s="515" t="s">
        <v>605</v>
      </c>
      <c r="P37" s="516"/>
      <c r="Q37" s="217" t="s">
        <v>682</v>
      </c>
      <c r="R37" s="217"/>
    </row>
    <row r="38" spans="1:18" s="559" customFormat="1" ht="30" customHeight="1">
      <c r="A38" s="3415" t="s">
        <v>668</v>
      </c>
      <c r="B38" s="3415"/>
      <c r="C38" s="3415"/>
      <c r="D38" s="3415"/>
      <c r="E38" s="3415"/>
      <c r="F38" s="3415"/>
      <c r="G38" s="3415"/>
      <c r="H38" s="3415"/>
      <c r="I38" s="3415"/>
      <c r="J38" s="3415"/>
      <c r="K38" s="3415"/>
      <c r="L38" s="3415"/>
      <c r="M38" s="3415"/>
      <c r="N38" s="3415"/>
      <c r="O38" s="3415"/>
      <c r="P38" s="3415"/>
      <c r="Q38" s="3415"/>
      <c r="R38" s="3415"/>
    </row>
    <row r="39" spans="1:18" s="559" customFormat="1" ht="30" customHeight="1">
      <c r="A39" s="217" t="s">
        <v>688</v>
      </c>
      <c r="B39" s="566" t="s">
        <v>670</v>
      </c>
      <c r="C39" s="566"/>
      <c r="D39" s="566" t="s">
        <v>671</v>
      </c>
      <c r="E39" s="566" t="s">
        <v>672</v>
      </c>
      <c r="F39" s="3404" t="s">
        <v>920</v>
      </c>
      <c r="G39" s="3404"/>
      <c r="H39" s="3404"/>
      <c r="I39" s="3404"/>
      <c r="J39" s="3404"/>
      <c r="K39" s="3404"/>
      <c r="L39" s="3404"/>
      <c r="M39" s="3404"/>
      <c r="N39" s="3404"/>
      <c r="O39" s="3404"/>
      <c r="P39" s="3404"/>
      <c r="Q39" s="3404"/>
      <c r="R39" s="1200"/>
    </row>
    <row r="40" spans="1:18" s="559" customFormat="1" ht="30" customHeight="1">
      <c r="A40" s="217">
        <v>1</v>
      </c>
      <c r="B40" s="869" t="s">
        <v>867</v>
      </c>
      <c r="C40" s="566"/>
      <c r="D40" s="567" t="s">
        <v>674</v>
      </c>
      <c r="E40" s="872" t="s">
        <v>675</v>
      </c>
      <c r="F40" s="3409">
        <f>'R.FILE GOC'!AC50</f>
        <v>60</v>
      </c>
      <c r="G40" s="3409"/>
      <c r="H40" s="3409"/>
      <c r="I40" s="3409"/>
      <c r="J40" s="3409">
        <f>'R.FILE GOC'!AI50</f>
        <v>58</v>
      </c>
      <c r="K40" s="3409"/>
      <c r="L40" s="3409"/>
      <c r="M40" s="3409"/>
      <c r="N40" s="3409">
        <v>60</v>
      </c>
      <c r="O40" s="3409"/>
      <c r="P40" s="3409"/>
      <c r="Q40" s="3409"/>
      <c r="R40" s="281"/>
    </row>
    <row r="41" spans="1:18" s="559" customFormat="1" ht="30" customHeight="1">
      <c r="A41" s="217">
        <v>2</v>
      </c>
      <c r="B41" s="869" t="s">
        <v>868</v>
      </c>
      <c r="C41" s="566"/>
      <c r="D41" s="567" t="s">
        <v>674</v>
      </c>
      <c r="E41" s="509" t="s">
        <v>677</v>
      </c>
      <c r="F41" s="3391">
        <f>'R.FILE GOC'!AC51</f>
        <v>70</v>
      </c>
      <c r="G41" s="3392"/>
      <c r="H41" s="3392"/>
      <c r="I41" s="3392"/>
      <c r="J41" s="3391">
        <f>'R.FILE GOC'!AI51</f>
        <v>70</v>
      </c>
      <c r="K41" s="3392"/>
      <c r="L41" s="3392"/>
      <c r="M41" s="3392"/>
      <c r="N41" s="3391">
        <v>70</v>
      </c>
      <c r="O41" s="3392"/>
      <c r="P41" s="3392"/>
      <c r="Q41" s="3392"/>
      <c r="R41" s="68"/>
    </row>
    <row r="42" spans="1:18" s="559" customFormat="1" ht="30" customHeight="1">
      <c r="A42" s="217">
        <v>3</v>
      </c>
      <c r="B42" s="566" t="s">
        <v>678</v>
      </c>
      <c r="C42" s="566"/>
      <c r="D42" s="567" t="s">
        <v>674</v>
      </c>
      <c r="E42" s="509" t="s">
        <v>679</v>
      </c>
      <c r="F42" s="3391">
        <f>'R.FILE GOC'!AC52</f>
        <v>81</v>
      </c>
      <c r="G42" s="3392"/>
      <c r="H42" s="3392"/>
      <c r="I42" s="3392"/>
      <c r="J42" s="3391">
        <v>80</v>
      </c>
      <c r="K42" s="3392"/>
      <c r="L42" s="3392"/>
      <c r="M42" s="3392"/>
      <c r="N42" s="3391">
        <v>82</v>
      </c>
      <c r="O42" s="3392"/>
      <c r="P42" s="3392"/>
      <c r="Q42" s="3392"/>
      <c r="R42" s="281"/>
    </row>
  </sheetData>
  <sheetProtection selectLockedCells="1"/>
  <mergeCells count="65">
    <mergeCell ref="F41:I41"/>
    <mergeCell ref="J41:M41"/>
    <mergeCell ref="N41:Q41"/>
    <mergeCell ref="F42:I42"/>
    <mergeCell ref="J42:M42"/>
    <mergeCell ref="N42:Q42"/>
    <mergeCell ref="A38:R38"/>
    <mergeCell ref="F39:Q39"/>
    <mergeCell ref="F40:I40"/>
    <mergeCell ref="J40:M40"/>
    <mergeCell ref="N40:Q40"/>
    <mergeCell ref="B30:B32"/>
    <mergeCell ref="D30:D32"/>
    <mergeCell ref="B33:B35"/>
    <mergeCell ref="D33:D35"/>
    <mergeCell ref="B36:B37"/>
    <mergeCell ref="A25:A27"/>
    <mergeCell ref="B25:B27"/>
    <mergeCell ref="D25:D27"/>
    <mergeCell ref="E25:E27"/>
    <mergeCell ref="F25:Q25"/>
    <mergeCell ref="K27:M27"/>
    <mergeCell ref="O27:Q27"/>
    <mergeCell ref="R25:R26"/>
    <mergeCell ref="F26:I26"/>
    <mergeCell ref="J26:M26"/>
    <mergeCell ref="N26:Q26"/>
    <mergeCell ref="G27:I27"/>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A1:M1"/>
    <mergeCell ref="A2:M2"/>
    <mergeCell ref="P2:Q2"/>
    <mergeCell ref="J3:L3"/>
    <mergeCell ref="P3:Q3"/>
  </mergeCells>
  <phoneticPr fontId="7" type="noConversion"/>
  <conditionalFormatting sqref="F20:Q20 F41:I41">
    <cfRule type="expression" dxfId="723" priority="65">
      <formula>F20&lt;65</formula>
    </cfRule>
    <cfRule type="expression" dxfId="722" priority="66">
      <formula>F20&gt;85</formula>
    </cfRule>
  </conditionalFormatting>
  <conditionalFormatting sqref="F42:I42 F21:Q21">
    <cfRule type="expression" dxfId="721" priority="63">
      <formula>F21&lt;80</formula>
    </cfRule>
    <cfRule type="expression" dxfId="720" priority="64">
      <formula>F21&gt;90</formula>
    </cfRule>
  </conditionalFormatting>
  <conditionalFormatting sqref="J41:Q41">
    <cfRule type="expression" dxfId="719" priority="61">
      <formula>J41&lt;65</formula>
    </cfRule>
    <cfRule type="expression" dxfId="718" priority="62">
      <formula>J41&gt;85</formula>
    </cfRule>
  </conditionalFormatting>
  <conditionalFormatting sqref="J42:Q42">
    <cfRule type="expression" dxfId="717" priority="59">
      <formula>J42&lt;80</formula>
    </cfRule>
    <cfRule type="expression" dxfId="716" priority="60">
      <formula>J42&gt;90</formula>
    </cfRule>
  </conditionalFormatting>
  <conditionalFormatting sqref="F8 J8">
    <cfRule type="expression" dxfId="715" priority="57">
      <formula>F8&lt;10</formula>
    </cfRule>
    <cfRule type="expression" dxfId="714" priority="58">
      <formula>F8&gt;15</formula>
    </cfRule>
  </conditionalFormatting>
  <conditionalFormatting sqref="N8">
    <cfRule type="expression" dxfId="713" priority="55">
      <formula>N8&lt;10</formula>
    </cfRule>
    <cfRule type="expression" dxfId="712" priority="56">
      <formula>N8&gt;15</formula>
    </cfRule>
  </conditionalFormatting>
  <conditionalFormatting sqref="J8">
    <cfRule type="expression" dxfId="711" priority="53">
      <formula>J8&lt;10</formula>
    </cfRule>
    <cfRule type="expression" dxfId="710" priority="54">
      <formula>J8&gt;15</formula>
    </cfRule>
  </conditionalFormatting>
  <conditionalFormatting sqref="N8">
    <cfRule type="expression" dxfId="709" priority="51">
      <formula>N8&lt;10</formula>
    </cfRule>
    <cfRule type="expression" dxfId="708" priority="52">
      <formula>N8&gt;15</formula>
    </cfRule>
  </conditionalFormatting>
  <conditionalFormatting sqref="F8">
    <cfRule type="expression" dxfId="707" priority="49">
      <formula>F8&lt;10</formula>
    </cfRule>
    <cfRule type="expression" dxfId="706" priority="50">
      <formula>F8&gt;15</formula>
    </cfRule>
  </conditionalFormatting>
  <conditionalFormatting sqref="F8 J8">
    <cfRule type="expression" dxfId="705" priority="47">
      <formula>F8&lt;10</formula>
    </cfRule>
    <cfRule type="expression" dxfId="704" priority="48">
      <formula>F8&gt;15</formula>
    </cfRule>
  </conditionalFormatting>
  <conditionalFormatting sqref="N8">
    <cfRule type="expression" dxfId="703" priority="45">
      <formula>N8&lt;10</formula>
    </cfRule>
    <cfRule type="expression" dxfId="702" priority="46">
      <formula>N8&gt;15</formula>
    </cfRule>
  </conditionalFormatting>
  <conditionalFormatting sqref="F8">
    <cfRule type="expression" dxfId="701" priority="43">
      <formula>F8&lt;10</formula>
    </cfRule>
    <cfRule type="expression" dxfId="700" priority="44">
      <formula>F8&gt;15</formula>
    </cfRule>
  </conditionalFormatting>
  <conditionalFormatting sqref="F8">
    <cfRule type="expression" dxfId="699" priority="42">
      <formula>F8&lt;1</formula>
    </cfRule>
  </conditionalFormatting>
  <conditionalFormatting sqref="J8">
    <cfRule type="expression" dxfId="698" priority="40">
      <formula>J8&lt;10</formula>
    </cfRule>
    <cfRule type="expression" dxfId="697" priority="41">
      <formula>J8&gt;15</formula>
    </cfRule>
  </conditionalFormatting>
  <conditionalFormatting sqref="J8">
    <cfRule type="expression" dxfId="696" priority="39">
      <formula>J8&lt;1</formula>
    </cfRule>
  </conditionalFormatting>
  <conditionalFormatting sqref="N8">
    <cfRule type="expression" dxfId="695" priority="37">
      <formula>N8&lt;10</formula>
    </cfRule>
    <cfRule type="expression" dxfId="694" priority="38">
      <formula>N8&gt;15</formula>
    </cfRule>
  </conditionalFormatting>
  <conditionalFormatting sqref="N8">
    <cfRule type="expression" dxfId="693" priority="35">
      <formula>N8&lt;10</formula>
    </cfRule>
    <cfRule type="expression" dxfId="692" priority="36">
      <formula>N8&gt;15</formula>
    </cfRule>
  </conditionalFormatting>
  <conditionalFormatting sqref="N8">
    <cfRule type="expression" dxfId="691" priority="34">
      <formula>N8&lt;1</formula>
    </cfRule>
  </conditionalFormatting>
  <conditionalFormatting sqref="F29 J29">
    <cfRule type="expression" dxfId="690" priority="32">
      <formula>F29&lt;10</formula>
    </cfRule>
    <cfRule type="expression" dxfId="689" priority="33">
      <formula>F29&gt;15</formula>
    </cfRule>
  </conditionalFormatting>
  <conditionalFormatting sqref="N29">
    <cfRule type="expression" dxfId="688" priority="30">
      <formula>N29&lt;10</formula>
    </cfRule>
    <cfRule type="expression" dxfId="687" priority="31">
      <formula>N29&gt;15</formula>
    </cfRule>
  </conditionalFormatting>
  <conditionalFormatting sqref="J29">
    <cfRule type="expression" dxfId="686" priority="28">
      <formula>J29&lt;10</formula>
    </cfRule>
    <cfRule type="expression" dxfId="685" priority="29">
      <formula>J29&gt;15</formula>
    </cfRule>
  </conditionalFormatting>
  <conditionalFormatting sqref="N29">
    <cfRule type="expression" dxfId="684" priority="26">
      <formula>N29&lt;10</formula>
    </cfRule>
    <cfRule type="expression" dxfId="683" priority="27">
      <formula>N29&gt;15</formula>
    </cfRule>
  </conditionalFormatting>
  <conditionalFormatting sqref="F29">
    <cfRule type="expression" dxfId="682" priority="24">
      <formula>F29&lt;10</formula>
    </cfRule>
    <cfRule type="expression" dxfId="681" priority="25">
      <formula>F29&gt;15</formula>
    </cfRule>
  </conditionalFormatting>
  <conditionalFormatting sqref="F29 J29">
    <cfRule type="expression" dxfId="680" priority="22">
      <formula>F29&lt;10</formula>
    </cfRule>
    <cfRule type="expression" dxfId="679" priority="23">
      <formula>F29&gt;15</formula>
    </cfRule>
  </conditionalFormatting>
  <conditionalFormatting sqref="N29">
    <cfRule type="expression" dxfId="678" priority="20">
      <formula>N29&lt;10</formula>
    </cfRule>
    <cfRule type="expression" dxfId="677" priority="21">
      <formula>N29&gt;15</formula>
    </cfRule>
  </conditionalFormatting>
  <conditionalFormatting sqref="F29">
    <cfRule type="expression" dxfId="676" priority="18">
      <formula>F29&lt;10</formula>
    </cfRule>
    <cfRule type="expression" dxfId="675" priority="19">
      <formula>F29&gt;15</formula>
    </cfRule>
  </conditionalFormatting>
  <conditionalFormatting sqref="F29">
    <cfRule type="expression" dxfId="674" priority="17">
      <formula>F29&lt;1</formula>
    </cfRule>
  </conditionalFormatting>
  <conditionalFormatting sqref="J29">
    <cfRule type="expression" dxfId="673" priority="15">
      <formula>J29&lt;10</formula>
    </cfRule>
    <cfRule type="expression" dxfId="672" priority="16">
      <formula>J29&gt;15</formula>
    </cfRule>
  </conditionalFormatting>
  <conditionalFormatting sqref="J29">
    <cfRule type="expression" dxfId="671" priority="14">
      <formula>J29&lt;1</formula>
    </cfRule>
  </conditionalFormatting>
  <conditionalFormatting sqref="N29">
    <cfRule type="expression" dxfId="670" priority="12">
      <formula>N29&lt;10</formula>
    </cfRule>
    <cfRule type="expression" dxfId="669" priority="13">
      <formula>N29&gt;15</formula>
    </cfRule>
  </conditionalFormatting>
  <conditionalFormatting sqref="N29">
    <cfRule type="expression" dxfId="668" priority="10">
      <formula>N29&lt;10</formula>
    </cfRule>
    <cfRule type="expression" dxfId="667" priority="11">
      <formula>N29&gt;15</formula>
    </cfRule>
  </conditionalFormatting>
  <conditionalFormatting sqref="N29">
    <cfRule type="expression" dxfId="666" priority="9">
      <formula>N29&lt;1</formula>
    </cfRule>
  </conditionalFormatting>
  <conditionalFormatting sqref="F40">
    <cfRule type="expression" dxfId="665" priority="7">
      <formula>F40&lt;55</formula>
    </cfRule>
    <cfRule type="expression" dxfId="664" priority="8">
      <formula>F40&gt;65</formula>
    </cfRule>
  </conditionalFormatting>
  <conditionalFormatting sqref="J40 N40">
    <cfRule type="expression" dxfId="663" priority="5">
      <formula>J40&lt;55</formula>
    </cfRule>
    <cfRule type="expression" dxfId="662" priority="6">
      <formula>J40&gt;65</formula>
    </cfRule>
  </conditionalFormatting>
  <conditionalFormatting sqref="F19">
    <cfRule type="expression" dxfId="661" priority="3">
      <formula>F19&lt;55</formula>
    </cfRule>
    <cfRule type="expression" dxfId="660" priority="4">
      <formula>F19&gt;65</formula>
    </cfRule>
  </conditionalFormatting>
  <conditionalFormatting sqref="J19 N19">
    <cfRule type="expression" dxfId="659" priority="1">
      <formula>J19&lt;55</formula>
    </cfRule>
    <cfRule type="expression" dxfId="658"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6">
    <tabColor rgb="FFFFC000"/>
  </sheetPr>
  <dimension ref="A1:R33"/>
  <sheetViews>
    <sheetView zoomScale="55" zoomScaleNormal="55" workbookViewId="0">
      <selection activeCell="P8" sqref="P8"/>
    </sheetView>
  </sheetViews>
  <sheetFormatPr defaultRowHeight="16.5"/>
  <cols>
    <col min="1" max="1" width="5.25" style="576" customWidth="1"/>
    <col min="2" max="2" width="31.25" style="596" customWidth="1"/>
    <col min="3" max="3" width="8.375" style="576" customWidth="1"/>
    <col min="4" max="4" width="12.375" style="576" customWidth="1"/>
    <col min="5" max="5" width="9.5" style="576" customWidth="1"/>
    <col min="6" max="6" width="3.375" style="576" customWidth="1"/>
    <col min="7" max="7" width="6.375" style="576" customWidth="1"/>
    <col min="8" max="8" width="3.625" style="576" customWidth="1"/>
    <col min="9" max="9" width="9" style="576" customWidth="1"/>
    <col min="10" max="10" width="3.625" style="576" customWidth="1"/>
    <col min="11" max="12" width="5.625" style="576" customWidth="1"/>
    <col min="13" max="14" width="7.75" style="576" customWidth="1"/>
    <col min="15" max="15" width="7.75" style="597" customWidth="1"/>
    <col min="16" max="16" width="7.75" style="576" customWidth="1"/>
    <col min="17" max="18" width="6.375" style="576" customWidth="1"/>
    <col min="19" max="16384" width="9" style="576"/>
  </cols>
  <sheetData>
    <row r="1" spans="1:18" ht="33.75" customHeight="1">
      <c r="A1" s="3424" t="s">
        <v>136</v>
      </c>
      <c r="B1" s="3424"/>
      <c r="C1" s="3424"/>
      <c r="D1" s="3424"/>
      <c r="E1" s="3424"/>
      <c r="F1" s="3424"/>
      <c r="G1" s="3424"/>
      <c r="H1" s="3424"/>
      <c r="I1" s="3424"/>
      <c r="J1" s="3424"/>
      <c r="K1" s="3424"/>
      <c r="L1" s="3424"/>
      <c r="M1" s="3424"/>
      <c r="N1" s="3424"/>
      <c r="O1" s="1263"/>
      <c r="P1" s="1263"/>
      <c r="Q1" s="1263"/>
      <c r="R1" s="1263"/>
    </row>
    <row r="2" spans="1:18" ht="45.75" customHeight="1">
      <c r="A2" s="3425" t="s">
        <v>697</v>
      </c>
      <c r="B2" s="3425"/>
      <c r="C2" s="3425"/>
      <c r="D2" s="3425"/>
      <c r="E2" s="3425"/>
      <c r="F2" s="3425"/>
      <c r="G2" s="3425"/>
      <c r="H2" s="3425"/>
      <c r="I2" s="3425"/>
      <c r="J2" s="3425"/>
      <c r="K2" s="3425"/>
      <c r="L2" s="3425"/>
      <c r="M2" s="3425"/>
      <c r="N2" s="3426"/>
      <c r="O2" s="3174" t="s">
        <v>642</v>
      </c>
      <c r="P2" s="3176"/>
      <c r="Q2" s="3174" t="s">
        <v>17</v>
      </c>
      <c r="R2" s="3176"/>
    </row>
    <row r="3" spans="1:18" ht="31.5" customHeight="1">
      <c r="A3" s="577"/>
      <c r="B3" s="2140" t="str">
        <f>MENU!$AC$9</f>
        <v>Thứ 3,</v>
      </c>
      <c r="C3" s="1933" t="str">
        <f>MENU!$AD$9</f>
        <v>2024/01/09</v>
      </c>
      <c r="D3" s="2141"/>
      <c r="E3" s="577"/>
      <c r="F3" s="577"/>
      <c r="G3" s="577"/>
      <c r="H3" s="578"/>
      <c r="I3" s="578"/>
      <c r="J3" s="578"/>
      <c r="K3" s="578"/>
      <c r="L3" s="578"/>
      <c r="M3" s="578"/>
      <c r="N3" s="578"/>
      <c r="O3" s="3419" t="str">
        <f>'1.xi den'!N3</f>
        <v>Trang</v>
      </c>
      <c r="P3" s="3420"/>
      <c r="Q3" s="3419" t="s">
        <v>698</v>
      </c>
      <c r="R3" s="3420"/>
    </row>
    <row r="4" spans="1:18" s="582" customFormat="1" ht="43.5" customHeight="1">
      <c r="A4" s="3431" t="s">
        <v>7</v>
      </c>
      <c r="B4" s="3432" t="s">
        <v>699</v>
      </c>
      <c r="C4" s="3432" t="s">
        <v>18</v>
      </c>
      <c r="D4" s="3433" t="s">
        <v>700</v>
      </c>
      <c r="E4" s="579" t="s">
        <v>701</v>
      </c>
      <c r="F4" s="580"/>
      <c r="G4" s="580"/>
      <c r="H4" s="580"/>
      <c r="I4" s="580"/>
      <c r="J4" s="580"/>
      <c r="K4" s="580"/>
      <c r="L4" s="581"/>
      <c r="M4" s="3435" t="s">
        <v>702</v>
      </c>
      <c r="N4" s="3436"/>
      <c r="O4" s="3436"/>
      <c r="P4" s="3423"/>
      <c r="Q4" s="3443" t="s">
        <v>648</v>
      </c>
      <c r="R4" s="3444"/>
    </row>
    <row r="5" spans="1:18" s="582" customFormat="1" ht="24" customHeight="1">
      <c r="A5" s="3431"/>
      <c r="B5" s="3432"/>
      <c r="C5" s="3432"/>
      <c r="D5" s="3433"/>
      <c r="E5" s="3421">
        <v>0.375</v>
      </c>
      <c r="F5" s="3175"/>
      <c r="G5" s="3175"/>
      <c r="H5" s="3176"/>
      <c r="I5" s="3421">
        <v>0.875</v>
      </c>
      <c r="J5" s="3175"/>
      <c r="K5" s="3175"/>
      <c r="L5" s="3176"/>
      <c r="M5" s="3421">
        <v>0.375</v>
      </c>
      <c r="N5" s="3176"/>
      <c r="O5" s="3422">
        <v>0.875</v>
      </c>
      <c r="P5" s="3423"/>
      <c r="Q5" s="3445"/>
      <c r="R5" s="3446"/>
    </row>
    <row r="6" spans="1:18" s="582" customFormat="1" ht="55.5" customHeight="1">
      <c r="A6" s="3431"/>
      <c r="B6" s="3431"/>
      <c r="C6" s="3431"/>
      <c r="D6" s="3434"/>
      <c r="E6" s="1256" t="s">
        <v>703</v>
      </c>
      <c r="F6" s="3440" t="s">
        <v>704</v>
      </c>
      <c r="G6" s="3441"/>
      <c r="H6" s="3442"/>
      <c r="I6" s="1256" t="s">
        <v>703</v>
      </c>
      <c r="J6" s="3440" t="s">
        <v>704</v>
      </c>
      <c r="K6" s="3441"/>
      <c r="L6" s="3442"/>
      <c r="M6" s="2195" t="s">
        <v>705</v>
      </c>
      <c r="N6" s="2196" t="s">
        <v>706</v>
      </c>
      <c r="O6" s="2195" t="s">
        <v>705</v>
      </c>
      <c r="P6" s="2196" t="s">
        <v>706</v>
      </c>
      <c r="Q6" s="3447"/>
      <c r="R6" s="3448"/>
    </row>
    <row r="7" spans="1:18" ht="39.75" customHeight="1">
      <c r="A7" s="1257">
        <v>1</v>
      </c>
      <c r="B7" s="1257" t="s">
        <v>707</v>
      </c>
      <c r="C7" s="1257" t="s">
        <v>4</v>
      </c>
      <c r="D7" s="585" t="s">
        <v>530</v>
      </c>
      <c r="E7" s="35">
        <f>'R.FILE GOC'!H89</f>
        <v>24.964000000000002</v>
      </c>
      <c r="F7" s="1264" t="s">
        <v>8</v>
      </c>
      <c r="G7" s="1265">
        <f>'R.FILE GOC'!K89</f>
        <v>5.8751999999996425E-2</v>
      </c>
      <c r="H7" s="1266" t="s">
        <v>9</v>
      </c>
      <c r="I7" s="35">
        <f>'R.FILE GOC'!N89</f>
        <v>24</v>
      </c>
      <c r="J7" s="1264" t="s">
        <v>8</v>
      </c>
      <c r="K7" s="1265">
        <f>'R.FILE GOC'!Q89</f>
        <v>1.6319999999999999</v>
      </c>
      <c r="L7" s="1266" t="s">
        <v>9</v>
      </c>
      <c r="M7" s="586"/>
      <c r="N7" s="587"/>
      <c r="O7" s="586">
        <v>25</v>
      </c>
      <c r="P7" s="587" t="s">
        <v>1626</v>
      </c>
      <c r="Q7" s="3437" t="s">
        <v>12</v>
      </c>
      <c r="R7" s="3438"/>
    </row>
    <row r="8" spans="1:18" ht="39.75" customHeight="1">
      <c r="A8" s="1257">
        <v>2</v>
      </c>
      <c r="B8" s="1257" t="s">
        <v>708</v>
      </c>
      <c r="C8" s="1257" t="s">
        <v>4</v>
      </c>
      <c r="D8" s="585" t="s">
        <v>530</v>
      </c>
      <c r="E8" s="35">
        <f>'R.FILE GOC'!H90</f>
        <v>26.86</v>
      </c>
      <c r="F8" s="1264" t="s">
        <v>8</v>
      </c>
      <c r="G8" s="1265">
        <f>'R.FILE GOC'!K90</f>
        <v>0</v>
      </c>
      <c r="H8" s="1266" t="s">
        <v>9</v>
      </c>
      <c r="I8" s="35">
        <f>'R.FILE GOC'!N90</f>
        <v>24.964000000000002</v>
      </c>
      <c r="J8" s="1264" t="s">
        <v>8</v>
      </c>
      <c r="K8" s="1265">
        <f>'R.FILE GOC'!Q90</f>
        <v>5.8751999999996425E-2</v>
      </c>
      <c r="L8" s="1266" t="s">
        <v>9</v>
      </c>
      <c r="M8" s="586"/>
      <c r="N8" s="587"/>
      <c r="O8" s="586"/>
      <c r="P8" s="587"/>
      <c r="Q8" s="3437" t="s">
        <v>12</v>
      </c>
      <c r="R8" s="3438"/>
    </row>
    <row r="9" spans="1:18" ht="39.75" customHeight="1">
      <c r="A9" s="1257">
        <v>3</v>
      </c>
      <c r="B9" s="1257" t="s">
        <v>709</v>
      </c>
      <c r="C9" s="1257" t="s">
        <v>56</v>
      </c>
      <c r="D9" s="585" t="s">
        <v>1424</v>
      </c>
      <c r="E9" s="35">
        <f>'R.FILE GOC'!H91</f>
        <v>245</v>
      </c>
      <c r="F9" s="1264" t="s">
        <v>8</v>
      </c>
      <c r="G9" s="1265">
        <f>'R.FILE GOC'!K91</f>
        <v>8.16</v>
      </c>
      <c r="H9" s="1266" t="s">
        <v>1173</v>
      </c>
      <c r="I9" s="35">
        <f>'R.FILE GOC'!N91</f>
        <v>250</v>
      </c>
      <c r="J9" s="1264" t="s">
        <v>8</v>
      </c>
      <c r="K9" s="1265">
        <f>'R.FILE GOC'!Q91</f>
        <v>0</v>
      </c>
      <c r="L9" s="1266" t="s">
        <v>1173</v>
      </c>
      <c r="M9" s="586">
        <v>245.8</v>
      </c>
      <c r="N9" s="587" t="s">
        <v>1626</v>
      </c>
      <c r="O9" s="586"/>
      <c r="P9" s="587"/>
      <c r="Q9" s="3437" t="s">
        <v>16</v>
      </c>
      <c r="R9" s="3438"/>
    </row>
    <row r="10" spans="1:18" ht="39.75" customHeight="1">
      <c r="A10" s="1257">
        <v>4</v>
      </c>
      <c r="B10" s="1258" t="s">
        <v>1174</v>
      </c>
      <c r="C10" s="1257" t="s">
        <v>4</v>
      </c>
      <c r="D10" s="1637" t="s">
        <v>1425</v>
      </c>
      <c r="E10" s="35">
        <f>'R.FILE GOC'!H92</f>
        <v>140</v>
      </c>
      <c r="F10" s="1264" t="s">
        <v>8</v>
      </c>
      <c r="G10" s="1265">
        <f>'R.FILE GOC'!K92</f>
        <v>0</v>
      </c>
      <c r="H10" s="1266" t="s">
        <v>9</v>
      </c>
      <c r="I10" s="35">
        <f>'R.FILE GOC'!N92</f>
        <v>138</v>
      </c>
      <c r="J10" s="1264" t="s">
        <v>8</v>
      </c>
      <c r="K10" s="1265">
        <f>'R.FILE GOC'!Q92</f>
        <v>0</v>
      </c>
      <c r="L10" s="1266" t="s">
        <v>9</v>
      </c>
      <c r="M10" s="586"/>
      <c r="N10" s="587"/>
      <c r="O10" s="586"/>
      <c r="P10" s="587"/>
      <c r="Q10" s="3437" t="s">
        <v>710</v>
      </c>
      <c r="R10" s="3438"/>
    </row>
    <row r="11" spans="1:18" ht="39.75" customHeight="1">
      <c r="A11" s="1257">
        <v>5</v>
      </c>
      <c r="B11" s="1258" t="s">
        <v>1175</v>
      </c>
      <c r="C11" s="1257" t="s">
        <v>4</v>
      </c>
      <c r="D11" s="588" t="s">
        <v>540</v>
      </c>
      <c r="E11" s="35">
        <f>'R.FILE GOC'!H93</f>
        <v>4.25</v>
      </c>
      <c r="F11" s="1264" t="s">
        <v>8</v>
      </c>
      <c r="G11" s="1265" t="str">
        <f>'R.FILE GOC'!K93</f>
        <v>N/A</v>
      </c>
      <c r="H11" s="1266" t="s">
        <v>9</v>
      </c>
      <c r="I11" s="35">
        <f>'R.FILE GOC'!N93</f>
        <v>4.4000000000000004</v>
      </c>
      <c r="J11" s="1264" t="s">
        <v>8</v>
      </c>
      <c r="K11" s="1265" t="str">
        <f>'R.FILE GOC'!Q93</f>
        <v>N/A</v>
      </c>
      <c r="L11" s="1266" t="s">
        <v>9</v>
      </c>
      <c r="M11" s="586"/>
      <c r="N11" s="587"/>
      <c r="O11" s="586"/>
      <c r="P11" s="587"/>
      <c r="Q11" s="3437" t="s">
        <v>711</v>
      </c>
      <c r="R11" s="3438"/>
    </row>
    <row r="12" spans="1:18" ht="39.75" customHeight="1">
      <c r="A12" s="1257">
        <v>6</v>
      </c>
      <c r="B12" s="1258" t="s">
        <v>1176</v>
      </c>
      <c r="C12" s="1257" t="s">
        <v>4</v>
      </c>
      <c r="D12" s="1637" t="s">
        <v>1425</v>
      </c>
      <c r="E12" s="35">
        <f>'R.FILE GOC'!H94</f>
        <v>140</v>
      </c>
      <c r="F12" s="1264" t="s">
        <v>8</v>
      </c>
      <c r="G12" s="1265">
        <f>'R.FILE GOC'!K94</f>
        <v>0</v>
      </c>
      <c r="H12" s="1266" t="s">
        <v>9</v>
      </c>
      <c r="I12" s="35">
        <f>'R.FILE GOC'!N94</f>
        <v>140</v>
      </c>
      <c r="J12" s="1264" t="s">
        <v>8</v>
      </c>
      <c r="K12" s="1265">
        <f>'R.FILE GOC'!Q94</f>
        <v>0</v>
      </c>
      <c r="L12" s="1266" t="s">
        <v>9</v>
      </c>
      <c r="M12" s="586"/>
      <c r="N12" s="587"/>
      <c r="O12" s="586"/>
      <c r="P12" s="587"/>
      <c r="Q12" s="3437" t="s">
        <v>710</v>
      </c>
      <c r="R12" s="3438"/>
    </row>
    <row r="13" spans="1:18" ht="39.75" customHeight="1">
      <c r="A13" s="1257">
        <v>7</v>
      </c>
      <c r="B13" s="1258" t="s">
        <v>1177</v>
      </c>
      <c r="C13" s="1257" t="s">
        <v>4</v>
      </c>
      <c r="D13" s="588" t="s">
        <v>540</v>
      </c>
      <c r="E13" s="35">
        <f>'R.FILE GOC'!H95</f>
        <v>3.9999999999999991</v>
      </c>
      <c r="F13" s="1264" t="s">
        <v>8</v>
      </c>
      <c r="G13" s="1265" t="str">
        <f>'R.FILE GOC'!K95</f>
        <v>N/A</v>
      </c>
      <c r="H13" s="1266" t="s">
        <v>9</v>
      </c>
      <c r="I13" s="35">
        <f>'R.FILE GOC'!N95</f>
        <v>5</v>
      </c>
      <c r="J13" s="1264" t="s">
        <v>8</v>
      </c>
      <c r="K13" s="1265" t="str">
        <f>'R.FILE GOC'!Q95</f>
        <v>N/A</v>
      </c>
      <c r="L13" s="1266" t="s">
        <v>9</v>
      </c>
      <c r="M13" s="586"/>
      <c r="N13" s="587"/>
      <c r="O13" s="586"/>
      <c r="P13" s="587"/>
      <c r="Q13" s="3437" t="s">
        <v>711</v>
      </c>
      <c r="R13" s="3438"/>
    </row>
    <row r="14" spans="1:18" ht="39.75" customHeight="1">
      <c r="A14" s="1257">
        <v>8</v>
      </c>
      <c r="B14" s="1258" t="s">
        <v>1178</v>
      </c>
      <c r="C14" s="1257" t="s">
        <v>4</v>
      </c>
      <c r="D14" s="1637" t="s">
        <v>1425</v>
      </c>
      <c r="E14" s="35">
        <f>'R.FILE GOC'!H96</f>
        <v>128.75</v>
      </c>
      <c r="F14" s="1264" t="s">
        <v>8</v>
      </c>
      <c r="G14" s="1265">
        <f>'R.FILE GOC'!K96</f>
        <v>2.16</v>
      </c>
      <c r="H14" s="1266" t="s">
        <v>9</v>
      </c>
      <c r="I14" s="35">
        <f>'R.FILE GOC'!N96</f>
        <v>131.25</v>
      </c>
      <c r="J14" s="1264" t="s">
        <v>8</v>
      </c>
      <c r="K14" s="1265">
        <f>'R.FILE GOC'!Q96</f>
        <v>0</v>
      </c>
      <c r="L14" s="1266" t="s">
        <v>9</v>
      </c>
      <c r="M14" s="586">
        <v>130.19999999999999</v>
      </c>
      <c r="N14" s="587" t="s">
        <v>1626</v>
      </c>
      <c r="O14" s="586"/>
      <c r="P14" s="587"/>
      <c r="Q14" s="3437" t="s">
        <v>710</v>
      </c>
      <c r="R14" s="3438"/>
    </row>
    <row r="15" spans="1:18" ht="39.75" customHeight="1">
      <c r="A15" s="1257">
        <v>9</v>
      </c>
      <c r="B15" s="1258" t="s">
        <v>1179</v>
      </c>
      <c r="C15" s="1257" t="s">
        <v>4</v>
      </c>
      <c r="D15" s="588" t="s">
        <v>540</v>
      </c>
      <c r="E15" s="35">
        <f>'R.FILE GOC'!H97</f>
        <v>4.2</v>
      </c>
      <c r="F15" s="1264" t="s">
        <v>8</v>
      </c>
      <c r="G15" s="1265" t="str">
        <f>'R.FILE GOC'!K97</f>
        <v>N/A</v>
      </c>
      <c r="H15" s="1266" t="s">
        <v>9</v>
      </c>
      <c r="I15" s="35">
        <f>'R.FILE GOC'!N97</f>
        <v>4.125</v>
      </c>
      <c r="J15" s="1264" t="s">
        <v>8</v>
      </c>
      <c r="K15" s="1265" t="str">
        <f>'R.FILE GOC'!Q97</f>
        <v>N/A</v>
      </c>
      <c r="L15" s="1266" t="s">
        <v>9</v>
      </c>
      <c r="M15" s="586"/>
      <c r="N15" s="587"/>
      <c r="O15" s="586"/>
      <c r="P15" s="587"/>
      <c r="Q15" s="3437" t="s">
        <v>711</v>
      </c>
      <c r="R15" s="3438"/>
    </row>
    <row r="16" spans="1:18" ht="39.75" customHeight="1">
      <c r="A16" s="3427">
        <v>10</v>
      </c>
      <c r="B16" s="3429" t="s">
        <v>712</v>
      </c>
      <c r="C16" s="1257" t="s">
        <v>4</v>
      </c>
      <c r="D16" s="585" t="s">
        <v>547</v>
      </c>
      <c r="E16" s="35">
        <f>'R.FILE GOC'!H98</f>
        <v>10.607999999999999</v>
      </c>
      <c r="F16" s="1264" t="s">
        <v>8</v>
      </c>
      <c r="G16" s="1265">
        <f>'R.FILE GOC'!K98</f>
        <v>0</v>
      </c>
      <c r="H16" s="1266" t="s">
        <v>9</v>
      </c>
      <c r="I16" s="35">
        <f>'R.FILE GOC'!N98</f>
        <v>10.192000000000002</v>
      </c>
      <c r="J16" s="1264" t="s">
        <v>8</v>
      </c>
      <c r="K16" s="1265">
        <f>'R.FILE GOC'!Q98</f>
        <v>0</v>
      </c>
      <c r="L16" s="1266" t="s">
        <v>9</v>
      </c>
      <c r="M16" s="586"/>
      <c r="N16" s="587"/>
      <c r="O16" s="586"/>
      <c r="P16" s="587"/>
      <c r="Q16" s="3437" t="s">
        <v>713</v>
      </c>
      <c r="R16" s="3438"/>
    </row>
    <row r="17" spans="1:18" ht="33" customHeight="1">
      <c r="A17" s="3428"/>
      <c r="B17" s="3430"/>
      <c r="C17" s="1257" t="s">
        <v>5</v>
      </c>
      <c r="D17" s="585" t="s">
        <v>549</v>
      </c>
      <c r="E17" s="636">
        <f>'R.FILE GOC'!H99</f>
        <v>6.2</v>
      </c>
      <c r="F17" s="1267"/>
      <c r="G17" s="1267"/>
      <c r="H17" s="1267"/>
      <c r="I17" s="636">
        <f>'R.FILE GOC'!N99</f>
        <v>6.3</v>
      </c>
      <c r="J17" s="1268"/>
      <c r="K17" s="1268"/>
      <c r="L17" s="1269"/>
      <c r="M17" s="586"/>
      <c r="N17" s="587"/>
      <c r="O17" s="586"/>
      <c r="P17" s="587"/>
      <c r="Q17" s="3439"/>
      <c r="R17" s="3438"/>
    </row>
    <row r="18" spans="1:18" ht="30" hidden="1" customHeight="1">
      <c r="A18" s="1257">
        <v>11</v>
      </c>
      <c r="B18" s="589" t="s">
        <v>714</v>
      </c>
      <c r="C18" s="1259" t="s">
        <v>5</v>
      </c>
      <c r="D18" s="50" t="s">
        <v>1427</v>
      </c>
      <c r="E18" s="1639">
        <f>'R.FILE GOC'!H100</f>
        <v>0</v>
      </c>
      <c r="F18" s="1640"/>
      <c r="G18" s="1640"/>
      <c r="H18" s="1640"/>
      <c r="I18" s="1639">
        <f>'R.FILE GOC'!N100</f>
        <v>0</v>
      </c>
      <c r="J18" s="1268"/>
      <c r="K18" s="1268"/>
      <c r="L18" s="1269"/>
      <c r="M18" s="586"/>
      <c r="N18" s="587"/>
      <c r="O18" s="590"/>
      <c r="P18" s="587"/>
      <c r="Q18" s="3449"/>
      <c r="R18" s="3450"/>
    </row>
    <row r="19" spans="1:18" ht="31.5" hidden="1" customHeight="1">
      <c r="A19" s="1257">
        <v>12</v>
      </c>
      <c r="B19" s="591" t="s">
        <v>715</v>
      </c>
      <c r="C19" s="1259" t="s">
        <v>5</v>
      </c>
      <c r="D19" s="50" t="s">
        <v>1427</v>
      </c>
      <c r="E19" s="1639">
        <f>'R.FILE GOC'!H101</f>
        <v>0</v>
      </c>
      <c r="F19" s="1640"/>
      <c r="G19" s="1640"/>
      <c r="H19" s="1640"/>
      <c r="I19" s="1639">
        <f>'R.FILE GOC'!N101</f>
        <v>0</v>
      </c>
      <c r="J19" s="1270"/>
      <c r="K19" s="1270"/>
      <c r="L19" s="1271"/>
      <c r="M19" s="586"/>
      <c r="N19" s="587"/>
      <c r="O19" s="590"/>
      <c r="P19" s="587"/>
      <c r="Q19" s="3449"/>
      <c r="R19" s="3450"/>
    </row>
    <row r="20" spans="1:18" ht="32.25" customHeight="1">
      <c r="A20" s="1257">
        <v>13</v>
      </c>
      <c r="B20" s="589" t="s">
        <v>716</v>
      </c>
      <c r="C20" s="1259" t="s">
        <v>5</v>
      </c>
      <c r="D20" s="50" t="s">
        <v>1427</v>
      </c>
      <c r="E20" s="1639">
        <f>'R.FILE GOC'!H102</f>
        <v>5.6</v>
      </c>
      <c r="F20" s="1640"/>
      <c r="G20" s="1640"/>
      <c r="H20" s="1640"/>
      <c r="I20" s="1639">
        <f>'R.FILE GOC'!N102</f>
        <v>5.7</v>
      </c>
      <c r="J20" s="1270"/>
      <c r="K20" s="1270"/>
      <c r="L20" s="1271"/>
      <c r="M20" s="586"/>
      <c r="N20" s="587"/>
      <c r="O20" s="590"/>
      <c r="P20" s="587"/>
      <c r="Q20" s="3449"/>
      <c r="R20" s="3450"/>
    </row>
    <row r="21" spans="1:18" ht="31.5" customHeight="1">
      <c r="A21" s="1257"/>
      <c r="B21" s="592" t="s">
        <v>138</v>
      </c>
      <c r="C21" s="593"/>
      <c r="D21" s="593"/>
      <c r="E21" s="593"/>
      <c r="F21" s="593"/>
      <c r="G21" s="593"/>
      <c r="H21" s="593"/>
      <c r="I21" s="593"/>
      <c r="J21" s="593"/>
      <c r="K21" s="593"/>
      <c r="L21" s="593"/>
      <c r="M21" s="593"/>
      <c r="N21" s="593"/>
      <c r="O21" s="593"/>
      <c r="P21" s="593"/>
      <c r="Q21" s="593"/>
      <c r="R21" s="594"/>
    </row>
    <row r="22" spans="1:18" ht="43.5" customHeight="1">
      <c r="A22" s="3427" t="s">
        <v>7</v>
      </c>
      <c r="B22" s="3451" t="s">
        <v>21</v>
      </c>
      <c r="C22" s="3451" t="s">
        <v>22</v>
      </c>
      <c r="D22" s="3451" t="s">
        <v>23</v>
      </c>
      <c r="E22" s="3432" t="s">
        <v>46</v>
      </c>
      <c r="F22" s="3432"/>
      <c r="G22" s="3453" t="s">
        <v>63</v>
      </c>
      <c r="H22" s="3453"/>
      <c r="I22" s="3432" t="s">
        <v>46</v>
      </c>
      <c r="J22" s="3432"/>
      <c r="K22" s="3453" t="s">
        <v>63</v>
      </c>
      <c r="L22" s="3453"/>
      <c r="M22" s="3454"/>
      <c r="N22" s="3454"/>
      <c r="O22" s="3451"/>
      <c r="P22" s="3454"/>
      <c r="Q22" s="3458"/>
      <c r="R22" s="3459"/>
    </row>
    <row r="23" spans="1:18" ht="22.5" customHeight="1">
      <c r="A23" s="3428"/>
      <c r="B23" s="3452"/>
      <c r="C23" s="3452"/>
      <c r="D23" s="3452"/>
      <c r="E23" s="3421">
        <v>0.375</v>
      </c>
      <c r="F23" s="3175"/>
      <c r="G23" s="3175"/>
      <c r="H23" s="3176"/>
      <c r="I23" s="3421">
        <v>0.875</v>
      </c>
      <c r="J23" s="3175"/>
      <c r="K23" s="3175"/>
      <c r="L23" s="3176"/>
      <c r="M23" s="3455"/>
      <c r="N23" s="3455"/>
      <c r="O23" s="3452"/>
      <c r="P23" s="3455"/>
      <c r="Q23" s="3460"/>
      <c r="R23" s="3461"/>
    </row>
    <row r="24" spans="1:18" ht="36.75" customHeight="1">
      <c r="A24" s="1257">
        <v>1</v>
      </c>
      <c r="B24" s="1257" t="s">
        <v>707</v>
      </c>
      <c r="C24" s="595" t="s">
        <v>26</v>
      </c>
      <c r="D24" s="1638" t="s">
        <v>1429</v>
      </c>
      <c r="E24" s="3016">
        <f>'R.FILE GOC'!H105</f>
        <v>61</v>
      </c>
      <c r="F24" s="3088"/>
      <c r="G24" s="3016">
        <f>'R.FILE GOC'!K105</f>
        <v>64</v>
      </c>
      <c r="H24" s="3088"/>
      <c r="I24" s="2969">
        <f>'R.FILE GOC'!N105</f>
        <v>61</v>
      </c>
      <c r="J24" s="2969"/>
      <c r="K24" s="2969">
        <f>'R.FILE GOC'!Q105</f>
        <v>63</v>
      </c>
      <c r="L24" s="2969"/>
      <c r="M24" s="1251"/>
      <c r="N24" s="1251"/>
      <c r="O24" s="3456"/>
      <c r="P24" s="3457"/>
      <c r="Q24" s="3449"/>
      <c r="R24" s="3450"/>
    </row>
    <row r="25" spans="1:18" ht="36.75" customHeight="1">
      <c r="A25" s="1257">
        <v>2</v>
      </c>
      <c r="B25" s="1257" t="s">
        <v>708</v>
      </c>
      <c r="C25" s="595" t="s">
        <v>26</v>
      </c>
      <c r="D25" s="1638" t="s">
        <v>1429</v>
      </c>
      <c r="E25" s="3016">
        <f>'R.FILE GOC'!H106</f>
        <v>65</v>
      </c>
      <c r="F25" s="3088"/>
      <c r="G25" s="3016">
        <f>'R.FILE GOC'!K106</f>
        <v>64</v>
      </c>
      <c r="H25" s="3088"/>
      <c r="I25" s="2969">
        <f>'R.FILE GOC'!N106</f>
        <v>65</v>
      </c>
      <c r="J25" s="2969"/>
      <c r="K25" s="2969">
        <f>'R.FILE GOC'!Q106</f>
        <v>63</v>
      </c>
      <c r="L25" s="2969"/>
      <c r="M25" s="1251"/>
      <c r="N25" s="1251"/>
      <c r="O25" s="3456"/>
      <c r="P25" s="3457"/>
      <c r="Q25" s="3449"/>
      <c r="R25" s="3450"/>
    </row>
    <row r="26" spans="1:18" ht="36.75" customHeight="1">
      <c r="A26" s="1257">
        <v>3</v>
      </c>
      <c r="B26" s="1258" t="s">
        <v>1180</v>
      </c>
      <c r="C26" s="595" t="s">
        <v>26</v>
      </c>
      <c r="D26" s="1638" t="s">
        <v>1430</v>
      </c>
      <c r="E26" s="3016">
        <f>'R.FILE GOC'!H107</f>
        <v>24</v>
      </c>
      <c r="F26" s="3088"/>
      <c r="G26" s="3016">
        <f>'R.FILE GOC'!K107</f>
        <v>22</v>
      </c>
      <c r="H26" s="3088"/>
      <c r="I26" s="3016">
        <f>'R.FILE GOC'!N107</f>
        <v>25</v>
      </c>
      <c r="J26" s="3088"/>
      <c r="K26" s="2969">
        <f>'R.FILE GOC'!Q107</f>
        <v>23</v>
      </c>
      <c r="L26" s="2969"/>
      <c r="M26" s="1251"/>
      <c r="N26" s="1251"/>
      <c r="O26" s="3456"/>
      <c r="P26" s="3457"/>
      <c r="Q26" s="3449"/>
      <c r="R26" s="3450"/>
    </row>
    <row r="27" spans="1:18" ht="36.75" customHeight="1">
      <c r="A27" s="1257">
        <v>4</v>
      </c>
      <c r="B27" s="1258" t="s">
        <v>1181</v>
      </c>
      <c r="C27" s="595" t="s">
        <v>26</v>
      </c>
      <c r="D27" s="1638" t="s">
        <v>1430</v>
      </c>
      <c r="E27" s="3016">
        <v>25</v>
      </c>
      <c r="F27" s="3088"/>
      <c r="G27" s="3016">
        <f>'R.FILE GOC'!K108</f>
        <v>24</v>
      </c>
      <c r="H27" s="3088"/>
      <c r="I27" s="3016">
        <v>25</v>
      </c>
      <c r="J27" s="3088"/>
      <c r="K27" s="2969">
        <f>'R.FILE GOC'!Q108</f>
        <v>25</v>
      </c>
      <c r="L27" s="2969"/>
      <c r="M27" s="1251"/>
      <c r="N27" s="1251"/>
      <c r="O27" s="3456"/>
      <c r="P27" s="3457"/>
      <c r="Q27" s="3449"/>
      <c r="R27" s="3450"/>
    </row>
    <row r="28" spans="1:18" ht="36.75" customHeight="1">
      <c r="A28" s="1257">
        <v>5</v>
      </c>
      <c r="B28" s="1258" t="s">
        <v>1182</v>
      </c>
      <c r="C28" s="595" t="s">
        <v>26</v>
      </c>
      <c r="D28" s="1638" t="s">
        <v>1430</v>
      </c>
      <c r="E28" s="3016">
        <f>'R.FILE GOC'!H109</f>
        <v>22</v>
      </c>
      <c r="F28" s="3088"/>
      <c r="G28" s="3016">
        <f>'R.FILE GOC'!K109</f>
        <v>20</v>
      </c>
      <c r="H28" s="3088"/>
      <c r="I28" s="3016">
        <f>'R.FILE GOC'!N109</f>
        <v>22</v>
      </c>
      <c r="J28" s="3088"/>
      <c r="K28" s="2969">
        <f>'R.FILE GOC'!Q109</f>
        <v>20</v>
      </c>
      <c r="L28" s="2969"/>
      <c r="M28" s="1251"/>
      <c r="N28" s="1251"/>
      <c r="O28" s="3456"/>
      <c r="P28" s="3457"/>
      <c r="Q28" s="3449"/>
      <c r="R28" s="3450"/>
    </row>
    <row r="29" spans="1:18" ht="36.75" customHeight="1">
      <c r="A29" s="1257">
        <v>6</v>
      </c>
      <c r="B29" s="1258" t="s">
        <v>717</v>
      </c>
      <c r="C29" s="595" t="s">
        <v>26</v>
      </c>
      <c r="D29" s="1638" t="s">
        <v>1619</v>
      </c>
      <c r="E29" s="2969">
        <v>51</v>
      </c>
      <c r="F29" s="2969"/>
      <c r="G29" s="2969">
        <v>50</v>
      </c>
      <c r="H29" s="2969"/>
      <c r="I29" s="2969">
        <v>50</v>
      </c>
      <c r="J29" s="2969"/>
      <c r="K29" s="2969">
        <v>51</v>
      </c>
      <c r="L29" s="2969"/>
      <c r="M29" s="1251"/>
      <c r="N29" s="1251"/>
      <c r="O29" s="3456"/>
      <c r="P29" s="3457"/>
      <c r="Q29" s="3449"/>
      <c r="R29" s="3450"/>
    </row>
    <row r="30" spans="1:18" ht="33.75" hidden="1" customHeight="1">
      <c r="A30" s="1257">
        <v>7</v>
      </c>
      <c r="B30" s="589" t="s">
        <v>714</v>
      </c>
      <c r="C30" s="595" t="s">
        <v>26</v>
      </c>
      <c r="D30" s="1638" t="s">
        <v>1476</v>
      </c>
      <c r="E30" s="2969">
        <f>'R.FILE GOC'!H111</f>
        <v>0</v>
      </c>
      <c r="F30" s="2969"/>
      <c r="G30" s="2969">
        <f>'R.FILE GOC'!K111</f>
        <v>0</v>
      </c>
      <c r="H30" s="2969"/>
      <c r="I30" s="2969">
        <f>'R.FILE GOC'!N111</f>
        <v>0</v>
      </c>
      <c r="J30" s="2969"/>
      <c r="K30" s="2969">
        <f>'R.FILE GOC'!Q111</f>
        <v>0</v>
      </c>
      <c r="L30" s="2969"/>
      <c r="M30" s="1251"/>
      <c r="N30" s="1251"/>
      <c r="O30" s="3462"/>
      <c r="P30" s="3463"/>
      <c r="Q30" s="3449"/>
      <c r="R30" s="3450"/>
    </row>
    <row r="31" spans="1:18" ht="35.25" hidden="1" customHeight="1">
      <c r="A31" s="1257">
        <v>8</v>
      </c>
      <c r="B31" s="591" t="s">
        <v>715</v>
      </c>
      <c r="C31" s="595" t="s">
        <v>26</v>
      </c>
      <c r="D31" s="1638" t="s">
        <v>1477</v>
      </c>
      <c r="E31" s="2969">
        <f>'R.FILE GOC'!H112</f>
        <v>0</v>
      </c>
      <c r="F31" s="2969"/>
      <c r="G31" s="2969">
        <f>'R.FILE GOC'!K112</f>
        <v>0</v>
      </c>
      <c r="H31" s="2969"/>
      <c r="I31" s="2969">
        <f>'R.FILE GOC'!N112</f>
        <v>0</v>
      </c>
      <c r="J31" s="2969"/>
      <c r="K31" s="2969">
        <f>'R.FILE GOC'!Q112</f>
        <v>0</v>
      </c>
      <c r="L31" s="2969"/>
      <c r="M31" s="1251"/>
      <c r="N31" s="1251"/>
      <c r="O31" s="3462"/>
      <c r="P31" s="3463"/>
      <c r="Q31" s="3449"/>
      <c r="R31" s="3450"/>
    </row>
    <row r="32" spans="1:18" ht="36.75" customHeight="1">
      <c r="A32" s="1257">
        <v>9</v>
      </c>
      <c r="B32" s="589" t="s">
        <v>716</v>
      </c>
      <c r="C32" s="595" t="s">
        <v>26</v>
      </c>
      <c r="D32" s="1638" t="s">
        <v>1476</v>
      </c>
      <c r="E32" s="2969">
        <f>'R.FILE GOC'!H113</f>
        <v>65</v>
      </c>
      <c r="F32" s="2969"/>
      <c r="G32" s="2969">
        <f>'R.FILE GOC'!K113</f>
        <v>62</v>
      </c>
      <c r="H32" s="2969"/>
      <c r="I32" s="2969">
        <f>'R.FILE GOC'!N113</f>
        <v>65</v>
      </c>
      <c r="J32" s="2969"/>
      <c r="K32" s="2969">
        <f>'R.FILE GOC'!Q113</f>
        <v>63</v>
      </c>
      <c r="L32" s="2969"/>
      <c r="M32" s="1251"/>
      <c r="N32" s="1251"/>
      <c r="O32" s="3462"/>
      <c r="P32" s="3463"/>
      <c r="Q32" s="3449"/>
      <c r="R32" s="3450"/>
    </row>
    <row r="33" spans="1:18" ht="36.75" customHeight="1">
      <c r="A33" s="1257">
        <v>11</v>
      </c>
      <c r="B33" s="1258" t="s">
        <v>718</v>
      </c>
      <c r="C33" s="595" t="s">
        <v>26</v>
      </c>
      <c r="D33" s="1638" t="s">
        <v>1431</v>
      </c>
      <c r="E33" s="3417" t="str">
        <f>'R.FILE GOC'!H114</f>
        <v>\</v>
      </c>
      <c r="F33" s="3418"/>
      <c r="G33" s="3016">
        <v>106</v>
      </c>
      <c r="H33" s="3088"/>
      <c r="I33" s="3416" t="str">
        <f>'R.FILE GOC'!N114</f>
        <v>\</v>
      </c>
      <c r="J33" s="3416"/>
      <c r="K33" s="2969">
        <v>108</v>
      </c>
      <c r="L33" s="2969"/>
      <c r="M33" s="1251"/>
      <c r="N33" s="1251"/>
      <c r="O33" s="3462"/>
      <c r="P33" s="3463"/>
      <c r="Q33" s="3449"/>
      <c r="R33" s="3450"/>
    </row>
  </sheetData>
  <mergeCells count="109">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I24:J24"/>
    <mergeCell ref="K24:L24"/>
    <mergeCell ref="I25:J25"/>
    <mergeCell ref="K25:L2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2:R2"/>
    <mergeCell ref="O3:P3"/>
    <mergeCell ref="Q3:R3"/>
    <mergeCell ref="E5:H5"/>
    <mergeCell ref="I5:L5"/>
    <mergeCell ref="M5:N5"/>
    <mergeCell ref="O5:P5"/>
    <mergeCell ref="A1:N1"/>
    <mergeCell ref="A2:N2"/>
    <mergeCell ref="O2:P2"/>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I26:J26"/>
    <mergeCell ref="K26:L26"/>
    <mergeCell ref="I27:J27"/>
    <mergeCell ref="K27:L27"/>
    <mergeCell ref="I28:J28"/>
    <mergeCell ref="K28:L28"/>
    <mergeCell ref="E29:F29"/>
    <mergeCell ref="E30:F30"/>
    <mergeCell ref="E31:F31"/>
    <mergeCell ref="I32:J32"/>
    <mergeCell ref="K32:L32"/>
    <mergeCell ref="I33:J33"/>
    <mergeCell ref="K33:L33"/>
    <mergeCell ref="I29:J29"/>
    <mergeCell ref="K29:L29"/>
    <mergeCell ref="I30:J30"/>
    <mergeCell ref="K30:L30"/>
    <mergeCell ref="I31:J31"/>
    <mergeCell ref="K31:L31"/>
  </mergeCells>
  <phoneticPr fontId="7" type="noConversion"/>
  <conditionalFormatting sqref="E7:E8 I7:I8">
    <cfRule type="expression" dxfId="657" priority="123">
      <formula>E7&lt;20</formula>
    </cfRule>
    <cfRule type="expression" dxfId="656" priority="124">
      <formula>E7&gt;30</formula>
    </cfRule>
  </conditionalFormatting>
  <conditionalFormatting sqref="E9 I9">
    <cfRule type="expression" dxfId="655" priority="121">
      <formula>E9&lt;210</formula>
    </cfRule>
    <cfRule type="expression" dxfId="654" priority="122">
      <formula>E9&gt;290</formula>
    </cfRule>
  </conditionalFormatting>
  <conditionalFormatting sqref="E10 E12 E14 I10 I12 I14">
    <cfRule type="expression" dxfId="653" priority="119">
      <formula>E10&lt;120</formula>
    </cfRule>
    <cfRule type="expression" dxfId="652" priority="120">
      <formula>E10&gt;150</formula>
    </cfRule>
  </conditionalFormatting>
  <conditionalFormatting sqref="E11 E13 E15 I11 I13 I15">
    <cfRule type="expression" dxfId="651" priority="117">
      <formula>E11&lt;1</formula>
    </cfRule>
    <cfRule type="expression" dxfId="650" priority="118">
      <formula>E11&gt;5</formula>
    </cfRule>
  </conditionalFormatting>
  <conditionalFormatting sqref="E16 I16">
    <cfRule type="expression" dxfId="649" priority="115">
      <formula>E16&lt;8</formula>
    </cfRule>
    <cfRule type="expression" dxfId="648" priority="116">
      <formula>E16&gt;12</formula>
    </cfRule>
  </conditionalFormatting>
  <conditionalFormatting sqref="E17">
    <cfRule type="expression" dxfId="647" priority="113">
      <formula>E17&lt;6</formula>
    </cfRule>
    <cfRule type="expression" dxfId="646" priority="114">
      <formula>E17&gt;8</formula>
    </cfRule>
  </conditionalFormatting>
  <conditionalFormatting sqref="E24">
    <cfRule type="expression" dxfId="645" priority="109">
      <formula>E24&lt;45</formula>
    </cfRule>
    <cfRule type="expression" dxfId="644" priority="110">
      <formula>E24&gt;65</formula>
    </cfRule>
  </conditionalFormatting>
  <conditionalFormatting sqref="E25">
    <cfRule type="expression" dxfId="643" priority="107">
      <formula>E25&lt;45</formula>
    </cfRule>
    <cfRule type="expression" dxfId="642" priority="108">
      <formula>E25&gt;65</formula>
    </cfRule>
  </conditionalFormatting>
  <conditionalFormatting sqref="G33">
    <cfRule type="expression" dxfId="641" priority="101">
      <formula>G33&lt;100</formula>
    </cfRule>
    <cfRule type="expression" dxfId="640" priority="102">
      <formula>G33&gt;110</formula>
    </cfRule>
  </conditionalFormatting>
  <conditionalFormatting sqref="G24">
    <cfRule type="expression" dxfId="639" priority="99">
      <formula>G24&lt;45</formula>
    </cfRule>
    <cfRule type="expression" dxfId="638" priority="100">
      <formula>G24&gt;65</formula>
    </cfRule>
  </conditionalFormatting>
  <conditionalFormatting sqref="G25">
    <cfRule type="expression" dxfId="637" priority="97">
      <formula>G25&lt;45</formula>
    </cfRule>
    <cfRule type="expression" dxfId="636" priority="98">
      <formula>G25&gt;65</formula>
    </cfRule>
  </conditionalFormatting>
  <conditionalFormatting sqref="I17">
    <cfRule type="expression" dxfId="635" priority="91">
      <formula>I17&lt;6</formula>
    </cfRule>
    <cfRule type="expression" dxfId="634" priority="92">
      <formula>I17&gt;8</formula>
    </cfRule>
  </conditionalFormatting>
  <conditionalFormatting sqref="I24">
    <cfRule type="expression" dxfId="633" priority="87">
      <formula>I24&lt;45</formula>
    </cfRule>
    <cfRule type="expression" dxfId="632" priority="88">
      <formula>I24&gt;65</formula>
    </cfRule>
  </conditionalFormatting>
  <conditionalFormatting sqref="I25">
    <cfRule type="expression" dxfId="631" priority="85">
      <formula>I25&lt;45</formula>
    </cfRule>
    <cfRule type="expression" dxfId="630" priority="86">
      <formula>I25&gt;65</formula>
    </cfRule>
  </conditionalFormatting>
  <conditionalFormatting sqref="K33">
    <cfRule type="expression" dxfId="629" priority="79">
      <formula>K33&lt;100</formula>
    </cfRule>
    <cfRule type="expression" dxfId="628" priority="80">
      <formula>K33&gt;110</formula>
    </cfRule>
  </conditionalFormatting>
  <conditionalFormatting sqref="K24">
    <cfRule type="expression" dxfId="627" priority="77">
      <formula>K24&lt;45</formula>
    </cfRule>
    <cfRule type="expression" dxfId="626" priority="78">
      <formula>K24&gt;65</formula>
    </cfRule>
  </conditionalFormatting>
  <conditionalFormatting sqref="K25">
    <cfRule type="expression" dxfId="625" priority="75">
      <formula>K25&lt;45</formula>
    </cfRule>
    <cfRule type="expression" dxfId="624" priority="76">
      <formula>K25&gt;65</formula>
    </cfRule>
  </conditionalFormatting>
  <conditionalFormatting sqref="E26">
    <cfRule type="expression" dxfId="623" priority="69">
      <formula>E26&lt;18</formula>
    </cfRule>
    <cfRule type="expression" dxfId="622" priority="70">
      <formula>E26&gt;25</formula>
    </cfRule>
  </conditionalFormatting>
  <conditionalFormatting sqref="E27:E28">
    <cfRule type="expression" dxfId="621" priority="67">
      <formula>E27&lt;18</formula>
    </cfRule>
    <cfRule type="expression" dxfId="620" priority="68">
      <formula>E27&gt;25</formula>
    </cfRule>
  </conditionalFormatting>
  <conditionalFormatting sqref="G26:G28 I26:I28 K26:K28">
    <cfRule type="expression" dxfId="619" priority="65">
      <formula>G26&lt;18</formula>
    </cfRule>
    <cfRule type="expression" dxfId="618" priority="66">
      <formula>G26&gt;25</formula>
    </cfRule>
  </conditionalFormatting>
  <conditionalFormatting sqref="E18">
    <cfRule type="expression" dxfId="617" priority="55">
      <formula>E18&lt;5.5</formula>
    </cfRule>
    <cfRule type="expression" dxfId="616" priority="56">
      <formula>E18&gt;6</formula>
    </cfRule>
  </conditionalFormatting>
  <conditionalFormatting sqref="E19:E20">
    <cfRule type="expression" dxfId="615" priority="53">
      <formula>E19&lt;5.5</formula>
    </cfRule>
    <cfRule type="expression" dxfId="614" priority="54">
      <formula>E19&gt;6</formula>
    </cfRule>
  </conditionalFormatting>
  <conditionalFormatting sqref="I18">
    <cfRule type="expression" dxfId="613" priority="51">
      <formula>I18&lt;5.5</formula>
    </cfRule>
    <cfRule type="expression" dxfId="612" priority="52">
      <formula>I18&gt;6</formula>
    </cfRule>
  </conditionalFormatting>
  <conditionalFormatting sqref="I19:I20">
    <cfRule type="expression" dxfId="611" priority="49">
      <formula>I19&lt;5.5</formula>
    </cfRule>
    <cfRule type="expression" dxfId="610" priority="50">
      <formula>I19&gt;6</formula>
    </cfRule>
  </conditionalFormatting>
  <conditionalFormatting sqref="E30">
    <cfRule type="expression" dxfId="609" priority="45">
      <formula>E30&lt;55</formula>
    </cfRule>
    <cfRule type="expression" dxfId="608" priority="46">
      <formula>E30&gt;65</formula>
    </cfRule>
  </conditionalFormatting>
  <conditionalFormatting sqref="E32">
    <cfRule type="expression" dxfId="607" priority="43">
      <formula>E32&lt;55</formula>
    </cfRule>
    <cfRule type="expression" dxfId="606" priority="44">
      <formula>E32&gt;65</formula>
    </cfRule>
  </conditionalFormatting>
  <conditionalFormatting sqref="E31">
    <cfRule type="expression" dxfId="605" priority="41">
      <formula>E31&lt;42</formula>
    </cfRule>
    <cfRule type="expression" dxfId="604" priority="42">
      <formula>E31&gt;47</formula>
    </cfRule>
  </conditionalFormatting>
  <conditionalFormatting sqref="G30">
    <cfRule type="expression" dxfId="603" priority="37">
      <formula>G30&lt;55</formula>
    </cfRule>
    <cfRule type="expression" dxfId="602" priority="38">
      <formula>G30&gt;65</formula>
    </cfRule>
  </conditionalFormatting>
  <conditionalFormatting sqref="G32">
    <cfRule type="expression" dxfId="601" priority="35">
      <formula>G32&lt;55</formula>
    </cfRule>
    <cfRule type="expression" dxfId="600" priority="36">
      <formula>G32&gt;65</formula>
    </cfRule>
  </conditionalFormatting>
  <conditionalFormatting sqref="G31">
    <cfRule type="expression" dxfId="599" priority="33">
      <formula>G31&lt;42</formula>
    </cfRule>
    <cfRule type="expression" dxfId="598" priority="34">
      <formula>G31&gt;47</formula>
    </cfRule>
  </conditionalFormatting>
  <conditionalFormatting sqref="I30">
    <cfRule type="expression" dxfId="597" priority="29">
      <formula>I30&lt;55</formula>
    </cfRule>
    <cfRule type="expression" dxfId="596" priority="30">
      <formula>I30&gt;65</formula>
    </cfRule>
  </conditionalFormatting>
  <conditionalFormatting sqref="I32">
    <cfRule type="expression" dxfId="595" priority="27">
      <formula>I32&lt;55</formula>
    </cfRule>
    <cfRule type="expression" dxfId="594" priority="28">
      <formula>I32&gt;65</formula>
    </cfRule>
  </conditionalFormatting>
  <conditionalFormatting sqref="I31">
    <cfRule type="expression" dxfId="593" priority="25">
      <formula>I31&lt;42</formula>
    </cfRule>
    <cfRule type="expression" dxfId="592" priority="26">
      <formula>I31&gt;47</formula>
    </cfRule>
  </conditionalFormatting>
  <conditionalFormatting sqref="K30">
    <cfRule type="expression" dxfId="591" priority="21">
      <formula>K30&lt;55</formula>
    </cfRule>
    <cfRule type="expression" dxfId="590" priority="22">
      <formula>K30&gt;65</formula>
    </cfRule>
  </conditionalFormatting>
  <conditionalFormatting sqref="K32">
    <cfRule type="expression" dxfId="589" priority="19">
      <formula>K32&lt;55</formula>
    </cfRule>
    <cfRule type="expression" dxfId="588" priority="20">
      <formula>K32&gt;65</formula>
    </cfRule>
  </conditionalFormatting>
  <conditionalFormatting sqref="K31">
    <cfRule type="expression" dxfId="587" priority="17">
      <formula>K31&lt;42</formula>
    </cfRule>
    <cfRule type="expression" dxfId="586" priority="18">
      <formula>K31&gt;47</formula>
    </cfRule>
  </conditionalFormatting>
  <conditionalFormatting sqref="E29">
    <cfRule type="expression" dxfId="585" priority="7">
      <formula>E29&lt;45</formula>
    </cfRule>
    <cfRule type="expression" dxfId="584" priority="8">
      <formula>E29&gt;60</formula>
    </cfRule>
  </conditionalFormatting>
  <conditionalFormatting sqref="G29">
    <cfRule type="expression" dxfId="583" priority="5">
      <formula>G29&lt;45</formula>
    </cfRule>
    <cfRule type="expression" dxfId="582" priority="6">
      <formula>G29&gt;60</formula>
    </cfRule>
  </conditionalFormatting>
  <conditionalFormatting sqref="I29">
    <cfRule type="expression" dxfId="581" priority="3">
      <formula>I29&lt;45</formula>
    </cfRule>
    <cfRule type="expression" dxfId="580" priority="4">
      <formula>I29&gt;60</formula>
    </cfRule>
  </conditionalFormatting>
  <conditionalFormatting sqref="K29">
    <cfRule type="expression" dxfId="579" priority="1">
      <formula>K29&lt;45</formula>
    </cfRule>
    <cfRule type="expression" dxfId="578" priority="2">
      <formula>K29&gt;60</formula>
    </cfRule>
  </conditionalFormatting>
  <pageMargins left="0.39"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7">
    <tabColor rgb="FFFF0000"/>
  </sheetPr>
  <dimension ref="A1:P34"/>
  <sheetViews>
    <sheetView zoomScale="55" zoomScaleNormal="55" workbookViewId="0">
      <selection activeCell="A2" sqref="A2:O31"/>
    </sheetView>
  </sheetViews>
  <sheetFormatPr defaultRowHeight="15"/>
  <cols>
    <col min="1" max="1" width="6.625" style="253" customWidth="1"/>
    <col min="2" max="2" width="8.875" style="626" customWidth="1"/>
    <col min="3" max="3" width="6.125" style="626" customWidth="1"/>
    <col min="4" max="4" width="2.875" style="626" customWidth="1"/>
    <col min="5" max="5" width="11.25" style="626" customWidth="1"/>
    <col min="6" max="6" width="9.25" style="253" customWidth="1"/>
    <col min="7" max="7" width="17" style="627" customWidth="1"/>
    <col min="8" max="8" width="12.875" style="253" customWidth="1"/>
    <col min="9" max="9" width="3.75" style="253" customWidth="1"/>
    <col min="10" max="10" width="10.125" style="253" customWidth="1"/>
    <col min="11" max="11" width="3.75" style="253" customWidth="1"/>
    <col min="12" max="12" width="12.875" style="253" customWidth="1"/>
    <col min="13" max="13" width="5" style="253" customWidth="1"/>
    <col min="14" max="14" width="8.5" style="253" customWidth="1"/>
    <col min="15" max="15" width="6.125" style="253" customWidth="1"/>
    <col min="16" max="16" width="15.625" style="253" customWidth="1"/>
    <col min="17" max="16384" width="9" style="253"/>
  </cols>
  <sheetData>
    <row r="1" spans="1:16" ht="36" customHeight="1">
      <c r="A1" s="3464" t="s">
        <v>568</v>
      </c>
      <c r="B1" s="3464"/>
      <c r="C1" s="3464"/>
      <c r="D1" s="3464"/>
      <c r="E1" s="3464"/>
      <c r="F1" s="3464"/>
      <c r="G1" s="3464"/>
      <c r="H1" s="3464"/>
      <c r="I1" s="3464"/>
      <c r="J1" s="3464"/>
      <c r="K1" s="598"/>
      <c r="L1" s="599"/>
      <c r="M1" s="599"/>
      <c r="N1" s="598"/>
      <c r="O1" s="598"/>
      <c r="P1" s="598"/>
    </row>
    <row r="2" spans="1:16" ht="56.25" customHeight="1">
      <c r="A2" s="3465" t="s">
        <v>719</v>
      </c>
      <c r="B2" s="3465"/>
      <c r="C2" s="3465"/>
      <c r="D2" s="3465"/>
      <c r="E2" s="3465"/>
      <c r="F2" s="3465"/>
      <c r="G2" s="3465"/>
      <c r="H2" s="3465"/>
      <c r="I2" s="3465"/>
      <c r="J2" s="3465"/>
      <c r="K2" s="3465"/>
      <c r="L2" s="3465"/>
      <c r="M2" s="3466"/>
      <c r="N2" s="3467" t="s">
        <v>89</v>
      </c>
      <c r="O2" s="2908"/>
      <c r="P2" s="600" t="s">
        <v>90</v>
      </c>
    </row>
    <row r="3" spans="1:16" ht="38.25" customHeight="1">
      <c r="A3" s="601"/>
      <c r="B3" s="602"/>
      <c r="C3" s="603"/>
      <c r="D3" s="603"/>
      <c r="E3" s="604"/>
      <c r="F3" s="2139" t="str">
        <f>MENU!$AC$9</f>
        <v>Thứ 3,</v>
      </c>
      <c r="G3" s="1933" t="str">
        <f>MENU!$AD$9</f>
        <v>2024/01/09</v>
      </c>
      <c r="H3" s="605"/>
      <c r="I3" s="605"/>
      <c r="J3" s="605"/>
      <c r="K3" s="605"/>
      <c r="L3" s="605"/>
      <c r="M3" s="605"/>
      <c r="N3" s="3468" t="str">
        <f>'1.xi den'!$N$3</f>
        <v>Trang</v>
      </c>
      <c r="O3" s="3469"/>
      <c r="P3" s="606" t="s">
        <v>11</v>
      </c>
    </row>
    <row r="4" spans="1:16" s="610" customFormat="1" ht="43.5" customHeight="1">
      <c r="A4" s="3470" t="s">
        <v>7</v>
      </c>
      <c r="B4" s="3471" t="s">
        <v>77</v>
      </c>
      <c r="C4" s="3472"/>
      <c r="D4" s="3472"/>
      <c r="E4" s="3473"/>
      <c r="F4" s="3480" t="s">
        <v>94</v>
      </c>
      <c r="G4" s="2922" t="s">
        <v>65</v>
      </c>
      <c r="H4" s="607" t="s">
        <v>720</v>
      </c>
      <c r="I4" s="608"/>
      <c r="J4" s="608"/>
      <c r="K4" s="608"/>
      <c r="L4" s="608"/>
      <c r="M4" s="608"/>
      <c r="N4" s="608"/>
      <c r="O4" s="609"/>
      <c r="P4" s="3484" t="s">
        <v>91</v>
      </c>
    </row>
    <row r="5" spans="1:16" s="610" customFormat="1" ht="43.5" customHeight="1">
      <c r="A5" s="3470"/>
      <c r="B5" s="3474"/>
      <c r="C5" s="3475"/>
      <c r="D5" s="3475"/>
      <c r="E5" s="3476"/>
      <c r="F5" s="3480"/>
      <c r="G5" s="2922"/>
      <c r="H5" s="3487">
        <v>0.375</v>
      </c>
      <c r="I5" s="3480"/>
      <c r="J5" s="3480"/>
      <c r="K5" s="3480"/>
      <c r="L5" s="3488">
        <v>0.72916666666666663</v>
      </c>
      <c r="M5" s="3489"/>
      <c r="N5" s="3489"/>
      <c r="O5" s="3490"/>
      <c r="P5" s="3485"/>
    </row>
    <row r="6" spans="1:16" s="610" customFormat="1" ht="43.5" customHeight="1">
      <c r="A6" s="3470"/>
      <c r="B6" s="3477"/>
      <c r="C6" s="3478"/>
      <c r="D6" s="3478"/>
      <c r="E6" s="3479"/>
      <c r="F6" s="3470"/>
      <c r="G6" s="2923"/>
      <c r="H6" s="611" t="s">
        <v>571</v>
      </c>
      <c r="I6" s="3480" t="s">
        <v>1</v>
      </c>
      <c r="J6" s="3480"/>
      <c r="K6" s="3480"/>
      <c r="L6" s="611" t="s">
        <v>571</v>
      </c>
      <c r="M6" s="3491" t="s">
        <v>1</v>
      </c>
      <c r="N6" s="3492"/>
      <c r="O6" s="3493"/>
      <c r="P6" s="3486"/>
    </row>
    <row r="7" spans="1:16" ht="43.5" customHeight="1">
      <c r="A7" s="612">
        <v>1</v>
      </c>
      <c r="B7" s="3108" t="s">
        <v>857</v>
      </c>
      <c r="C7" s="3110"/>
      <c r="D7" s="3110" t="s">
        <v>101</v>
      </c>
      <c r="E7" s="3111"/>
      <c r="F7" s="47" t="s">
        <v>4</v>
      </c>
      <c r="G7" s="107" t="s">
        <v>476</v>
      </c>
      <c r="H7" s="311">
        <f>'R.GUI MAIL'!H57</f>
        <v>19</v>
      </c>
      <c r="I7" s="61" t="s">
        <v>8</v>
      </c>
      <c r="J7" s="613">
        <f>'R.GUI MAIL'!K57</f>
        <v>0</v>
      </c>
      <c r="K7" s="614" t="s">
        <v>9</v>
      </c>
      <c r="L7" s="311">
        <f>'R.GUI MAIL'!N57</f>
        <v>19</v>
      </c>
      <c r="M7" s="61" t="s">
        <v>8</v>
      </c>
      <c r="N7" s="613">
        <f>'R.GUI MAIL'!Q57</f>
        <v>0</v>
      </c>
      <c r="O7" s="614" t="s">
        <v>9</v>
      </c>
      <c r="P7" s="615"/>
    </row>
    <row r="8" spans="1:16" ht="43.5" customHeight="1">
      <c r="A8" s="612">
        <v>2</v>
      </c>
      <c r="B8" s="3108" t="s">
        <v>858</v>
      </c>
      <c r="C8" s="3110" t="s">
        <v>479</v>
      </c>
      <c r="D8" s="3110" t="s">
        <v>479</v>
      </c>
      <c r="E8" s="3111" t="s">
        <v>479</v>
      </c>
      <c r="F8" s="47" t="s">
        <v>4</v>
      </c>
      <c r="G8" s="1949" t="s">
        <v>1533</v>
      </c>
      <c r="H8" s="1473">
        <f>'R.GUI MAIL'!H58</f>
        <v>60.357000000000006</v>
      </c>
      <c r="I8" s="61" t="s">
        <v>8</v>
      </c>
      <c r="J8" s="613">
        <f>'R.GUI MAIL'!K58</f>
        <v>0</v>
      </c>
      <c r="K8" s="614" t="s">
        <v>9</v>
      </c>
      <c r="L8" s="1473">
        <f>'R.GUI MAIL'!N58</f>
        <v>61.006000000000007</v>
      </c>
      <c r="M8" s="61" t="s">
        <v>8</v>
      </c>
      <c r="N8" s="613">
        <f>'R.GUI MAIL'!Q58</f>
        <v>0</v>
      </c>
      <c r="O8" s="614" t="s">
        <v>9</v>
      </c>
      <c r="P8" s="425"/>
    </row>
    <row r="9" spans="1:16" ht="43.5" customHeight="1">
      <c r="A9" s="612">
        <v>3</v>
      </c>
      <c r="B9" s="3108" t="s">
        <v>859</v>
      </c>
      <c r="C9" s="3110" t="s">
        <v>575</v>
      </c>
      <c r="D9" s="3110" t="s">
        <v>575</v>
      </c>
      <c r="E9" s="3111" t="s">
        <v>575</v>
      </c>
      <c r="F9" s="47" t="s">
        <v>4</v>
      </c>
      <c r="G9" s="1949" t="s">
        <v>1533</v>
      </c>
      <c r="H9" s="1473">
        <f>'R.GUI MAIL'!H59</f>
        <v>62.304000000000002</v>
      </c>
      <c r="I9" s="61" t="s">
        <v>8</v>
      </c>
      <c r="J9" s="613">
        <f>'R.GUI MAIL'!K59</f>
        <v>0</v>
      </c>
      <c r="K9" s="614" t="s">
        <v>10</v>
      </c>
      <c r="L9" s="1473">
        <f>'R.GUI MAIL'!N59</f>
        <v>62.952999999999996</v>
      </c>
      <c r="M9" s="61" t="s">
        <v>8</v>
      </c>
      <c r="N9" s="613">
        <f>'R.GUI MAIL'!Q59</f>
        <v>0</v>
      </c>
      <c r="O9" s="614" t="s">
        <v>10</v>
      </c>
      <c r="P9" s="425"/>
    </row>
    <row r="10" spans="1:16" ht="43.5" hidden="1" customHeight="1">
      <c r="A10" s="612">
        <v>4</v>
      </c>
      <c r="B10" s="2871" t="s">
        <v>576</v>
      </c>
      <c r="C10" s="2872" t="s">
        <v>577</v>
      </c>
      <c r="D10" s="2872" t="s">
        <v>577</v>
      </c>
      <c r="E10" s="2873" t="s">
        <v>577</v>
      </c>
      <c r="F10" s="45" t="s">
        <v>432</v>
      </c>
      <c r="G10" s="50" t="s">
        <v>978</v>
      </c>
      <c r="H10" s="311">
        <f>'R.GUI MAIL'!H60</f>
        <v>0</v>
      </c>
      <c r="I10" s="61" t="s">
        <v>8</v>
      </c>
      <c r="J10" s="613">
        <f>'R.GUI MAIL'!K60</f>
        <v>124.63199999999999</v>
      </c>
      <c r="K10" s="614" t="s">
        <v>9</v>
      </c>
      <c r="L10" s="311">
        <f>'R.GUI MAIL'!N60</f>
        <v>0</v>
      </c>
      <c r="M10" s="61" t="s">
        <v>8</v>
      </c>
      <c r="N10" s="613">
        <f>'R.GUI MAIL'!Q60</f>
        <v>124.63199999999999</v>
      </c>
      <c r="O10" s="614" t="s">
        <v>9</v>
      </c>
      <c r="P10" s="615"/>
    </row>
    <row r="11" spans="1:16" ht="43.5" customHeight="1">
      <c r="A11" s="612">
        <v>5</v>
      </c>
      <c r="B11" s="3494" t="s">
        <v>578</v>
      </c>
      <c r="C11" s="3495" t="s">
        <v>579</v>
      </c>
      <c r="D11" s="3495" t="s">
        <v>579</v>
      </c>
      <c r="E11" s="3496" t="s">
        <v>579</v>
      </c>
      <c r="F11" s="45" t="s">
        <v>432</v>
      </c>
      <c r="G11" s="50" t="s">
        <v>486</v>
      </c>
      <c r="H11" s="432">
        <f>'R.GUI MAIL'!H61</f>
        <v>1.2</v>
      </c>
      <c r="I11" s="61" t="s">
        <v>8</v>
      </c>
      <c r="J11" s="613">
        <f>'R.GUI MAIL'!K61</f>
        <v>0</v>
      </c>
      <c r="K11" s="614" t="s">
        <v>9</v>
      </c>
      <c r="L11" s="432">
        <f>'R.GUI MAIL'!N61</f>
        <v>0.96</v>
      </c>
      <c r="M11" s="61" t="s">
        <v>8</v>
      </c>
      <c r="N11" s="613">
        <f>'R.GUI MAIL'!Q61</f>
        <v>0</v>
      </c>
      <c r="O11" s="614" t="s">
        <v>9</v>
      </c>
      <c r="P11" s="425"/>
    </row>
    <row r="12" spans="1:16" ht="43.5" customHeight="1">
      <c r="A12" s="612">
        <v>6</v>
      </c>
      <c r="B12" s="3497" t="s">
        <v>580</v>
      </c>
      <c r="C12" s="3498" t="s">
        <v>581</v>
      </c>
      <c r="D12" s="3498" t="s">
        <v>581</v>
      </c>
      <c r="E12" s="3499" t="s">
        <v>581</v>
      </c>
      <c r="F12" s="440" t="s">
        <v>432</v>
      </c>
      <c r="G12" s="1371" t="s">
        <v>489</v>
      </c>
      <c r="H12" s="1372">
        <f>'R.GUI MAIL'!H62</f>
        <v>24.7</v>
      </c>
      <c r="I12" s="1373" t="s">
        <v>8</v>
      </c>
      <c r="J12" s="1374">
        <f>'R.GUI MAIL'!K62</f>
        <v>0</v>
      </c>
      <c r="K12" s="1375" t="s">
        <v>9</v>
      </c>
      <c r="L12" s="1372">
        <f>'R.GUI MAIL'!N62</f>
        <v>24.2</v>
      </c>
      <c r="M12" s="1373" t="s">
        <v>8</v>
      </c>
      <c r="N12" s="1374">
        <f>'R.GUI MAIL'!Q62</f>
        <v>0</v>
      </c>
      <c r="O12" s="1375" t="s">
        <v>9</v>
      </c>
      <c r="P12" s="1376"/>
    </row>
    <row r="13" spans="1:16" ht="43.5" hidden="1" customHeight="1">
      <c r="A13" s="1377">
        <v>7</v>
      </c>
      <c r="B13" s="3481" t="s">
        <v>582</v>
      </c>
      <c r="C13" s="3482" t="s">
        <v>583</v>
      </c>
      <c r="D13" s="3482" t="s">
        <v>583</v>
      </c>
      <c r="E13" s="3483" t="s">
        <v>583</v>
      </c>
      <c r="F13" s="1378" t="s">
        <v>432</v>
      </c>
      <c r="G13" s="1379" t="s">
        <v>492</v>
      </c>
      <c r="H13" s="1380">
        <f>'R.GUI MAIL'!H63</f>
        <v>8.8000000000000007</v>
      </c>
      <c r="I13" s="1381" t="s">
        <v>8</v>
      </c>
      <c r="J13" s="1382">
        <f>'R.GUI MAIL'!K63</f>
        <v>0</v>
      </c>
      <c r="K13" s="1383" t="s">
        <v>9</v>
      </c>
      <c r="L13" s="1380">
        <f>'R.GUI MAIL'!N63</f>
        <v>9</v>
      </c>
      <c r="M13" s="1381" t="s">
        <v>8</v>
      </c>
      <c r="N13" s="1382">
        <f>'R.GUI MAIL'!Q63</f>
        <v>0</v>
      </c>
      <c r="O13" s="1383" t="s">
        <v>9</v>
      </c>
      <c r="P13" s="1384"/>
    </row>
    <row r="14" spans="1:16" ht="43.5" hidden="1" customHeight="1">
      <c r="A14" s="1173">
        <v>8</v>
      </c>
      <c r="B14" s="2871" t="s">
        <v>584</v>
      </c>
      <c r="C14" s="2872" t="s">
        <v>494</v>
      </c>
      <c r="D14" s="2872" t="s">
        <v>494</v>
      </c>
      <c r="E14" s="2873" t="s">
        <v>494</v>
      </c>
      <c r="F14" s="1109" t="s">
        <v>5</v>
      </c>
      <c r="G14" s="50" t="s">
        <v>495</v>
      </c>
      <c r="H14" s="311">
        <f>'R.GUI MAIL'!H64</f>
        <v>7.5</v>
      </c>
      <c r="I14" s="61"/>
      <c r="J14" s="613"/>
      <c r="K14" s="614"/>
      <c r="L14" s="311">
        <f>'R.GUI MAIL'!N64</f>
        <v>7.8</v>
      </c>
      <c r="M14" s="61"/>
      <c r="N14" s="613"/>
      <c r="O14" s="614"/>
      <c r="P14" s="425"/>
    </row>
    <row r="15" spans="1:16" ht="43.5" hidden="1" customHeight="1">
      <c r="A15" s="612">
        <v>9</v>
      </c>
      <c r="B15" s="3494" t="s">
        <v>585</v>
      </c>
      <c r="C15" s="3495" t="s">
        <v>583</v>
      </c>
      <c r="D15" s="3495" t="s">
        <v>583</v>
      </c>
      <c r="E15" s="3496" t="s">
        <v>583</v>
      </c>
      <c r="F15" s="45" t="s">
        <v>5</v>
      </c>
      <c r="G15" s="50" t="s">
        <v>498</v>
      </c>
      <c r="H15" s="616">
        <f>'R.GUI MAIL'!H65</f>
        <v>5.6</v>
      </c>
      <c r="I15" s="61"/>
      <c r="J15" s="613"/>
      <c r="K15" s="614"/>
      <c r="L15" s="616">
        <f>'R.GUI MAIL'!N65</f>
        <v>5.5</v>
      </c>
      <c r="M15" s="61"/>
      <c r="N15" s="613"/>
      <c r="O15" s="614"/>
      <c r="P15" s="425"/>
    </row>
    <row r="16" spans="1:16" ht="43.5" hidden="1" customHeight="1">
      <c r="A16" s="612">
        <v>10</v>
      </c>
      <c r="B16" s="3494" t="s">
        <v>586</v>
      </c>
      <c r="C16" s="3495" t="s">
        <v>583</v>
      </c>
      <c r="D16" s="3495" t="s">
        <v>583</v>
      </c>
      <c r="E16" s="3496" t="s">
        <v>583</v>
      </c>
      <c r="F16" s="45" t="s">
        <v>5</v>
      </c>
      <c r="G16" s="50" t="s">
        <v>498</v>
      </c>
      <c r="H16" s="617">
        <f>'R.GUI MAIL'!H66</f>
        <v>0</v>
      </c>
      <c r="I16" s="61"/>
      <c r="J16" s="613"/>
      <c r="K16" s="614"/>
      <c r="L16" s="617">
        <f>'R.GUI MAIL'!N66</f>
        <v>0</v>
      </c>
      <c r="M16" s="61"/>
      <c r="N16" s="613"/>
      <c r="O16" s="614"/>
      <c r="P16" s="425"/>
    </row>
    <row r="17" spans="1:16" ht="43.5" hidden="1" customHeight="1">
      <c r="A17" s="612">
        <v>11</v>
      </c>
      <c r="B17" s="3494" t="s">
        <v>374</v>
      </c>
      <c r="C17" s="3495"/>
      <c r="D17" s="3495"/>
      <c r="E17" s="3496"/>
      <c r="F17" s="45" t="s">
        <v>3</v>
      </c>
      <c r="G17" s="618" t="s">
        <v>375</v>
      </c>
      <c r="H17" s="619" t="str">
        <f>IFERROR('ED-XI DEN'!L15*100,"")</f>
        <v/>
      </c>
      <c r="I17" s="61" t="s">
        <v>8</v>
      </c>
      <c r="J17" s="613" t="str">
        <f>'R.GUI MAIL'!K67</f>
        <v/>
      </c>
      <c r="K17" s="614" t="s">
        <v>10</v>
      </c>
      <c r="L17" s="425" t="s">
        <v>979</v>
      </c>
      <c r="M17" s="61"/>
      <c r="N17" s="613"/>
      <c r="O17" s="614"/>
      <c r="P17" s="425"/>
    </row>
    <row r="18" spans="1:16" ht="43.5" hidden="1" customHeight="1">
      <c r="A18" s="612">
        <v>12</v>
      </c>
      <c r="B18" s="3494" t="s">
        <v>376</v>
      </c>
      <c r="C18" s="3495"/>
      <c r="D18" s="3495"/>
      <c r="E18" s="3496"/>
      <c r="F18" s="45" t="s">
        <v>3</v>
      </c>
      <c r="G18" s="618" t="s">
        <v>377</v>
      </c>
      <c r="H18" s="619" t="str">
        <f>IFERROR('ED-XI DEN'!L16*100,"")</f>
        <v/>
      </c>
      <c r="I18" s="61" t="s">
        <v>8</v>
      </c>
      <c r="J18" s="613" t="str">
        <f>'R.GUI MAIL'!K68</f>
        <v/>
      </c>
      <c r="K18" s="614" t="s">
        <v>10</v>
      </c>
      <c r="L18" s="425" t="s">
        <v>979</v>
      </c>
      <c r="M18" s="61"/>
      <c r="N18" s="613"/>
      <c r="O18" s="614"/>
      <c r="P18" s="425"/>
    </row>
    <row r="19" spans="1:16" ht="43.5" hidden="1" customHeight="1">
      <c r="A19" s="612">
        <v>13</v>
      </c>
      <c r="B19" s="3494" t="s">
        <v>378</v>
      </c>
      <c r="C19" s="3495"/>
      <c r="D19" s="3495"/>
      <c r="E19" s="3496"/>
      <c r="F19" s="45" t="s">
        <v>3</v>
      </c>
      <c r="G19" s="618" t="s">
        <v>375</v>
      </c>
      <c r="H19" s="620" t="str">
        <f>IFERROR('ED-XI DEN'!L17*100,"")</f>
        <v/>
      </c>
      <c r="I19" s="61"/>
      <c r="J19" s="613" t="str">
        <f>'R.GUI MAIL'!K69</f>
        <v/>
      </c>
      <c r="K19" s="614"/>
      <c r="L19" s="425" t="str">
        <f t="shared" ref="L19:L20" si="0">H19</f>
        <v/>
      </c>
      <c r="M19" s="61"/>
      <c r="N19" s="613" t="str">
        <f>J19</f>
        <v/>
      </c>
      <c r="O19" s="614"/>
      <c r="P19" s="425"/>
    </row>
    <row r="20" spans="1:16" ht="43.5" hidden="1" customHeight="1">
      <c r="A20" s="612">
        <v>14</v>
      </c>
      <c r="B20" s="3494" t="s">
        <v>379</v>
      </c>
      <c r="C20" s="3495"/>
      <c r="D20" s="3495"/>
      <c r="E20" s="3496"/>
      <c r="F20" s="45" t="s">
        <v>3</v>
      </c>
      <c r="G20" s="618" t="s">
        <v>377</v>
      </c>
      <c r="H20" s="620" t="str">
        <f>IFERROR('ED-XI DEN'!L18*100,"")</f>
        <v/>
      </c>
      <c r="I20" s="61"/>
      <c r="J20" s="613" t="str">
        <f>'R.GUI MAIL'!K70</f>
        <v/>
      </c>
      <c r="K20" s="614"/>
      <c r="L20" s="425" t="str">
        <f t="shared" si="0"/>
        <v/>
      </c>
      <c r="M20" s="61"/>
      <c r="N20" s="613" t="str">
        <f>J20</f>
        <v/>
      </c>
      <c r="O20" s="614"/>
      <c r="P20" s="425"/>
    </row>
    <row r="21" spans="1:16" ht="43.5" hidden="1" customHeight="1">
      <c r="A21" s="612">
        <v>15</v>
      </c>
      <c r="B21" s="3494" t="s">
        <v>380</v>
      </c>
      <c r="C21" s="3495" t="s">
        <v>380</v>
      </c>
      <c r="D21" s="3495" t="s">
        <v>380</v>
      </c>
      <c r="E21" s="3496" t="s">
        <v>380</v>
      </c>
      <c r="F21" s="45" t="s">
        <v>3</v>
      </c>
      <c r="G21" s="50" t="s">
        <v>381</v>
      </c>
      <c r="H21" s="621" t="str">
        <f>IFERROR('ED-XI DEN'!L19*100,"")</f>
        <v/>
      </c>
      <c r="I21" s="61"/>
      <c r="J21" s="613"/>
      <c r="K21" s="614"/>
      <c r="L21" s="425" t="s">
        <v>979</v>
      </c>
      <c r="M21" s="61"/>
      <c r="N21" s="613"/>
      <c r="O21" s="614"/>
      <c r="P21" s="425"/>
    </row>
    <row r="22" spans="1:16" ht="43.5" hidden="1" customHeight="1">
      <c r="A22" s="612">
        <v>16</v>
      </c>
      <c r="B22" s="3494" t="s">
        <v>383</v>
      </c>
      <c r="C22" s="3495" t="s">
        <v>383</v>
      </c>
      <c r="D22" s="3495" t="s">
        <v>383</v>
      </c>
      <c r="E22" s="3496" t="s">
        <v>383</v>
      </c>
      <c r="F22" s="45" t="s">
        <v>3</v>
      </c>
      <c r="G22" s="50" t="s">
        <v>384</v>
      </c>
      <c r="H22" s="309" t="str">
        <f>IFERROR('ED-XI DEN'!L20*100,"")</f>
        <v/>
      </c>
      <c r="I22" s="61"/>
      <c r="J22" s="613"/>
      <c r="K22" s="614"/>
      <c r="L22" s="425" t="s">
        <v>979</v>
      </c>
      <c r="M22" s="61"/>
      <c r="N22" s="613"/>
      <c r="O22" s="614"/>
      <c r="P22" s="425"/>
    </row>
    <row r="23" spans="1:16" ht="55.5" customHeight="1">
      <c r="A23" s="49"/>
      <c r="B23" s="483"/>
      <c r="C23" s="484"/>
      <c r="D23" s="484"/>
      <c r="E23" s="484"/>
      <c r="F23" s="484"/>
      <c r="G23" s="484"/>
      <c r="H23" s="485" t="s">
        <v>110</v>
      </c>
      <c r="I23" s="484"/>
      <c r="J23" s="484"/>
      <c r="K23" s="484"/>
      <c r="L23" s="484"/>
      <c r="M23" s="484"/>
      <c r="N23" s="484"/>
      <c r="O23" s="484"/>
      <c r="P23" s="486"/>
    </row>
    <row r="24" spans="1:16" ht="43.5" customHeight="1">
      <c r="A24" s="622" t="s">
        <v>7</v>
      </c>
      <c r="B24" s="3500" t="s">
        <v>62</v>
      </c>
      <c r="C24" s="3501"/>
      <c r="D24" s="3501"/>
      <c r="E24" s="3502"/>
      <c r="F24" s="623" t="s">
        <v>64</v>
      </c>
      <c r="G24" s="257" t="s">
        <v>65</v>
      </c>
      <c r="H24" s="624" t="s">
        <v>46</v>
      </c>
      <c r="I24" s="2944" t="s">
        <v>63</v>
      </c>
      <c r="J24" s="2942"/>
      <c r="K24" s="2942"/>
      <c r="L24" s="624" t="s">
        <v>46</v>
      </c>
      <c r="M24" s="2944" t="s">
        <v>63</v>
      </c>
      <c r="N24" s="2942"/>
      <c r="O24" s="2943"/>
      <c r="P24" s="625" t="s">
        <v>91</v>
      </c>
    </row>
    <row r="25" spans="1:16" ht="43.5" customHeight="1">
      <c r="A25" s="622">
        <v>1</v>
      </c>
      <c r="B25" s="2954" t="s">
        <v>475</v>
      </c>
      <c r="C25" s="2955"/>
      <c r="D25" s="2955"/>
      <c r="E25" s="2956"/>
      <c r="F25" s="256" t="s">
        <v>196</v>
      </c>
      <c r="G25" s="50" t="s">
        <v>721</v>
      </c>
      <c r="H25" s="489">
        <f>'R.FILE GOC'!H75</f>
        <v>56</v>
      </c>
      <c r="I25" s="2928">
        <f>'R.GUI MAIL'!K75</f>
        <v>59</v>
      </c>
      <c r="J25" s="2929"/>
      <c r="K25" s="2924"/>
      <c r="L25" s="489">
        <f>'R.FILE GOC'!N75</f>
        <v>58</v>
      </c>
      <c r="M25" s="2928">
        <f>'R.GUI MAIL'!Q75</f>
        <v>60</v>
      </c>
      <c r="N25" s="2929"/>
      <c r="O25" s="2924"/>
      <c r="P25" s="425"/>
    </row>
    <row r="26" spans="1:16" ht="43.5" customHeight="1">
      <c r="A26" s="622">
        <v>2</v>
      </c>
      <c r="B26" s="2954" t="s">
        <v>479</v>
      </c>
      <c r="C26" s="2955" t="s">
        <v>479</v>
      </c>
      <c r="D26" s="2955" t="s">
        <v>479</v>
      </c>
      <c r="E26" s="2956" t="s">
        <v>479</v>
      </c>
      <c r="F26" s="256" t="s">
        <v>196</v>
      </c>
      <c r="G26" s="50" t="s">
        <v>721</v>
      </c>
      <c r="H26" s="489">
        <f>'R.FILE GOC'!H76</f>
        <v>61</v>
      </c>
      <c r="I26" s="2928">
        <f>'R.GUI MAIL'!K76</f>
        <v>59</v>
      </c>
      <c r="J26" s="2929"/>
      <c r="K26" s="2924"/>
      <c r="L26" s="489">
        <f>'R.FILE GOC'!N76</f>
        <v>61</v>
      </c>
      <c r="M26" s="2928">
        <f>'R.GUI MAIL'!Q76</f>
        <v>59</v>
      </c>
      <c r="N26" s="2929"/>
      <c r="O26" s="2924"/>
      <c r="P26" s="425"/>
    </row>
    <row r="27" spans="1:16" ht="43.5" customHeight="1">
      <c r="A27" s="622">
        <v>3</v>
      </c>
      <c r="B27" s="2954" t="s">
        <v>481</v>
      </c>
      <c r="C27" s="2955" t="s">
        <v>481</v>
      </c>
      <c r="D27" s="2955" t="s">
        <v>481</v>
      </c>
      <c r="E27" s="2956" t="s">
        <v>481</v>
      </c>
      <c r="F27" s="256" t="s">
        <v>196</v>
      </c>
      <c r="G27" s="50" t="s">
        <v>721</v>
      </c>
      <c r="H27" s="489">
        <f>'R.FILE GOC'!H77</f>
        <v>58</v>
      </c>
      <c r="I27" s="2928">
        <f>'R.GUI MAIL'!K77</f>
        <v>59</v>
      </c>
      <c r="J27" s="2929"/>
      <c r="K27" s="2924"/>
      <c r="L27" s="489">
        <f>'R.FILE GOC'!N77</f>
        <v>58</v>
      </c>
      <c r="M27" s="2928">
        <f>'R.GUI MAIL'!Q77</f>
        <v>59</v>
      </c>
      <c r="N27" s="2929"/>
      <c r="O27" s="2924"/>
      <c r="P27" s="425"/>
    </row>
    <row r="28" spans="1:16" ht="43.5" customHeight="1">
      <c r="A28" s="622">
        <v>4</v>
      </c>
      <c r="B28" s="2954" t="s">
        <v>512</v>
      </c>
      <c r="C28" s="2955" t="s">
        <v>512</v>
      </c>
      <c r="D28" s="2955" t="s">
        <v>512</v>
      </c>
      <c r="E28" s="2956" t="s">
        <v>512</v>
      </c>
      <c r="F28" s="256" t="s">
        <v>196</v>
      </c>
      <c r="G28" s="50" t="s">
        <v>722</v>
      </c>
      <c r="H28" s="489">
        <f>'R.FILE GOC'!H78</f>
        <v>40</v>
      </c>
      <c r="I28" s="2928">
        <f>'R.GUI MAIL'!K78</f>
        <v>38</v>
      </c>
      <c r="J28" s="2929"/>
      <c r="K28" s="2924"/>
      <c r="L28" s="489">
        <f>'R.FILE GOC'!N78</f>
        <v>42</v>
      </c>
      <c r="M28" s="2928">
        <f>'R.GUI MAIL'!Q78</f>
        <v>41</v>
      </c>
      <c r="N28" s="2929"/>
      <c r="O28" s="2924"/>
      <c r="P28" s="425"/>
    </row>
    <row r="29" spans="1:16" ht="43.5" customHeight="1">
      <c r="A29" s="622">
        <v>5</v>
      </c>
      <c r="B29" s="2954" t="s">
        <v>587</v>
      </c>
      <c r="C29" s="2955"/>
      <c r="D29" s="2955"/>
      <c r="E29" s="2956"/>
      <c r="F29" s="256" t="s">
        <v>196</v>
      </c>
      <c r="G29" s="50" t="s">
        <v>723</v>
      </c>
      <c r="H29" s="489">
        <f>'R.FILE GOC'!H79</f>
        <v>30</v>
      </c>
      <c r="I29" s="2928">
        <f>'R.GUI MAIL'!K79</f>
        <v>26</v>
      </c>
      <c r="J29" s="2929"/>
      <c r="K29" s="2924"/>
      <c r="L29" s="489">
        <f>'R.FILE GOC'!N79</f>
        <v>29</v>
      </c>
      <c r="M29" s="2928">
        <f>'R.GUI MAIL'!Q79</f>
        <v>25</v>
      </c>
      <c r="N29" s="2929"/>
      <c r="O29" s="2924"/>
      <c r="P29" s="425"/>
    </row>
    <row r="30" spans="1:16" ht="43.5" hidden="1" customHeight="1">
      <c r="A30" s="622"/>
      <c r="B30" s="2954" t="s">
        <v>588</v>
      </c>
      <c r="C30" s="2955"/>
      <c r="D30" s="2955"/>
      <c r="E30" s="2956"/>
      <c r="F30" s="256" t="s">
        <v>196</v>
      </c>
      <c r="G30" s="50" t="s">
        <v>723</v>
      </c>
      <c r="H30" s="489">
        <f>'R.FILE GOC'!H80</f>
        <v>0</v>
      </c>
      <c r="I30" s="2928">
        <f>'R.GUI MAIL'!K80</f>
        <v>0</v>
      </c>
      <c r="J30" s="2929"/>
      <c r="K30" s="2924"/>
      <c r="L30" s="489">
        <f>'R.FILE GOC'!N80</f>
        <v>0</v>
      </c>
      <c r="M30" s="2928">
        <f>'R.GUI MAIL'!Q80</f>
        <v>0</v>
      </c>
      <c r="N30" s="2929"/>
      <c r="O30" s="2924"/>
      <c r="P30" s="425"/>
    </row>
    <row r="31" spans="1:16" ht="43.5" customHeight="1">
      <c r="A31" s="622">
        <v>6</v>
      </c>
      <c r="B31" s="2954" t="s">
        <v>520</v>
      </c>
      <c r="C31" s="2955" t="s">
        <v>520</v>
      </c>
      <c r="D31" s="2955" t="s">
        <v>520</v>
      </c>
      <c r="E31" s="2956" t="s">
        <v>520</v>
      </c>
      <c r="F31" s="256" t="s">
        <v>196</v>
      </c>
      <c r="G31" s="50" t="s">
        <v>724</v>
      </c>
      <c r="H31" s="255" t="str">
        <f>'R.FILE GOC'!H81</f>
        <v>\</v>
      </c>
      <c r="I31" s="2928">
        <f>'R.GUI MAIL'!K81</f>
        <v>171</v>
      </c>
      <c r="J31" s="2929"/>
      <c r="K31" s="2929"/>
      <c r="L31" s="255" t="str">
        <f>'R.FILE GOC'!N81</f>
        <v>\</v>
      </c>
      <c r="M31" s="2928">
        <f>'R.GUI MAIL'!Q81</f>
        <v>178</v>
      </c>
      <c r="N31" s="2929"/>
      <c r="O31" s="2929"/>
      <c r="P31" s="425"/>
    </row>
    <row r="32" spans="1:16" ht="45" hidden="1" customHeight="1">
      <c r="A32" s="49"/>
      <c r="B32" s="490"/>
      <c r="C32" s="491"/>
      <c r="D32" s="491"/>
      <c r="E32" s="491"/>
      <c r="F32" s="491"/>
      <c r="G32" s="491"/>
      <c r="H32" s="492" t="s">
        <v>522</v>
      </c>
      <c r="I32" s="491"/>
      <c r="J32" s="491"/>
      <c r="K32" s="491"/>
      <c r="L32" s="491"/>
      <c r="M32" s="491"/>
      <c r="N32" s="491"/>
      <c r="O32" s="491"/>
      <c r="P32" s="493"/>
    </row>
    <row r="33" spans="1:16" ht="45" hidden="1" customHeight="1">
      <c r="A33" s="622">
        <v>1</v>
      </c>
      <c r="B33" s="2871" t="s">
        <v>522</v>
      </c>
      <c r="C33" s="2872"/>
      <c r="D33" s="2872"/>
      <c r="E33" s="2873"/>
      <c r="F33" s="257" t="s">
        <v>523</v>
      </c>
      <c r="G33" s="257" t="s">
        <v>524</v>
      </c>
      <c r="H33" s="2944">
        <f>'R.FILE GOC'!H83</f>
        <v>0</v>
      </c>
      <c r="I33" s="2942"/>
      <c r="J33" s="2942"/>
      <c r="K33" s="2942"/>
      <c r="L33" s="2944">
        <f>'R.FILE GOC'!N83</f>
        <v>0</v>
      </c>
      <c r="M33" s="2942"/>
      <c r="N33" s="2942"/>
      <c r="O33" s="2943"/>
      <c r="P33" s="625"/>
    </row>
    <row r="34" spans="1:16" ht="45" hidden="1" customHeight="1">
      <c r="A34" s="622">
        <v>2</v>
      </c>
      <c r="B34" s="2954" t="s">
        <v>525</v>
      </c>
      <c r="C34" s="2955"/>
      <c r="D34" s="2955"/>
      <c r="E34" s="2956"/>
      <c r="F34" s="257" t="s">
        <v>523</v>
      </c>
      <c r="G34" s="50" t="s">
        <v>526</v>
      </c>
      <c r="H34" s="2944">
        <f>'R.FILE GOC'!H84</f>
        <v>0</v>
      </c>
      <c r="I34" s="2942"/>
      <c r="J34" s="2942"/>
      <c r="K34" s="2942"/>
      <c r="L34" s="2944">
        <f>'R.FILE GOC'!N84</f>
        <v>0</v>
      </c>
      <c r="M34" s="2942"/>
      <c r="N34" s="2942"/>
      <c r="O34" s="2943"/>
      <c r="P34" s="425"/>
    </row>
  </sheetData>
  <sheetProtection formatCells="0" formatColumns="0" formatRows="0" insertColumns="0" insertRows="0" insertHyperlinks="0" deleteColumns="0" deleteRows="0" selectLockedCells="1" sort="0" autoFilter="0" pivotTables="0"/>
  <mergeCells count="59">
    <mergeCell ref="B34:E34"/>
    <mergeCell ref="H34:K34"/>
    <mergeCell ref="L34:O34"/>
    <mergeCell ref="B31:E31"/>
    <mergeCell ref="I31:K31"/>
    <mergeCell ref="M31:O31"/>
    <mergeCell ref="B33:E33"/>
    <mergeCell ref="H33:K33"/>
    <mergeCell ref="L33:O33"/>
    <mergeCell ref="B29:E29"/>
    <mergeCell ref="I29:K29"/>
    <mergeCell ref="M29:O29"/>
    <mergeCell ref="B30:E30"/>
    <mergeCell ref="I30:K30"/>
    <mergeCell ref="M30:O30"/>
    <mergeCell ref="B27:E27"/>
    <mergeCell ref="I27:K27"/>
    <mergeCell ref="M27:O27"/>
    <mergeCell ref="B28:E28"/>
    <mergeCell ref="I28:K28"/>
    <mergeCell ref="M28:O28"/>
    <mergeCell ref="B25:E25"/>
    <mergeCell ref="I25:K25"/>
    <mergeCell ref="M25:O25"/>
    <mergeCell ref="B26:E26"/>
    <mergeCell ref="I26:K26"/>
    <mergeCell ref="M26:O26"/>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A1:J1"/>
    <mergeCell ref="A2:M2"/>
    <mergeCell ref="N2:O2"/>
    <mergeCell ref="N3:O3"/>
    <mergeCell ref="A4:A6"/>
    <mergeCell ref="B4:E6"/>
    <mergeCell ref="F4:F6"/>
    <mergeCell ref="G4:G6"/>
  </mergeCells>
  <phoneticPr fontId="7" type="noConversion"/>
  <conditionalFormatting sqref="H10">
    <cfRule type="expression" dxfId="577" priority="205">
      <formula>H10&lt;5</formula>
    </cfRule>
    <cfRule type="expression" dxfId="576" priority="206">
      <formula>H10&gt;15</formula>
    </cfRule>
  </conditionalFormatting>
  <conditionalFormatting sqref="H11">
    <cfRule type="expression" dxfId="575" priority="204">
      <formula>H11&gt;1.5</formula>
    </cfRule>
  </conditionalFormatting>
  <conditionalFormatting sqref="H12">
    <cfRule type="expression" dxfId="574" priority="202">
      <formula>H12&lt;20</formula>
    </cfRule>
    <cfRule type="expression" dxfId="573" priority="203">
      <formula>H12&gt;25</formula>
    </cfRule>
  </conditionalFormatting>
  <conditionalFormatting sqref="H13">
    <cfRule type="expression" dxfId="572" priority="200">
      <formula>H13&lt;6</formula>
    </cfRule>
    <cfRule type="expression" dxfId="571" priority="201">
      <formula>H13&gt;9</formula>
    </cfRule>
  </conditionalFormatting>
  <conditionalFormatting sqref="H14">
    <cfRule type="expression" dxfId="570" priority="198">
      <formula>H14&lt;7</formula>
    </cfRule>
    <cfRule type="expression" dxfId="569" priority="199">
      <formula>H14&gt;10</formula>
    </cfRule>
  </conditionalFormatting>
  <conditionalFormatting sqref="H15">
    <cfRule type="expression" dxfId="568" priority="196">
      <formula>H15&lt;5.3</formula>
    </cfRule>
    <cfRule type="expression" dxfId="567" priority="197">
      <formula>H15&gt;6</formula>
    </cfRule>
  </conditionalFormatting>
  <conditionalFormatting sqref="H16">
    <cfRule type="expression" dxfId="566" priority="194">
      <formula>H16&lt;5.3</formula>
    </cfRule>
    <cfRule type="expression" dxfId="565" priority="195">
      <formula>H16&gt;6</formula>
    </cfRule>
  </conditionalFormatting>
  <conditionalFormatting sqref="H17">
    <cfRule type="expression" dxfId="564" priority="192">
      <formula>H17&lt;12</formula>
    </cfRule>
    <cfRule type="expression" dxfId="563" priority="193">
      <formula>H17&gt;18</formula>
    </cfRule>
  </conditionalFormatting>
  <conditionalFormatting sqref="H19">
    <cfRule type="expression" dxfId="562" priority="190">
      <formula>H19&lt;12</formula>
    </cfRule>
    <cfRule type="expression" dxfId="561" priority="191">
      <formula>H19&gt;18</formula>
    </cfRule>
  </conditionalFormatting>
  <conditionalFormatting sqref="H18">
    <cfRule type="expression" dxfId="560" priority="188">
      <formula>H18&lt;8</formula>
    </cfRule>
    <cfRule type="expression" dxfId="559" priority="189">
      <formula>H18&gt;16</formula>
    </cfRule>
  </conditionalFormatting>
  <conditionalFormatting sqref="H20">
    <cfRule type="expression" dxfId="558" priority="186">
      <formula>H20&lt;8</formula>
    </cfRule>
    <cfRule type="expression" dxfId="557" priority="187">
      <formula>H20&gt;16</formula>
    </cfRule>
  </conditionalFormatting>
  <conditionalFormatting sqref="L10">
    <cfRule type="expression" dxfId="556" priority="184">
      <formula>L10&lt;5</formula>
    </cfRule>
    <cfRule type="expression" dxfId="555" priority="185">
      <formula>L10&gt;15</formula>
    </cfRule>
  </conditionalFormatting>
  <conditionalFormatting sqref="L11">
    <cfRule type="expression" dxfId="554" priority="183">
      <formula>L11&gt;1.5</formula>
    </cfRule>
  </conditionalFormatting>
  <conditionalFormatting sqref="L12">
    <cfRule type="expression" dxfId="553" priority="181">
      <formula>L12&lt;20</formula>
    </cfRule>
    <cfRule type="expression" dxfId="552" priority="182">
      <formula>L12&gt;25</formula>
    </cfRule>
  </conditionalFormatting>
  <conditionalFormatting sqref="L13">
    <cfRule type="expression" dxfId="551" priority="179">
      <formula>L13&lt;6</formula>
    </cfRule>
    <cfRule type="expression" dxfId="550" priority="180">
      <formula>L13&gt;9</formula>
    </cfRule>
  </conditionalFormatting>
  <conditionalFormatting sqref="L14">
    <cfRule type="expression" dxfId="549" priority="177">
      <formula>L14&lt;7</formula>
    </cfRule>
    <cfRule type="expression" dxfId="548" priority="178">
      <formula>L14&gt;10</formula>
    </cfRule>
  </conditionalFormatting>
  <conditionalFormatting sqref="L15">
    <cfRule type="expression" dxfId="547" priority="175">
      <formula>L15&lt;5.3</formula>
    </cfRule>
    <cfRule type="expression" dxfId="546" priority="176">
      <formula>L15&gt;6</formula>
    </cfRule>
  </conditionalFormatting>
  <conditionalFormatting sqref="L16">
    <cfRule type="expression" dxfId="545" priority="173">
      <formula>L16&lt;5.3</formula>
    </cfRule>
    <cfRule type="expression" dxfId="544" priority="174">
      <formula>L16&gt;6</formula>
    </cfRule>
  </conditionalFormatting>
  <conditionalFormatting sqref="L25">
    <cfRule type="expression" dxfId="543" priority="163">
      <formula>L25&lt;51</formula>
    </cfRule>
    <cfRule type="expression" dxfId="542" priority="164">
      <formula>L25&gt;59</formula>
    </cfRule>
  </conditionalFormatting>
  <conditionalFormatting sqref="L25">
    <cfRule type="expression" dxfId="541" priority="162">
      <formula>L25&lt;1</formula>
    </cfRule>
  </conditionalFormatting>
  <conditionalFormatting sqref="L26:L27">
    <cfRule type="expression" dxfId="540" priority="160">
      <formula>L26&lt;51</formula>
    </cfRule>
    <cfRule type="expression" dxfId="539" priority="161">
      <formula>L26&gt;59</formula>
    </cfRule>
  </conditionalFormatting>
  <conditionalFormatting sqref="L26:L27">
    <cfRule type="expression" dxfId="538" priority="159">
      <formula>L26&lt;1</formula>
    </cfRule>
  </conditionalFormatting>
  <conditionalFormatting sqref="L28">
    <cfRule type="expression" dxfId="537" priority="157">
      <formula>L28&lt;30</formula>
    </cfRule>
    <cfRule type="expression" dxfId="536" priority="158">
      <formula>L28&gt;40</formula>
    </cfRule>
  </conditionalFormatting>
  <conditionalFormatting sqref="L28">
    <cfRule type="expression" dxfId="535" priority="156">
      <formula>L28&lt;1</formula>
    </cfRule>
  </conditionalFormatting>
  <conditionalFormatting sqref="L29">
    <cfRule type="expression" dxfId="534" priority="154">
      <formula>L29&lt;26</formula>
    </cfRule>
    <cfRule type="expression" dxfId="533" priority="155">
      <formula>L29&gt;32</formula>
    </cfRule>
  </conditionalFormatting>
  <conditionalFormatting sqref="L29">
    <cfRule type="expression" dxfId="532" priority="153">
      <formula>L29&lt;1</formula>
    </cfRule>
  </conditionalFormatting>
  <conditionalFormatting sqref="L30">
    <cfRule type="expression" dxfId="531" priority="151">
      <formula>L30&lt;26</formula>
    </cfRule>
    <cfRule type="expression" dxfId="530" priority="152">
      <formula>L30&gt;32</formula>
    </cfRule>
  </conditionalFormatting>
  <conditionalFormatting sqref="L30">
    <cfRule type="expression" dxfId="529" priority="150">
      <formula>L30&lt;1</formula>
    </cfRule>
  </conditionalFormatting>
  <conditionalFormatting sqref="H25">
    <cfRule type="expression" dxfId="528" priority="148">
      <formula>H25&lt;51</formula>
    </cfRule>
    <cfRule type="expression" dxfId="527" priority="149">
      <formula>H25&gt;59</formula>
    </cfRule>
  </conditionalFormatting>
  <conditionalFormatting sqref="H25">
    <cfRule type="expression" dxfId="526" priority="147">
      <formula>H25&lt;1</formula>
    </cfRule>
  </conditionalFormatting>
  <conditionalFormatting sqref="H26:H27">
    <cfRule type="expression" dxfId="525" priority="145">
      <formula>H26&lt;51</formula>
    </cfRule>
    <cfRule type="expression" dxfId="524" priority="146">
      <formula>H26&gt;59</formula>
    </cfRule>
  </conditionalFormatting>
  <conditionalFormatting sqref="H26:H27">
    <cfRule type="expression" dxfId="523" priority="144">
      <formula>H26&lt;1</formula>
    </cfRule>
  </conditionalFormatting>
  <conditionalFormatting sqref="H28">
    <cfRule type="expression" dxfId="522" priority="142">
      <formula>H28&lt;30</formula>
    </cfRule>
    <cfRule type="expression" dxfId="521" priority="143">
      <formula>H28&gt;40</formula>
    </cfRule>
  </conditionalFormatting>
  <conditionalFormatting sqref="H28">
    <cfRule type="expression" dxfId="520" priority="141">
      <formula>H28&lt;1</formula>
    </cfRule>
  </conditionalFormatting>
  <conditionalFormatting sqref="H29">
    <cfRule type="expression" dxfId="519" priority="139">
      <formula>H29&lt;26</formula>
    </cfRule>
    <cfRule type="expression" dxfId="518" priority="140">
      <formula>H29&gt;32</formula>
    </cfRule>
  </conditionalFormatting>
  <conditionalFormatting sqref="H29">
    <cfRule type="expression" dxfId="517" priority="138">
      <formula>H29&lt;1</formula>
    </cfRule>
  </conditionalFormatting>
  <conditionalFormatting sqref="H30">
    <cfRule type="expression" dxfId="516" priority="136">
      <formula>H30&lt;26</formula>
    </cfRule>
    <cfRule type="expression" dxfId="515" priority="137">
      <formula>H30&gt;32</formula>
    </cfRule>
  </conditionalFormatting>
  <conditionalFormatting sqref="H30">
    <cfRule type="expression" dxfId="514" priority="135">
      <formula>H30&lt;1</formula>
    </cfRule>
  </conditionalFormatting>
  <conditionalFormatting sqref="I25:K25">
    <cfRule type="expression" dxfId="513" priority="125">
      <formula>I25&lt;51</formula>
    </cfRule>
    <cfRule type="expression" dxfId="512" priority="126">
      <formula>I25&gt;59</formula>
    </cfRule>
  </conditionalFormatting>
  <conditionalFormatting sqref="I25:K25">
    <cfRule type="expression" dxfId="511" priority="124">
      <formula>I25&lt;1</formula>
    </cfRule>
  </conditionalFormatting>
  <conditionalFormatting sqref="I26:K27">
    <cfRule type="expression" dxfId="510" priority="122">
      <formula>I26&lt;51</formula>
    </cfRule>
    <cfRule type="expression" dxfId="509" priority="123">
      <formula>I26&gt;59</formula>
    </cfRule>
  </conditionalFormatting>
  <conditionalFormatting sqref="I26:K27">
    <cfRule type="expression" dxfId="508" priority="121">
      <formula>I26&lt;1</formula>
    </cfRule>
  </conditionalFormatting>
  <conditionalFormatting sqref="I28:K28">
    <cfRule type="expression" dxfId="507" priority="119">
      <formula>I28&lt;30</formula>
    </cfRule>
    <cfRule type="expression" dxfId="506" priority="120">
      <formula>I28&gt;40</formula>
    </cfRule>
  </conditionalFormatting>
  <conditionalFormatting sqref="I28:K28">
    <cfRule type="expression" dxfId="505" priority="118">
      <formula>I28&lt;1</formula>
    </cfRule>
  </conditionalFormatting>
  <conditionalFormatting sqref="I29:K29">
    <cfRule type="expression" dxfId="504" priority="116">
      <formula>I29&lt;26</formula>
    </cfRule>
    <cfRule type="expression" dxfId="503" priority="117">
      <formula>I29&gt;32</formula>
    </cfRule>
  </conditionalFormatting>
  <conditionalFormatting sqref="I29:K29">
    <cfRule type="expression" dxfId="502" priority="115">
      <formula>I29&lt;1</formula>
    </cfRule>
  </conditionalFormatting>
  <conditionalFormatting sqref="I30:K30">
    <cfRule type="expression" dxfId="501" priority="113">
      <formula>I30&lt;26</formula>
    </cfRule>
    <cfRule type="expression" dxfId="500" priority="114">
      <formula>I30&gt;32</formula>
    </cfRule>
  </conditionalFormatting>
  <conditionalFormatting sqref="I30:K30">
    <cfRule type="expression" dxfId="499" priority="112">
      <formula>I30&lt;1</formula>
    </cfRule>
  </conditionalFormatting>
  <conditionalFormatting sqref="I25:K25">
    <cfRule type="expression" dxfId="498" priority="110">
      <formula>I25&lt;51</formula>
    </cfRule>
    <cfRule type="expression" dxfId="497" priority="111">
      <formula>I25&gt;59</formula>
    </cfRule>
  </conditionalFormatting>
  <conditionalFormatting sqref="I25:K25">
    <cfRule type="expression" dxfId="496" priority="109">
      <formula>I25&lt;1</formula>
    </cfRule>
  </conditionalFormatting>
  <conditionalFormatting sqref="I26:K27">
    <cfRule type="expression" dxfId="495" priority="107">
      <formula>I26&lt;51</formula>
    </cfRule>
    <cfRule type="expression" dxfId="494" priority="108">
      <formula>I26&gt;59</formula>
    </cfRule>
  </conditionalFormatting>
  <conditionalFormatting sqref="I26:K27">
    <cfRule type="expression" dxfId="493" priority="106">
      <formula>I26&lt;1</formula>
    </cfRule>
  </conditionalFormatting>
  <conditionalFormatting sqref="I28:K28">
    <cfRule type="expression" dxfId="492" priority="104">
      <formula>I28&lt;30</formula>
    </cfRule>
    <cfRule type="expression" dxfId="491" priority="105">
      <formula>I28&gt;40</formula>
    </cfRule>
  </conditionalFormatting>
  <conditionalFormatting sqref="I28:K28">
    <cfRule type="expression" dxfId="490" priority="103">
      <formula>I28&lt;1</formula>
    </cfRule>
  </conditionalFormatting>
  <conditionalFormatting sqref="I29:K29">
    <cfRule type="expression" dxfId="489" priority="101">
      <formula>I29&lt;26</formula>
    </cfRule>
    <cfRule type="expression" dxfId="488" priority="102">
      <formula>I29&gt;32</formula>
    </cfRule>
  </conditionalFormatting>
  <conditionalFormatting sqref="I29:K29">
    <cfRule type="expression" dxfId="487" priority="100">
      <formula>I29&lt;1</formula>
    </cfRule>
  </conditionalFormatting>
  <conditionalFormatting sqref="I30:K30">
    <cfRule type="expression" dxfId="486" priority="98">
      <formula>I30&lt;26</formula>
    </cfRule>
    <cfRule type="expression" dxfId="485" priority="99">
      <formula>I30&gt;32</formula>
    </cfRule>
  </conditionalFormatting>
  <conditionalFormatting sqref="I30:K30">
    <cfRule type="expression" dxfId="484" priority="97">
      <formula>I30&lt;1</formula>
    </cfRule>
  </conditionalFormatting>
  <conditionalFormatting sqref="I31">
    <cfRule type="expression" dxfId="483" priority="95">
      <formula>I31&lt;170</formula>
    </cfRule>
    <cfRule type="expression" dxfId="482" priority="96">
      <formula>I31&gt;220</formula>
    </cfRule>
  </conditionalFormatting>
  <conditionalFormatting sqref="I31">
    <cfRule type="expression" dxfId="481" priority="94">
      <formula>I31&lt;1</formula>
    </cfRule>
  </conditionalFormatting>
  <conditionalFormatting sqref="M25:O25">
    <cfRule type="expression" dxfId="480" priority="92">
      <formula>M25&lt;51</formula>
    </cfRule>
    <cfRule type="expression" dxfId="479" priority="93">
      <formula>M25&gt;59</formula>
    </cfRule>
  </conditionalFormatting>
  <conditionalFormatting sqref="M25:O25">
    <cfRule type="expression" dxfId="478" priority="91">
      <formula>M25&lt;1</formula>
    </cfRule>
  </conditionalFormatting>
  <conditionalFormatting sqref="M26:O27">
    <cfRule type="expression" dxfId="477" priority="89">
      <formula>M26&lt;51</formula>
    </cfRule>
    <cfRule type="expression" dxfId="476" priority="90">
      <formula>M26&gt;59</formula>
    </cfRule>
  </conditionalFormatting>
  <conditionalFormatting sqref="M26:O27">
    <cfRule type="expression" dxfId="475" priority="88">
      <formula>M26&lt;1</formula>
    </cfRule>
  </conditionalFormatting>
  <conditionalFormatting sqref="M28:O28">
    <cfRule type="expression" dxfId="474" priority="86">
      <formula>M28&lt;30</formula>
    </cfRule>
    <cfRule type="expression" dxfId="473" priority="87">
      <formula>M28&gt;40</formula>
    </cfRule>
  </conditionalFormatting>
  <conditionalFormatting sqref="M28:O28">
    <cfRule type="expression" dxfId="472" priority="85">
      <formula>M28&lt;1</formula>
    </cfRule>
  </conditionalFormatting>
  <conditionalFormatting sqref="M29:O29">
    <cfRule type="expression" dxfId="471" priority="83">
      <formula>M29&lt;26</formula>
    </cfRule>
    <cfRule type="expression" dxfId="470" priority="84">
      <formula>M29&gt;32</formula>
    </cfRule>
  </conditionalFormatting>
  <conditionalFormatting sqref="M29:O29">
    <cfRule type="expression" dxfId="469" priority="82">
      <formula>M29&lt;1</formula>
    </cfRule>
  </conditionalFormatting>
  <conditionalFormatting sqref="M30:O30">
    <cfRule type="expression" dxfId="468" priority="80">
      <formula>M30&lt;26</formula>
    </cfRule>
    <cfRule type="expression" dxfId="467" priority="81">
      <formula>M30&gt;32</formula>
    </cfRule>
  </conditionalFormatting>
  <conditionalFormatting sqref="M30:O30">
    <cfRule type="expression" dxfId="466" priority="79">
      <formula>M30&lt;1</formula>
    </cfRule>
  </conditionalFormatting>
  <conditionalFormatting sqref="M25:O25">
    <cfRule type="expression" dxfId="465" priority="77">
      <formula>M25&lt;51</formula>
    </cfRule>
    <cfRule type="expression" dxfId="464" priority="78">
      <formula>M25&gt;59</formula>
    </cfRule>
  </conditionalFormatting>
  <conditionalFormatting sqref="M25:O25">
    <cfRule type="expression" dxfId="463" priority="76">
      <formula>M25&lt;1</formula>
    </cfRule>
  </conditionalFormatting>
  <conditionalFormatting sqref="M26:O27">
    <cfRule type="expression" dxfId="462" priority="74">
      <formula>M26&lt;51</formula>
    </cfRule>
    <cfRule type="expression" dxfId="461" priority="75">
      <formula>M26&gt;59</formula>
    </cfRule>
  </conditionalFormatting>
  <conditionalFormatting sqref="M26:O27">
    <cfRule type="expression" dxfId="460" priority="73">
      <formula>M26&lt;1</formula>
    </cfRule>
  </conditionalFormatting>
  <conditionalFormatting sqref="M28:O28">
    <cfRule type="expression" dxfId="459" priority="71">
      <formula>M28&lt;30</formula>
    </cfRule>
    <cfRule type="expression" dxfId="458" priority="72">
      <formula>M28&gt;40</formula>
    </cfRule>
  </conditionalFormatting>
  <conditionalFormatting sqref="M28:O28">
    <cfRule type="expression" dxfId="457" priority="70">
      <formula>M28&lt;1</formula>
    </cfRule>
  </conditionalFormatting>
  <conditionalFormatting sqref="M29:O29">
    <cfRule type="expression" dxfId="456" priority="68">
      <formula>M29&lt;26</formula>
    </cfRule>
    <cfRule type="expression" dxfId="455" priority="69">
      <formula>M29&gt;32</formula>
    </cfRule>
  </conditionalFormatting>
  <conditionalFormatting sqref="M29:O29">
    <cfRule type="expression" dxfId="454" priority="67">
      <formula>M29&lt;1</formula>
    </cfRule>
  </conditionalFormatting>
  <conditionalFormatting sqref="M30:O30">
    <cfRule type="expression" dxfId="453" priority="65">
      <formula>M30&lt;26</formula>
    </cfRule>
    <cfRule type="expression" dxfId="452" priority="66">
      <formula>M30&gt;32</formula>
    </cfRule>
  </conditionalFormatting>
  <conditionalFormatting sqref="M30:O30">
    <cfRule type="expression" dxfId="451" priority="64">
      <formula>M30&lt;1</formula>
    </cfRule>
  </conditionalFormatting>
  <conditionalFormatting sqref="M31">
    <cfRule type="expression" dxfId="450" priority="62">
      <formula>M31&lt;170</formula>
    </cfRule>
    <cfRule type="expression" dxfId="449" priority="63">
      <formula>M31&gt;220</formula>
    </cfRule>
  </conditionalFormatting>
  <conditionalFormatting sqref="M31">
    <cfRule type="expression" dxfId="448" priority="61">
      <formula>M31&lt;1</formula>
    </cfRule>
  </conditionalFormatting>
  <conditionalFormatting sqref="H7">
    <cfRule type="expression" dxfId="447" priority="27">
      <formula>H7&lt;10</formula>
    </cfRule>
    <cfRule type="expression" dxfId="446" priority="28">
      <formula>H7&gt;20</formula>
    </cfRule>
  </conditionalFormatting>
  <conditionalFormatting sqref="L7">
    <cfRule type="expression" dxfId="445" priority="25">
      <formula>L7&lt;10</formula>
    </cfRule>
    <cfRule type="expression" dxfId="444" priority="26">
      <formula>L7&gt;20</formula>
    </cfRule>
  </conditionalFormatting>
  <conditionalFormatting sqref="H8">
    <cfRule type="cellIs" dxfId="443" priority="13" operator="between">
      <formula>40</formula>
      <formula>44.99</formula>
    </cfRule>
    <cfRule type="cellIs" dxfId="442" priority="14" operator="between">
      <formula>55.1</formula>
      <formula>60</formula>
    </cfRule>
    <cfRule type="expression" dxfId="441" priority="15">
      <formula>H8&lt;40</formula>
    </cfRule>
    <cfRule type="expression" dxfId="440" priority="16">
      <formula>H8&gt;60</formula>
    </cfRule>
  </conditionalFormatting>
  <conditionalFormatting sqref="H9">
    <cfRule type="cellIs" dxfId="439" priority="9" operator="between">
      <formula>40</formula>
      <formula>44.99</formula>
    </cfRule>
    <cfRule type="cellIs" dxfId="438" priority="10" operator="between">
      <formula>55.1</formula>
      <formula>60</formula>
    </cfRule>
    <cfRule type="expression" dxfId="437" priority="11">
      <formula>H9&lt;40</formula>
    </cfRule>
    <cfRule type="expression" dxfId="436" priority="12">
      <formula>H9&gt;60</formula>
    </cfRule>
  </conditionalFormatting>
  <conditionalFormatting sqref="L8">
    <cfRule type="cellIs" dxfId="435" priority="5" operator="between">
      <formula>40</formula>
      <formula>44.99</formula>
    </cfRule>
    <cfRule type="cellIs" dxfId="434" priority="6" operator="between">
      <formula>55.1</formula>
      <formula>60</formula>
    </cfRule>
    <cfRule type="expression" dxfId="433" priority="7">
      <formula>L8&lt;40</formula>
    </cfRule>
    <cfRule type="expression" dxfId="432" priority="8">
      <formula>L8&gt;60</formula>
    </cfRule>
  </conditionalFormatting>
  <conditionalFormatting sqref="L9">
    <cfRule type="cellIs" dxfId="431" priority="1" operator="between">
      <formula>40</formula>
      <formula>44.99</formula>
    </cfRule>
    <cfRule type="cellIs" dxfId="430" priority="2" operator="between">
      <formula>55.1</formula>
      <formula>60</formula>
    </cfRule>
    <cfRule type="expression" dxfId="429" priority="3">
      <formula>L9&lt;40</formula>
    </cfRule>
    <cfRule type="expression" dxfId="428" priority="4">
      <formula>L9&gt;60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28">
    <tabColor rgb="FFFF0000"/>
  </sheetPr>
  <dimension ref="A1:S46"/>
  <sheetViews>
    <sheetView zoomScale="70" zoomScaleNormal="70" workbookViewId="0">
      <selection activeCell="D3" sqref="D3:F3"/>
    </sheetView>
  </sheetViews>
  <sheetFormatPr defaultRowHeight="13.5"/>
  <cols>
    <col min="1" max="1" width="3.875" style="496" customWidth="1"/>
    <col min="2" max="2" width="20.5" style="546" customWidth="1"/>
    <col min="3" max="3" width="5" style="546" customWidth="1"/>
    <col min="4" max="4" width="7.625" style="496" customWidth="1"/>
    <col min="5" max="5" width="13.625" style="496" customWidth="1"/>
    <col min="6" max="6" width="8.75" style="496" customWidth="1"/>
    <col min="7" max="7" width="2.375" style="496" customWidth="1"/>
    <col min="8" max="8" width="7.25" style="547" customWidth="1"/>
    <col min="9" max="9" width="3.125" style="547" customWidth="1"/>
    <col min="10" max="10" width="8.125" style="547" customWidth="1"/>
    <col min="11" max="11" width="2.5" style="547" customWidth="1"/>
    <col min="12" max="12" width="6.5" style="547" customWidth="1"/>
    <col min="13" max="13" width="3.75" style="547" customWidth="1"/>
    <col min="14" max="14" width="8.125" style="547" customWidth="1"/>
    <col min="15" max="15" width="2.5" style="547" customWidth="1"/>
    <col min="16" max="16" width="6.5" style="547" customWidth="1"/>
    <col min="17" max="17" width="3.75" style="547" customWidth="1"/>
    <col min="18" max="18" width="7.375" style="495" customWidth="1"/>
    <col min="19" max="19" width="5.75" style="495" customWidth="1"/>
    <col min="20" max="16384" width="9" style="496"/>
  </cols>
  <sheetData>
    <row r="1" spans="1:19" ht="33" customHeight="1">
      <c r="A1" s="3352" t="s">
        <v>589</v>
      </c>
      <c r="B1" s="3352"/>
      <c r="C1" s="3352"/>
      <c r="D1" s="3352"/>
      <c r="E1" s="3352"/>
      <c r="F1" s="3352"/>
      <c r="G1" s="3352"/>
      <c r="H1" s="3352"/>
      <c r="I1" s="3352"/>
      <c r="J1" s="3352"/>
      <c r="K1" s="3352"/>
      <c r="L1" s="3352"/>
      <c r="M1" s="3352"/>
      <c r="N1" s="3352"/>
      <c r="O1" s="3352"/>
      <c r="P1" s="628"/>
      <c r="Q1" s="628"/>
    </row>
    <row r="2" spans="1:19" ht="39.75" customHeight="1">
      <c r="A2" s="3353" t="s">
        <v>919</v>
      </c>
      <c r="B2" s="3353"/>
      <c r="C2" s="3353"/>
      <c r="D2" s="3353"/>
      <c r="E2" s="3353"/>
      <c r="F2" s="3353"/>
      <c r="G2" s="3353"/>
      <c r="H2" s="3353"/>
      <c r="I2" s="3353"/>
      <c r="J2" s="3353"/>
      <c r="K2" s="3353"/>
      <c r="L2" s="3353"/>
      <c r="M2" s="3353"/>
      <c r="N2" s="3353"/>
      <c r="O2" s="3503"/>
      <c r="P2" s="3354" t="s">
        <v>590</v>
      </c>
      <c r="Q2" s="3355"/>
      <c r="R2" s="3356" t="s">
        <v>591</v>
      </c>
      <c r="S2" s="3357"/>
    </row>
    <row r="3" spans="1:19" ht="22.5" customHeight="1">
      <c r="A3" s="498"/>
      <c r="B3" s="499" t="s">
        <v>725</v>
      </c>
      <c r="C3" s="499"/>
      <c r="D3" s="1932" t="str">
        <f>MENU!$AC$9</f>
        <v>Thứ 3,</v>
      </c>
      <c r="E3" s="3504" t="str">
        <f>'1.xi den'!$G$3</f>
        <v>2024/01/09</v>
      </c>
      <c r="F3" s="3504"/>
      <c r="G3" s="498"/>
      <c r="H3" s="498"/>
      <c r="I3" s="498"/>
      <c r="J3" s="502"/>
      <c r="K3" s="502"/>
      <c r="L3" s="502"/>
      <c r="M3" s="502"/>
      <c r="N3" s="502"/>
      <c r="O3" s="502"/>
      <c r="P3" s="3358" t="str">
        <f>'1.xi den'!$N$3</f>
        <v>Trang</v>
      </c>
      <c r="Q3" s="3359"/>
      <c r="R3" s="3360" t="s">
        <v>593</v>
      </c>
      <c r="S3" s="3361"/>
    </row>
    <row r="4" spans="1:19" s="504" customFormat="1" ht="33" customHeight="1">
      <c r="A4" s="3372" t="s">
        <v>594</v>
      </c>
      <c r="B4" s="3190" t="s">
        <v>645</v>
      </c>
      <c r="C4" s="3505"/>
      <c r="D4" s="3404" t="s">
        <v>646</v>
      </c>
      <c r="E4" s="3376" t="s">
        <v>596</v>
      </c>
      <c r="F4" s="3378" t="s">
        <v>597</v>
      </c>
      <c r="G4" s="3379"/>
      <c r="H4" s="3379"/>
      <c r="I4" s="3379"/>
      <c r="J4" s="3379"/>
      <c r="K4" s="3379"/>
      <c r="L4" s="3379"/>
      <c r="M4" s="3379"/>
      <c r="N4" s="3379"/>
      <c r="O4" s="3379"/>
      <c r="P4" s="3379"/>
      <c r="Q4" s="3380"/>
      <c r="R4" s="3362" t="s">
        <v>598</v>
      </c>
      <c r="S4" s="3362"/>
    </row>
    <row r="5" spans="1:19" s="504" customFormat="1" ht="15.75" customHeight="1">
      <c r="A5" s="3373"/>
      <c r="B5" s="3241"/>
      <c r="C5" s="3506"/>
      <c r="D5" s="3404"/>
      <c r="E5" s="3376"/>
      <c r="F5" s="3363">
        <v>0.375</v>
      </c>
      <c r="G5" s="3364"/>
      <c r="H5" s="3364"/>
      <c r="I5" s="3364"/>
      <c r="J5" s="3365">
        <v>0.5625</v>
      </c>
      <c r="K5" s="3366"/>
      <c r="L5" s="3366"/>
      <c r="M5" s="3367"/>
      <c r="N5" s="3365">
        <v>0.72916666666666663</v>
      </c>
      <c r="O5" s="3366"/>
      <c r="P5" s="3366"/>
      <c r="Q5" s="3367"/>
      <c r="R5" s="3362"/>
      <c r="S5" s="3362"/>
    </row>
    <row r="6" spans="1:19" s="504" customFormat="1" ht="44.25" customHeight="1">
      <c r="A6" s="3374"/>
      <c r="B6" s="3507"/>
      <c r="C6" s="3508"/>
      <c r="D6" s="3405"/>
      <c r="E6" s="3377"/>
      <c r="F6" s="506" t="s">
        <v>599</v>
      </c>
      <c r="G6" s="3368" t="s">
        <v>600</v>
      </c>
      <c r="H6" s="3369"/>
      <c r="I6" s="3370"/>
      <c r="J6" s="506" t="s">
        <v>599</v>
      </c>
      <c r="K6" s="3381" t="s">
        <v>600</v>
      </c>
      <c r="L6" s="3382"/>
      <c r="M6" s="3383"/>
      <c r="N6" s="506" t="s">
        <v>599</v>
      </c>
      <c r="O6" s="3381" t="s">
        <v>600</v>
      </c>
      <c r="P6" s="3382"/>
      <c r="Q6" s="3383"/>
      <c r="R6" s="3371" t="s">
        <v>601</v>
      </c>
      <c r="S6" s="3371"/>
    </row>
    <row r="7" spans="1:19" ht="29.25" customHeight="1">
      <c r="A7" s="505">
        <v>1</v>
      </c>
      <c r="B7" s="3435" t="s">
        <v>401</v>
      </c>
      <c r="C7" s="3423"/>
      <c r="D7" s="557" t="s">
        <v>658</v>
      </c>
      <c r="E7" s="507" t="s">
        <v>604</v>
      </c>
      <c r="F7" s="629">
        <f>'R.GUI MAIL'!H6</f>
        <v>0</v>
      </c>
      <c r="G7" s="511" t="s">
        <v>605</v>
      </c>
      <c r="H7" s="512">
        <f>'R.GUI MAIL'!K6</f>
        <v>0</v>
      </c>
      <c r="I7" s="505" t="s">
        <v>10</v>
      </c>
      <c r="J7" s="629">
        <f>'R.GUI MAIL'!N6</f>
        <v>0</v>
      </c>
      <c r="K7" s="511" t="s">
        <v>605</v>
      </c>
      <c r="L7" s="512">
        <f>'R.GUI MAIL'!Q6</f>
        <v>0</v>
      </c>
      <c r="M7" s="505" t="s">
        <v>10</v>
      </c>
      <c r="N7" s="629">
        <f>'R.GUI MAIL'!T6</f>
        <v>0</v>
      </c>
      <c r="O7" s="511" t="s">
        <v>605</v>
      </c>
      <c r="P7" s="512">
        <f>'R.GUI MAIL'!W6</f>
        <v>0</v>
      </c>
      <c r="Q7" s="505" t="s">
        <v>10</v>
      </c>
      <c r="R7" s="3384" t="s">
        <v>606</v>
      </c>
      <c r="S7" s="3384"/>
    </row>
    <row r="8" spans="1:19" ht="26.25" hidden="1" customHeight="1">
      <c r="A8" s="505"/>
      <c r="B8" s="3435" t="s">
        <v>402</v>
      </c>
      <c r="C8" s="3423"/>
      <c r="D8" s="557" t="s">
        <v>658</v>
      </c>
      <c r="E8" s="507" t="s">
        <v>604</v>
      </c>
      <c r="F8" s="514">
        <f>'R.GUI MAIL'!H7</f>
        <v>0</v>
      </c>
      <c r="G8" s="515" t="s">
        <v>605</v>
      </c>
      <c r="H8" s="516">
        <f>'R.GUI MAIL'!K7</f>
        <v>292.1875</v>
      </c>
      <c r="I8" s="217" t="s">
        <v>10</v>
      </c>
      <c r="J8" s="514">
        <f>'R.GUI MAIL'!N7</f>
        <v>0</v>
      </c>
      <c r="K8" s="515" t="s">
        <v>605</v>
      </c>
      <c r="L8" s="516">
        <f>'R.GUI MAIL'!Q7</f>
        <v>292.1875</v>
      </c>
      <c r="M8" s="217" t="s">
        <v>10</v>
      </c>
      <c r="N8" s="514">
        <f>'R.GUI MAIL'!T7</f>
        <v>0</v>
      </c>
      <c r="O8" s="515" t="s">
        <v>605</v>
      </c>
      <c r="P8" s="516">
        <f>'R.GUI MAIL'!W7</f>
        <v>292.1875</v>
      </c>
      <c r="Q8" s="217" t="s">
        <v>10</v>
      </c>
      <c r="R8" s="3384" t="s">
        <v>606</v>
      </c>
      <c r="S8" s="3384"/>
    </row>
    <row r="9" spans="1:19" ht="29.25" customHeight="1">
      <c r="A9" s="505">
        <v>2</v>
      </c>
      <c r="B9" s="3509" t="s">
        <v>689</v>
      </c>
      <c r="C9" s="3512">
        <f>R.HN!B4</f>
        <v>3</v>
      </c>
      <c r="D9" s="3414" t="s">
        <v>432</v>
      </c>
      <c r="E9" s="507" t="s">
        <v>726</v>
      </c>
      <c r="F9" s="629">
        <f>'R.GUI MAIL'!H8</f>
        <v>0</v>
      </c>
      <c r="G9" s="511" t="s">
        <v>610</v>
      </c>
      <c r="H9" s="512">
        <f>'R.GUI MAIL'!K8</f>
        <v>0</v>
      </c>
      <c r="I9" s="505" t="s">
        <v>611</v>
      </c>
      <c r="J9" s="629">
        <f>'R.GUI MAIL'!N8</f>
        <v>0</v>
      </c>
      <c r="K9" s="511" t="s">
        <v>610</v>
      </c>
      <c r="L9" s="512">
        <f>'R.GUI MAIL'!Q8</f>
        <v>0</v>
      </c>
      <c r="M9" s="505" t="s">
        <v>611</v>
      </c>
      <c r="N9" s="629">
        <f>'R.GUI MAIL'!T8</f>
        <v>0</v>
      </c>
      <c r="O9" s="511" t="s">
        <v>610</v>
      </c>
      <c r="P9" s="512">
        <f>'R.GUI MAIL'!W8</f>
        <v>0</v>
      </c>
      <c r="Q9" s="505" t="s">
        <v>611</v>
      </c>
      <c r="R9" s="3384" t="s">
        <v>612</v>
      </c>
      <c r="S9" s="3384"/>
    </row>
    <row r="10" spans="1:19" ht="29.25" customHeight="1">
      <c r="A10" s="505">
        <v>3</v>
      </c>
      <c r="B10" s="3510"/>
      <c r="C10" s="3513"/>
      <c r="D10" s="3414"/>
      <c r="E10" s="507" t="s">
        <v>727</v>
      </c>
      <c r="F10" s="629">
        <f>'R.GUI MAIL'!H9</f>
        <v>0</v>
      </c>
      <c r="G10" s="511" t="s">
        <v>610</v>
      </c>
      <c r="H10" s="512">
        <f>'R.GUI MAIL'!K9</f>
        <v>0</v>
      </c>
      <c r="I10" s="505" t="s">
        <v>611</v>
      </c>
      <c r="J10" s="629">
        <f>'R.GUI MAIL'!N9</f>
        <v>0</v>
      </c>
      <c r="K10" s="511" t="s">
        <v>610</v>
      </c>
      <c r="L10" s="512">
        <f>'R.GUI MAIL'!Q9</f>
        <v>0</v>
      </c>
      <c r="M10" s="505" t="s">
        <v>611</v>
      </c>
      <c r="N10" s="629">
        <f>'R.GUI MAIL'!T9</f>
        <v>0</v>
      </c>
      <c r="O10" s="511" t="s">
        <v>610</v>
      </c>
      <c r="P10" s="512">
        <f>'R.GUI MAIL'!W9</f>
        <v>0</v>
      </c>
      <c r="Q10" s="505" t="s">
        <v>611</v>
      </c>
      <c r="R10" s="3384" t="s">
        <v>614</v>
      </c>
      <c r="S10" s="3384"/>
    </row>
    <row r="11" spans="1:19" ht="29.25" customHeight="1">
      <c r="A11" s="505">
        <v>4</v>
      </c>
      <c r="B11" s="3511"/>
      <c r="C11" s="3514"/>
      <c r="D11" s="3414"/>
      <c r="E11" s="507" t="s">
        <v>615</v>
      </c>
      <c r="F11" s="630">
        <f>'R.GUI MAIL'!H10</f>
        <v>0</v>
      </c>
      <c r="G11" s="511" t="s">
        <v>610</v>
      </c>
      <c r="H11" s="512">
        <f>'R.GUI MAIL'!K10</f>
        <v>0</v>
      </c>
      <c r="I11" s="505" t="s">
        <v>611</v>
      </c>
      <c r="J11" s="630">
        <f>'R.GUI MAIL'!N10</f>
        <v>0</v>
      </c>
      <c r="K11" s="511" t="s">
        <v>610</v>
      </c>
      <c r="L11" s="512">
        <f>'R.GUI MAIL'!Q10</f>
        <v>0</v>
      </c>
      <c r="M11" s="505" t="s">
        <v>611</v>
      </c>
      <c r="N11" s="630">
        <f>'R.GUI MAIL'!T10</f>
        <v>0</v>
      </c>
      <c r="O11" s="511" t="s">
        <v>610</v>
      </c>
      <c r="P11" s="512">
        <f>'R.GUI MAIL'!W10</f>
        <v>0</v>
      </c>
      <c r="Q11" s="505" t="s">
        <v>611</v>
      </c>
      <c r="R11" s="3384"/>
      <c r="S11" s="3384"/>
    </row>
    <row r="12" spans="1:19" ht="29.25" customHeight="1">
      <c r="A12" s="505">
        <v>5</v>
      </c>
      <c r="B12" s="3509" t="s">
        <v>728</v>
      </c>
      <c r="C12" s="3512">
        <f>R.HN!B7</f>
        <v>4</v>
      </c>
      <c r="D12" s="3414" t="s">
        <v>432</v>
      </c>
      <c r="E12" s="507" t="s">
        <v>726</v>
      </c>
      <c r="F12" s="629">
        <f>'R.GUI MAIL'!H11</f>
        <v>0</v>
      </c>
      <c r="G12" s="511" t="s">
        <v>610</v>
      </c>
      <c r="H12" s="512">
        <f>'R.GUI MAIL'!K11</f>
        <v>0</v>
      </c>
      <c r="I12" s="505"/>
      <c r="J12" s="629">
        <f>'R.GUI MAIL'!N11</f>
        <v>0</v>
      </c>
      <c r="K12" s="511" t="s">
        <v>610</v>
      </c>
      <c r="L12" s="512">
        <f>'R.GUI MAIL'!Q11</f>
        <v>0</v>
      </c>
      <c r="M12" s="505" t="s">
        <v>611</v>
      </c>
      <c r="N12" s="629">
        <f>'R.GUI MAIL'!T11</f>
        <v>0</v>
      </c>
      <c r="O12" s="511" t="s">
        <v>610</v>
      </c>
      <c r="P12" s="512">
        <f>'R.GUI MAIL'!W11</f>
        <v>0</v>
      </c>
      <c r="Q12" s="505" t="s">
        <v>611</v>
      </c>
      <c r="R12" s="3384" t="s">
        <v>612</v>
      </c>
      <c r="S12" s="3384"/>
    </row>
    <row r="13" spans="1:19" ht="29.25" customHeight="1">
      <c r="A13" s="505">
        <v>6</v>
      </c>
      <c r="B13" s="3510"/>
      <c r="C13" s="3513"/>
      <c r="D13" s="3414"/>
      <c r="E13" s="507" t="s">
        <v>727</v>
      </c>
      <c r="F13" s="629">
        <f>'R.GUI MAIL'!H12</f>
        <v>0</v>
      </c>
      <c r="G13" s="511" t="s">
        <v>610</v>
      </c>
      <c r="H13" s="512">
        <f>'R.GUI MAIL'!K12</f>
        <v>0</v>
      </c>
      <c r="I13" s="505"/>
      <c r="J13" s="629">
        <f>'R.GUI MAIL'!N12</f>
        <v>0</v>
      </c>
      <c r="K13" s="511" t="s">
        <v>610</v>
      </c>
      <c r="L13" s="512">
        <f>'R.GUI MAIL'!Q12</f>
        <v>0</v>
      </c>
      <c r="M13" s="505" t="s">
        <v>611</v>
      </c>
      <c r="N13" s="629">
        <f>'R.GUI MAIL'!T12</f>
        <v>0</v>
      </c>
      <c r="O13" s="511" t="s">
        <v>610</v>
      </c>
      <c r="P13" s="512">
        <f>'R.GUI MAIL'!W12</f>
        <v>0</v>
      </c>
      <c r="Q13" s="505" t="s">
        <v>611</v>
      </c>
      <c r="R13" s="3384" t="s">
        <v>614</v>
      </c>
      <c r="S13" s="3384"/>
    </row>
    <row r="14" spans="1:19" ht="29.25" customHeight="1">
      <c r="A14" s="505">
        <v>7</v>
      </c>
      <c r="B14" s="3511"/>
      <c r="C14" s="3514"/>
      <c r="D14" s="3414"/>
      <c r="E14" s="507" t="s">
        <v>615</v>
      </c>
      <c r="F14" s="630">
        <f>'R.GUI MAIL'!H13</f>
        <v>0</v>
      </c>
      <c r="G14" s="511" t="s">
        <v>8</v>
      </c>
      <c r="H14" s="512">
        <f>'R.GUI MAIL'!K13</f>
        <v>0</v>
      </c>
      <c r="I14" s="505"/>
      <c r="J14" s="630">
        <f>'R.GUI MAIL'!N13</f>
        <v>0</v>
      </c>
      <c r="K14" s="511" t="s">
        <v>610</v>
      </c>
      <c r="L14" s="512">
        <f>'R.GUI MAIL'!Q13</f>
        <v>0</v>
      </c>
      <c r="M14" s="505" t="s">
        <v>611</v>
      </c>
      <c r="N14" s="630">
        <f>'R.GUI MAIL'!T13</f>
        <v>0</v>
      </c>
      <c r="O14" s="511" t="s">
        <v>610</v>
      </c>
      <c r="P14" s="512">
        <f>'R.GUI MAIL'!W13</f>
        <v>0</v>
      </c>
      <c r="Q14" s="505" t="s">
        <v>611</v>
      </c>
      <c r="R14" s="3384"/>
      <c r="S14" s="3384"/>
    </row>
    <row r="15" spans="1:19" s="525" customFormat="1" ht="29.25" customHeight="1">
      <c r="A15" s="505">
        <v>8</v>
      </c>
      <c r="B15" s="3509" t="s">
        <v>665</v>
      </c>
      <c r="C15" s="3512"/>
      <c r="D15" s="554" t="s">
        <v>432</v>
      </c>
      <c r="E15" s="509" t="s">
        <v>442</v>
      </c>
      <c r="F15" s="629">
        <f>'R.GUI MAIL'!H14</f>
        <v>0</v>
      </c>
      <c r="G15" s="511" t="s">
        <v>618</v>
      </c>
      <c r="H15" s="523">
        <f>'R.GUI MAIL'!K14</f>
        <v>0</v>
      </c>
      <c r="I15" s="524" t="s">
        <v>619</v>
      </c>
      <c r="J15" s="629">
        <f>'R.GUI MAIL'!N14</f>
        <v>0</v>
      </c>
      <c r="K15" s="511" t="s">
        <v>618</v>
      </c>
      <c r="L15" s="523">
        <f>'R.GUI MAIL'!Q14</f>
        <v>0</v>
      </c>
      <c r="M15" s="524" t="s">
        <v>619</v>
      </c>
      <c r="N15" s="629">
        <f>'R.GUI MAIL'!T14</f>
        <v>0</v>
      </c>
      <c r="O15" s="511" t="s">
        <v>618</v>
      </c>
      <c r="P15" s="523">
        <f>'R.GUI MAIL'!W14</f>
        <v>0</v>
      </c>
      <c r="Q15" s="524" t="s">
        <v>619</v>
      </c>
      <c r="R15" s="3384"/>
      <c r="S15" s="3384"/>
    </row>
    <row r="16" spans="1:19" s="525" customFormat="1" ht="29.25" customHeight="1">
      <c r="A16" s="505">
        <v>9</v>
      </c>
      <c r="B16" s="3511"/>
      <c r="C16" s="3514"/>
      <c r="D16" s="565" t="s">
        <v>687</v>
      </c>
      <c r="E16" s="507" t="s">
        <v>621</v>
      </c>
      <c r="F16" s="629">
        <f>'R.GUI MAIL'!H15</f>
        <v>0</v>
      </c>
      <c r="G16" s="511" t="s">
        <v>618</v>
      </c>
      <c r="H16" s="512"/>
      <c r="I16" s="524"/>
      <c r="J16" s="629">
        <f>'R.GUI MAIL'!N15</f>
        <v>0</v>
      </c>
      <c r="K16" s="511" t="s">
        <v>618</v>
      </c>
      <c r="L16" s="512"/>
      <c r="M16" s="524"/>
      <c r="N16" s="629">
        <f>'R.GUI MAIL'!T15</f>
        <v>0</v>
      </c>
      <c r="O16" s="511" t="s">
        <v>618</v>
      </c>
      <c r="P16" s="512"/>
      <c r="Q16" s="524"/>
      <c r="R16" s="3384"/>
      <c r="S16" s="3384"/>
    </row>
    <row r="17" spans="1:19" s="525" customFormat="1" ht="25.5" customHeight="1">
      <c r="A17" s="3375" t="s">
        <v>622</v>
      </c>
      <c r="B17" s="3375"/>
      <c r="C17" s="3375"/>
      <c r="D17" s="3375"/>
      <c r="E17" s="3375"/>
      <c r="F17" s="3375"/>
      <c r="G17" s="3375"/>
      <c r="H17" s="3375"/>
      <c r="I17" s="3375"/>
      <c r="J17" s="3375"/>
      <c r="K17" s="3375"/>
      <c r="L17" s="3375"/>
      <c r="M17" s="3375"/>
      <c r="N17" s="3375"/>
      <c r="O17" s="3375"/>
      <c r="P17" s="3375"/>
      <c r="Q17" s="3375"/>
      <c r="R17" s="3375"/>
      <c r="S17" s="3375"/>
    </row>
    <row r="18" spans="1:19" s="525" customFormat="1" ht="40.5" customHeight="1">
      <c r="A18" s="505" t="s">
        <v>623</v>
      </c>
      <c r="B18" s="3435" t="s">
        <v>624</v>
      </c>
      <c r="C18" s="3423"/>
      <c r="D18" s="503" t="s">
        <v>625</v>
      </c>
      <c r="E18" s="503" t="s">
        <v>626</v>
      </c>
      <c r="F18" s="3375" t="s">
        <v>46</v>
      </c>
      <c r="G18" s="3375"/>
      <c r="H18" s="3375" t="s">
        <v>63</v>
      </c>
      <c r="I18" s="3375"/>
      <c r="J18" s="3375" t="s">
        <v>46</v>
      </c>
      <c r="K18" s="3375"/>
      <c r="L18" s="3375" t="s">
        <v>63</v>
      </c>
      <c r="M18" s="3375"/>
      <c r="N18" s="3375" t="s">
        <v>46</v>
      </c>
      <c r="O18" s="3375"/>
      <c r="P18" s="3375" t="s">
        <v>63</v>
      </c>
      <c r="Q18" s="3375"/>
      <c r="R18" s="3389" t="s">
        <v>598</v>
      </c>
      <c r="S18" s="3390"/>
    </row>
    <row r="19" spans="1:19" s="525" customFormat="1" ht="27" customHeight="1">
      <c r="A19" s="505">
        <v>1</v>
      </c>
      <c r="B19" s="3435" t="s">
        <v>446</v>
      </c>
      <c r="C19" s="3423"/>
      <c r="D19" s="529" t="s">
        <v>628</v>
      </c>
      <c r="E19" s="530" t="s">
        <v>629</v>
      </c>
      <c r="F19" s="2831">
        <f>'R.FILE GOC'!H18</f>
        <v>0</v>
      </c>
      <c r="G19" s="2832"/>
      <c r="H19" s="2831">
        <f>'R.FILE GOC'!K18</f>
        <v>0</v>
      </c>
      <c r="I19" s="2832"/>
      <c r="J19" s="2831">
        <f>'R.FILE GOC'!N18</f>
        <v>0</v>
      </c>
      <c r="K19" s="2832"/>
      <c r="L19" s="2831">
        <f>'R.FILE GOC'!Q18</f>
        <v>0</v>
      </c>
      <c r="M19" s="2832"/>
      <c r="N19" s="2831">
        <f>'R.GUI MAIL'!T18</f>
        <v>0</v>
      </c>
      <c r="O19" s="2832"/>
      <c r="P19" s="2831">
        <f>'R.FILE GOC'!W18</f>
        <v>0</v>
      </c>
      <c r="Q19" s="2832"/>
      <c r="R19" s="531"/>
      <c r="S19" s="531"/>
    </row>
    <row r="20" spans="1:19" s="525" customFormat="1" ht="27" customHeight="1">
      <c r="A20" s="505">
        <v>2</v>
      </c>
      <c r="B20" s="3435" t="s">
        <v>448</v>
      </c>
      <c r="C20" s="3423"/>
      <c r="D20" s="529" t="s">
        <v>628</v>
      </c>
      <c r="E20" s="530" t="s">
        <v>629</v>
      </c>
      <c r="F20" s="2831">
        <f>'R.FILE GOC'!H19</f>
        <v>0</v>
      </c>
      <c r="G20" s="2832"/>
      <c r="H20" s="2831">
        <f>'R.FILE GOC'!K19</f>
        <v>0</v>
      </c>
      <c r="I20" s="2832"/>
      <c r="J20" s="2831">
        <f>'R.FILE GOC'!N19</f>
        <v>0</v>
      </c>
      <c r="K20" s="2832"/>
      <c r="L20" s="2831">
        <f>'R.FILE GOC'!Q19</f>
        <v>0</v>
      </c>
      <c r="M20" s="2832"/>
      <c r="N20" s="2831">
        <f>'R.GUI MAIL'!T19</f>
        <v>0</v>
      </c>
      <c r="O20" s="2832"/>
      <c r="P20" s="2831">
        <f>'R.FILE GOC'!W19</f>
        <v>0</v>
      </c>
      <c r="Q20" s="2832"/>
      <c r="R20" s="532"/>
      <c r="S20" s="532"/>
    </row>
    <row r="21" spans="1:19" s="525" customFormat="1" ht="27" customHeight="1">
      <c r="A21" s="505">
        <v>3</v>
      </c>
      <c r="B21" s="3435" t="s">
        <v>441</v>
      </c>
      <c r="C21" s="3423"/>
      <c r="D21" s="529" t="s">
        <v>628</v>
      </c>
      <c r="E21" s="530" t="s">
        <v>630</v>
      </c>
      <c r="F21" s="2831">
        <f>'R.FILE GOC'!H20</f>
        <v>0</v>
      </c>
      <c r="G21" s="2832"/>
      <c r="H21" s="2831">
        <f>'R.FILE GOC'!K20</f>
        <v>0</v>
      </c>
      <c r="I21" s="2832"/>
      <c r="J21" s="2831">
        <f>'R.FILE GOC'!N20</f>
        <v>0</v>
      </c>
      <c r="K21" s="2832"/>
      <c r="L21" s="2831">
        <f>'R.FILE GOC'!Q20</f>
        <v>0</v>
      </c>
      <c r="M21" s="2832"/>
      <c r="N21" s="2831">
        <f>'R.GUI MAIL'!T20</f>
        <v>0</v>
      </c>
      <c r="O21" s="2832"/>
      <c r="P21" s="2831">
        <f>'R.FILE GOC'!W20</f>
        <v>0</v>
      </c>
      <c r="Q21" s="2832"/>
      <c r="R21" s="532"/>
      <c r="S21" s="532"/>
    </row>
    <row r="22" spans="1:19" s="525" customFormat="1" ht="27" customHeight="1">
      <c r="A22" s="533"/>
      <c r="B22" s="534"/>
      <c r="C22" s="534"/>
      <c r="D22" s="535"/>
      <c r="E22" s="536"/>
      <c r="F22" s="3396"/>
      <c r="G22" s="3396"/>
      <c r="H22" s="3396"/>
      <c r="I22" s="3396"/>
      <c r="J22" s="3396"/>
      <c r="K22" s="3396"/>
      <c r="L22" s="3396"/>
      <c r="M22" s="3396"/>
      <c r="N22" s="3396"/>
      <c r="O22" s="3396"/>
      <c r="P22" s="3396"/>
      <c r="Q22" s="3396"/>
      <c r="R22" s="537"/>
      <c r="S22" s="537"/>
    </row>
    <row r="23" spans="1:19" s="525" customFormat="1" ht="27.75" customHeight="1">
      <c r="A23" s="539"/>
      <c r="B23" s="540"/>
      <c r="C23" s="540"/>
      <c r="D23" s="541"/>
      <c r="E23" s="540"/>
      <c r="F23" s="540"/>
      <c r="G23" s="540"/>
      <c r="H23" s="540"/>
      <c r="I23" s="540"/>
      <c r="J23" s="540"/>
      <c r="K23" s="540"/>
      <c r="L23" s="540"/>
      <c r="M23" s="540"/>
      <c r="N23" s="540"/>
      <c r="O23" s="540"/>
      <c r="P23" s="540"/>
      <c r="Q23" s="540"/>
      <c r="R23" s="495"/>
      <c r="S23" s="495"/>
    </row>
    <row r="24" spans="1:19" ht="39" customHeight="1">
      <c r="A24" s="3353" t="s">
        <v>919</v>
      </c>
      <c r="B24" s="3353"/>
      <c r="C24" s="3353"/>
      <c r="D24" s="3353"/>
      <c r="E24" s="3353"/>
      <c r="F24" s="3353"/>
      <c r="G24" s="3353"/>
      <c r="H24" s="3353"/>
      <c r="I24" s="3353"/>
      <c r="J24" s="3353"/>
      <c r="K24" s="3353"/>
      <c r="L24" s="3353"/>
      <c r="M24" s="3353"/>
      <c r="N24" s="3353"/>
      <c r="O24" s="3353"/>
      <c r="P24" s="3353"/>
      <c r="Q24" s="3353"/>
      <c r="R24" s="3397"/>
      <c r="S24" s="3397"/>
    </row>
    <row r="25" spans="1:19" ht="23.25" customHeight="1">
      <c r="A25" s="499"/>
      <c r="B25" s="499" t="s">
        <v>631</v>
      </c>
      <c r="C25" s="499"/>
      <c r="D25" s="500"/>
      <c r="E25" s="501"/>
      <c r="F25" s="498"/>
      <c r="G25" s="498"/>
      <c r="H25" s="498"/>
      <c r="I25" s="498"/>
      <c r="J25" s="498"/>
      <c r="K25" s="498"/>
      <c r="L25" s="498"/>
      <c r="M25" s="498"/>
      <c r="N25" s="498"/>
      <c r="O25" s="498"/>
      <c r="P25" s="498"/>
      <c r="Q25" s="498"/>
      <c r="R25" s="3395"/>
      <c r="S25" s="3395"/>
    </row>
    <row r="26" spans="1:19" s="504" customFormat="1" ht="32.25" customHeight="1">
      <c r="A26" s="3373" t="s">
        <v>632</v>
      </c>
      <c r="B26" s="3190" t="s">
        <v>645</v>
      </c>
      <c r="C26" s="3505"/>
      <c r="D26" s="3404" t="s">
        <v>646</v>
      </c>
      <c r="E26" s="3400" t="s">
        <v>596</v>
      </c>
      <c r="F26" s="3378" t="s">
        <v>597</v>
      </c>
      <c r="G26" s="3379"/>
      <c r="H26" s="3379"/>
      <c r="I26" s="3379"/>
      <c r="J26" s="3379"/>
      <c r="K26" s="3379"/>
      <c r="L26" s="3379"/>
      <c r="M26" s="3379"/>
      <c r="N26" s="3379"/>
      <c r="O26" s="3379"/>
      <c r="P26" s="3379"/>
      <c r="Q26" s="3380"/>
      <c r="R26" s="3398" t="s">
        <v>598</v>
      </c>
      <c r="S26" s="3398"/>
    </row>
    <row r="27" spans="1:19" s="504" customFormat="1" ht="16.5" customHeight="1">
      <c r="A27" s="3373"/>
      <c r="B27" s="3241"/>
      <c r="C27" s="3506"/>
      <c r="D27" s="3404"/>
      <c r="E27" s="3376"/>
      <c r="F27" s="3363">
        <v>0.875</v>
      </c>
      <c r="G27" s="3364"/>
      <c r="H27" s="3364"/>
      <c r="I27" s="3364"/>
      <c r="J27" s="3365">
        <v>8.3333333333333329E-2</v>
      </c>
      <c r="K27" s="3366"/>
      <c r="L27" s="3366"/>
      <c r="M27" s="3367"/>
      <c r="N27" s="3365">
        <v>0.22916666666666666</v>
      </c>
      <c r="O27" s="3366"/>
      <c r="P27" s="3366"/>
      <c r="Q27" s="3367"/>
      <c r="R27" s="3362"/>
      <c r="S27" s="3362"/>
    </row>
    <row r="28" spans="1:19" s="504" customFormat="1" ht="38.25" customHeight="1">
      <c r="A28" s="3374"/>
      <c r="B28" s="3507"/>
      <c r="C28" s="3508"/>
      <c r="D28" s="3405"/>
      <c r="E28" s="3377"/>
      <c r="F28" s="506" t="s">
        <v>599</v>
      </c>
      <c r="G28" s="3368" t="s">
        <v>600</v>
      </c>
      <c r="H28" s="3369"/>
      <c r="I28" s="3370"/>
      <c r="J28" s="506" t="s">
        <v>599</v>
      </c>
      <c r="K28" s="3381" t="s">
        <v>600</v>
      </c>
      <c r="L28" s="3382"/>
      <c r="M28" s="3383"/>
      <c r="N28" s="506" t="s">
        <v>599</v>
      </c>
      <c r="O28" s="3381" t="s">
        <v>600</v>
      </c>
      <c r="P28" s="3382"/>
      <c r="Q28" s="3383"/>
      <c r="R28" s="3371" t="s">
        <v>633</v>
      </c>
      <c r="S28" s="3371"/>
    </row>
    <row r="29" spans="1:19" ht="28.5" customHeight="1">
      <c r="A29" s="505">
        <v>1</v>
      </c>
      <c r="B29" s="3435" t="s">
        <v>401</v>
      </c>
      <c r="C29" s="3423"/>
      <c r="D29" s="557" t="s">
        <v>658</v>
      </c>
      <c r="E29" s="507" t="s">
        <v>604</v>
      </c>
      <c r="F29" s="629">
        <f>'R.GUI MAIL'!Z6</f>
        <v>0</v>
      </c>
      <c r="G29" s="511" t="s">
        <v>618</v>
      </c>
      <c r="H29" s="512">
        <f>'R.GUI MAIL'!AC6</f>
        <v>0</v>
      </c>
      <c r="I29" s="505" t="s">
        <v>10</v>
      </c>
      <c r="J29" s="629">
        <f>'R.GUI MAIL'!AF6</f>
        <v>0</v>
      </c>
      <c r="K29" s="511" t="s">
        <v>618</v>
      </c>
      <c r="L29" s="512">
        <f>'R.GUI MAIL'!AI6</f>
        <v>0</v>
      </c>
      <c r="M29" s="505" t="s">
        <v>10</v>
      </c>
      <c r="N29" s="629">
        <f>'R.GUI MAIL'!AL6</f>
        <v>0</v>
      </c>
      <c r="O29" s="511" t="s">
        <v>618</v>
      </c>
      <c r="P29" s="512">
        <f>'R.GUI MAIL'!AO6</f>
        <v>0</v>
      </c>
      <c r="Q29" s="505" t="s">
        <v>10</v>
      </c>
      <c r="R29" s="3384" t="s">
        <v>634</v>
      </c>
      <c r="S29" s="3384"/>
    </row>
    <row r="30" spans="1:19" ht="28.5" hidden="1" customHeight="1">
      <c r="A30" s="505"/>
      <c r="B30" s="3435" t="s">
        <v>402</v>
      </c>
      <c r="C30" s="3423"/>
      <c r="D30" s="557" t="s">
        <v>658</v>
      </c>
      <c r="E30" s="507" t="s">
        <v>604</v>
      </c>
      <c r="F30" s="514">
        <f>'R.GUI MAIL'!Z7</f>
        <v>0</v>
      </c>
      <c r="G30" s="515" t="s">
        <v>618</v>
      </c>
      <c r="H30" s="516">
        <f>'R.GUI MAIL'!AC7</f>
        <v>292.1875</v>
      </c>
      <c r="I30" s="217" t="s">
        <v>10</v>
      </c>
      <c r="J30" s="514">
        <f>'R.GUI MAIL'!AF7</f>
        <v>0</v>
      </c>
      <c r="K30" s="515" t="s">
        <v>618</v>
      </c>
      <c r="L30" s="516">
        <f>'R.GUI MAIL'!AI7</f>
        <v>292.1875</v>
      </c>
      <c r="M30" s="217" t="s">
        <v>10</v>
      </c>
      <c r="N30" s="514">
        <f>'R.GUI MAIL'!AL7</f>
        <v>0</v>
      </c>
      <c r="O30" s="515" t="s">
        <v>618</v>
      </c>
      <c r="P30" s="516">
        <f>'R.GUI MAIL'!AO7</f>
        <v>292.1875</v>
      </c>
      <c r="Q30" s="217" t="s">
        <v>10</v>
      </c>
      <c r="R30" s="3384" t="s">
        <v>634</v>
      </c>
      <c r="S30" s="3384"/>
    </row>
    <row r="31" spans="1:19" ht="28.5" customHeight="1">
      <c r="A31" s="505">
        <v>2</v>
      </c>
      <c r="B31" s="3509" t="s">
        <v>689</v>
      </c>
      <c r="C31" s="3512">
        <f>R.HN!B4</f>
        <v>3</v>
      </c>
      <c r="D31" s="3414" t="s">
        <v>432</v>
      </c>
      <c r="E31" s="507" t="s">
        <v>726</v>
      </c>
      <c r="F31" s="629">
        <f>'R.GUI MAIL'!Z8</f>
        <v>0</v>
      </c>
      <c r="G31" s="511" t="s">
        <v>618</v>
      </c>
      <c r="H31" s="512">
        <f>'R.GUI MAIL'!AC8</f>
        <v>0</v>
      </c>
      <c r="I31" s="505" t="s">
        <v>619</v>
      </c>
      <c r="J31" s="629">
        <f>'R.GUI MAIL'!AF8</f>
        <v>0</v>
      </c>
      <c r="K31" s="511" t="s">
        <v>618</v>
      </c>
      <c r="L31" s="512">
        <f>'R.GUI MAIL'!AI8</f>
        <v>0</v>
      </c>
      <c r="M31" s="505" t="s">
        <v>619</v>
      </c>
      <c r="N31" s="629">
        <f>'R.GUI MAIL'!AL8</f>
        <v>0</v>
      </c>
      <c r="O31" s="511" t="s">
        <v>618</v>
      </c>
      <c r="P31" s="512">
        <f>'R.GUI MAIL'!AO8</f>
        <v>0</v>
      </c>
      <c r="Q31" s="505" t="s">
        <v>619</v>
      </c>
      <c r="R31" s="3384" t="s">
        <v>637</v>
      </c>
      <c r="S31" s="3384"/>
    </row>
    <row r="32" spans="1:19" ht="28.5" customHeight="1">
      <c r="A32" s="505">
        <v>3</v>
      </c>
      <c r="B32" s="3510"/>
      <c r="C32" s="3513"/>
      <c r="D32" s="3414"/>
      <c r="E32" s="507" t="s">
        <v>727</v>
      </c>
      <c r="F32" s="629">
        <f>'R.GUI MAIL'!Z9</f>
        <v>0</v>
      </c>
      <c r="G32" s="511" t="s">
        <v>618</v>
      </c>
      <c r="H32" s="512">
        <f>'R.GUI MAIL'!AC9</f>
        <v>0</v>
      </c>
      <c r="I32" s="505" t="s">
        <v>619</v>
      </c>
      <c r="J32" s="629">
        <f>'R.GUI MAIL'!AF9</f>
        <v>0</v>
      </c>
      <c r="K32" s="511" t="s">
        <v>618</v>
      </c>
      <c r="L32" s="512">
        <f>'R.GUI MAIL'!AI9</f>
        <v>0</v>
      </c>
      <c r="M32" s="505" t="s">
        <v>619</v>
      </c>
      <c r="N32" s="629">
        <f>'R.GUI MAIL'!AL9</f>
        <v>0</v>
      </c>
      <c r="O32" s="511" t="s">
        <v>618</v>
      </c>
      <c r="P32" s="512">
        <f>'R.GUI MAIL'!AO9</f>
        <v>0</v>
      </c>
      <c r="Q32" s="505" t="s">
        <v>619</v>
      </c>
      <c r="R32" s="3384" t="s">
        <v>638</v>
      </c>
      <c r="S32" s="3384"/>
    </row>
    <row r="33" spans="1:19" ht="28.5" customHeight="1">
      <c r="A33" s="505">
        <v>4</v>
      </c>
      <c r="B33" s="3511"/>
      <c r="C33" s="3514"/>
      <c r="D33" s="3414"/>
      <c r="E33" s="507" t="s">
        <v>615</v>
      </c>
      <c r="F33" s="630">
        <f>'R.GUI MAIL'!Z10</f>
        <v>0</v>
      </c>
      <c r="G33" s="511" t="s">
        <v>639</v>
      </c>
      <c r="H33" s="512">
        <f>'R.GUI MAIL'!AC10</f>
        <v>0</v>
      </c>
      <c r="I33" s="521" t="s">
        <v>640</v>
      </c>
      <c r="J33" s="630">
        <f>'R.GUI MAIL'!AF10</f>
        <v>0</v>
      </c>
      <c r="K33" s="511" t="s">
        <v>639</v>
      </c>
      <c r="L33" s="512">
        <f>'R.GUI MAIL'!AI10</f>
        <v>0</v>
      </c>
      <c r="M33" s="521" t="s">
        <v>640</v>
      </c>
      <c r="N33" s="630">
        <f>'R.GUI MAIL'!AL10</f>
        <v>0</v>
      </c>
      <c r="O33" s="511" t="s">
        <v>639</v>
      </c>
      <c r="P33" s="512">
        <f>'R.GUI MAIL'!AO10</f>
        <v>0</v>
      </c>
      <c r="Q33" s="521" t="s">
        <v>640</v>
      </c>
      <c r="R33" s="3384"/>
      <c r="S33" s="3384"/>
    </row>
    <row r="34" spans="1:19" ht="28.5" customHeight="1">
      <c r="A34" s="505">
        <v>5</v>
      </c>
      <c r="B34" s="3509" t="s">
        <v>728</v>
      </c>
      <c r="C34" s="3512">
        <f>R.HN!B7</f>
        <v>4</v>
      </c>
      <c r="D34" s="3414" t="s">
        <v>432</v>
      </c>
      <c r="E34" s="507" t="s">
        <v>726</v>
      </c>
      <c r="F34" s="629">
        <f>'R.GUI MAIL'!Z11</f>
        <v>0</v>
      </c>
      <c r="G34" s="511" t="s">
        <v>639</v>
      </c>
      <c r="H34" s="512">
        <f>'R.GUI MAIL'!AC11</f>
        <v>0</v>
      </c>
      <c r="I34" s="521" t="s">
        <v>640</v>
      </c>
      <c r="J34" s="629">
        <f>'R.GUI MAIL'!AF11</f>
        <v>0</v>
      </c>
      <c r="K34" s="511" t="s">
        <v>639</v>
      </c>
      <c r="L34" s="512">
        <f>'R.GUI MAIL'!AI11</f>
        <v>0</v>
      </c>
      <c r="M34" s="521" t="s">
        <v>640</v>
      </c>
      <c r="N34" s="629">
        <f>'R.GUI MAIL'!AL11</f>
        <v>0</v>
      </c>
      <c r="O34" s="511" t="s">
        <v>639</v>
      </c>
      <c r="P34" s="512">
        <f>'R.GUI MAIL'!AO11</f>
        <v>0</v>
      </c>
      <c r="Q34" s="521" t="s">
        <v>640</v>
      </c>
      <c r="R34" s="3384" t="s">
        <v>637</v>
      </c>
      <c r="S34" s="3384"/>
    </row>
    <row r="35" spans="1:19" ht="28.5" customHeight="1">
      <c r="A35" s="505">
        <v>6</v>
      </c>
      <c r="B35" s="3510"/>
      <c r="C35" s="3513"/>
      <c r="D35" s="3414"/>
      <c r="E35" s="507" t="s">
        <v>727</v>
      </c>
      <c r="F35" s="629">
        <f>'R.GUI MAIL'!Z12</f>
        <v>0</v>
      </c>
      <c r="G35" s="511" t="s">
        <v>639</v>
      </c>
      <c r="H35" s="512">
        <f>'R.GUI MAIL'!AC12</f>
        <v>0</v>
      </c>
      <c r="I35" s="521" t="s">
        <v>640</v>
      </c>
      <c r="J35" s="629">
        <f>'R.GUI MAIL'!AF12</f>
        <v>0</v>
      </c>
      <c r="K35" s="511" t="s">
        <v>639</v>
      </c>
      <c r="L35" s="512">
        <f>'R.GUI MAIL'!AI12</f>
        <v>0</v>
      </c>
      <c r="M35" s="521" t="s">
        <v>640</v>
      </c>
      <c r="N35" s="629">
        <f>'R.GUI MAIL'!AL12</f>
        <v>0</v>
      </c>
      <c r="O35" s="511" t="s">
        <v>639</v>
      </c>
      <c r="P35" s="512">
        <f>'R.GUI MAIL'!AO12</f>
        <v>0</v>
      </c>
      <c r="Q35" s="521" t="s">
        <v>640</v>
      </c>
      <c r="R35" s="3384" t="s">
        <v>638</v>
      </c>
      <c r="S35" s="3384"/>
    </row>
    <row r="36" spans="1:19" ht="28.5" customHeight="1">
      <c r="A36" s="505">
        <v>7</v>
      </c>
      <c r="B36" s="3511"/>
      <c r="C36" s="3514"/>
      <c r="D36" s="3414"/>
      <c r="E36" s="507" t="s">
        <v>615</v>
      </c>
      <c r="F36" s="630">
        <f>'R.GUI MAIL'!Z13</f>
        <v>0</v>
      </c>
      <c r="G36" s="511" t="s">
        <v>639</v>
      </c>
      <c r="H36" s="512">
        <f>'R.GUI MAIL'!AC13</f>
        <v>0</v>
      </c>
      <c r="I36" s="521" t="s">
        <v>640</v>
      </c>
      <c r="J36" s="630">
        <f>'R.GUI MAIL'!AF13</f>
        <v>0</v>
      </c>
      <c r="K36" s="511" t="s">
        <v>639</v>
      </c>
      <c r="L36" s="512">
        <f>'R.GUI MAIL'!AI13</f>
        <v>0</v>
      </c>
      <c r="M36" s="521" t="s">
        <v>640</v>
      </c>
      <c r="N36" s="630">
        <f>'R.GUI MAIL'!AL13</f>
        <v>0</v>
      </c>
      <c r="O36" s="511" t="s">
        <v>639</v>
      </c>
      <c r="P36" s="512">
        <f>'R.GUI MAIL'!AO13</f>
        <v>0</v>
      </c>
      <c r="Q36" s="521" t="s">
        <v>640</v>
      </c>
      <c r="R36" s="3384"/>
      <c r="S36" s="3384"/>
    </row>
    <row r="37" spans="1:19" s="525" customFormat="1" ht="28.5" customHeight="1">
      <c r="A37" s="505">
        <v>8</v>
      </c>
      <c r="B37" s="3509" t="s">
        <v>665</v>
      </c>
      <c r="C37" s="3512"/>
      <c r="D37" s="554" t="s">
        <v>432</v>
      </c>
      <c r="E37" s="509" t="s">
        <v>442</v>
      </c>
      <c r="F37" s="629">
        <f>'R.GUI MAIL'!Z14</f>
        <v>0</v>
      </c>
      <c r="G37" s="511" t="s">
        <v>618</v>
      </c>
      <c r="H37" s="523">
        <f>'R.GUI MAIL'!AC14</f>
        <v>0</v>
      </c>
      <c r="I37" s="524" t="s">
        <v>619</v>
      </c>
      <c r="J37" s="629">
        <f>'R.GUI MAIL'!AF14</f>
        <v>0</v>
      </c>
      <c r="K37" s="511" t="s">
        <v>618</v>
      </c>
      <c r="L37" s="523">
        <f>'R.GUI MAIL'!AI14</f>
        <v>0</v>
      </c>
      <c r="M37" s="524" t="s">
        <v>619</v>
      </c>
      <c r="N37" s="629">
        <f>'R.GUI MAIL'!AL14</f>
        <v>0</v>
      </c>
      <c r="O37" s="511" t="s">
        <v>618</v>
      </c>
      <c r="P37" s="523">
        <f>'R.GUI MAIL'!AO14</f>
        <v>0</v>
      </c>
      <c r="Q37" s="524" t="s">
        <v>619</v>
      </c>
      <c r="R37" s="3384"/>
      <c r="S37" s="3384"/>
    </row>
    <row r="38" spans="1:19" s="525" customFormat="1" ht="28.5" customHeight="1">
      <c r="A38" s="505">
        <v>9</v>
      </c>
      <c r="B38" s="3511"/>
      <c r="C38" s="3514"/>
      <c r="D38" s="565" t="s">
        <v>687</v>
      </c>
      <c r="E38" s="507" t="s">
        <v>621</v>
      </c>
      <c r="F38" s="629">
        <f>'R.GUI MAIL'!Z15</f>
        <v>0</v>
      </c>
      <c r="G38" s="511"/>
      <c r="H38" s="512"/>
      <c r="I38" s="524"/>
      <c r="J38" s="629">
        <f>'R.GUI MAIL'!AF15</f>
        <v>0</v>
      </c>
      <c r="K38" s="511"/>
      <c r="L38" s="512"/>
      <c r="M38" s="524"/>
      <c r="N38" s="629">
        <f>'R.GUI MAIL'!AL15</f>
        <v>0</v>
      </c>
      <c r="O38" s="511"/>
      <c r="P38" s="512"/>
      <c r="Q38" s="524"/>
      <c r="R38" s="3384"/>
      <c r="S38" s="3384"/>
    </row>
    <row r="39" spans="1:19" s="525" customFormat="1" ht="27" customHeight="1">
      <c r="A39" s="3375" t="s">
        <v>622</v>
      </c>
      <c r="B39" s="3375"/>
      <c r="C39" s="3375"/>
      <c r="D39" s="3375"/>
      <c r="E39" s="3375"/>
      <c r="F39" s="3375"/>
      <c r="G39" s="3375"/>
      <c r="H39" s="3375"/>
      <c r="I39" s="3375"/>
      <c r="J39" s="3375"/>
      <c r="K39" s="3375"/>
      <c r="L39" s="3375"/>
      <c r="M39" s="3375"/>
      <c r="N39" s="3375"/>
      <c r="O39" s="3375"/>
      <c r="P39" s="3375"/>
      <c r="Q39" s="3375"/>
      <c r="R39" s="3375"/>
      <c r="S39" s="3375"/>
    </row>
    <row r="40" spans="1:19" s="525" customFormat="1" ht="34.5" customHeight="1">
      <c r="A40" s="505" t="s">
        <v>641</v>
      </c>
      <c r="B40" s="3435" t="s">
        <v>624</v>
      </c>
      <c r="C40" s="3423"/>
      <c r="D40" s="503" t="s">
        <v>625</v>
      </c>
      <c r="E40" s="503" t="s">
        <v>626</v>
      </c>
      <c r="F40" s="3375" t="s">
        <v>46</v>
      </c>
      <c r="G40" s="3375"/>
      <c r="H40" s="3375" t="s">
        <v>63</v>
      </c>
      <c r="I40" s="3375"/>
      <c r="J40" s="3375" t="s">
        <v>46</v>
      </c>
      <c r="K40" s="3375"/>
      <c r="L40" s="3375" t="s">
        <v>63</v>
      </c>
      <c r="M40" s="3375"/>
      <c r="N40" s="3375" t="s">
        <v>46</v>
      </c>
      <c r="O40" s="3375"/>
      <c r="P40" s="3375" t="s">
        <v>63</v>
      </c>
      <c r="Q40" s="3375"/>
      <c r="R40" s="3389" t="s">
        <v>598</v>
      </c>
      <c r="S40" s="3390"/>
    </row>
    <row r="41" spans="1:19" s="525" customFormat="1" ht="27.75" customHeight="1">
      <c r="A41" s="505">
        <v>1</v>
      </c>
      <c r="B41" s="3435" t="s">
        <v>446</v>
      </c>
      <c r="C41" s="3423"/>
      <c r="D41" s="529" t="s">
        <v>628</v>
      </c>
      <c r="E41" s="530" t="s">
        <v>629</v>
      </c>
      <c r="F41" s="2831">
        <f>'R.GUI MAIL'!Z18</f>
        <v>0</v>
      </c>
      <c r="G41" s="2832"/>
      <c r="H41" s="2831">
        <f>'R.FILE GOC'!AC18</f>
        <v>0</v>
      </c>
      <c r="I41" s="2832"/>
      <c r="J41" s="2831">
        <f>'R.GUI MAIL'!AF18</f>
        <v>0</v>
      </c>
      <c r="K41" s="2832"/>
      <c r="L41" s="2831">
        <f>'R.FILE GOC'!AI18</f>
        <v>0</v>
      </c>
      <c r="M41" s="2832"/>
      <c r="N41" s="2831">
        <f>'R.GUI MAIL'!AL18</f>
        <v>0</v>
      </c>
      <c r="O41" s="2832"/>
      <c r="P41" s="2831">
        <f>'R.FILE GOC'!AO18</f>
        <v>0</v>
      </c>
      <c r="Q41" s="2832"/>
      <c r="R41" s="531"/>
      <c r="S41" s="531"/>
    </row>
    <row r="42" spans="1:19" s="525" customFormat="1" ht="27.75" customHeight="1">
      <c r="A42" s="505">
        <v>2</v>
      </c>
      <c r="B42" s="3435" t="s">
        <v>448</v>
      </c>
      <c r="C42" s="3423"/>
      <c r="D42" s="529" t="s">
        <v>628</v>
      </c>
      <c r="E42" s="530" t="s">
        <v>629</v>
      </c>
      <c r="F42" s="2831">
        <f>'R.GUI MAIL'!Z19</f>
        <v>0</v>
      </c>
      <c r="G42" s="2832"/>
      <c r="H42" s="2831">
        <f>'R.FILE GOC'!AC19</f>
        <v>0</v>
      </c>
      <c r="I42" s="2832"/>
      <c r="J42" s="2831">
        <f>'R.GUI MAIL'!AF19</f>
        <v>0</v>
      </c>
      <c r="K42" s="2832"/>
      <c r="L42" s="2831">
        <f>'R.FILE GOC'!AI19</f>
        <v>0</v>
      </c>
      <c r="M42" s="2832"/>
      <c r="N42" s="2831">
        <f>'R.GUI MAIL'!AL19</f>
        <v>0</v>
      </c>
      <c r="O42" s="2832"/>
      <c r="P42" s="2831">
        <f>'R.FILE GOC'!AO19</f>
        <v>0</v>
      </c>
      <c r="Q42" s="2832"/>
      <c r="R42" s="531"/>
      <c r="S42" s="531"/>
    </row>
    <row r="43" spans="1:19" s="525" customFormat="1" ht="27.75" customHeight="1">
      <c r="A43" s="505">
        <v>3</v>
      </c>
      <c r="B43" s="3435" t="s">
        <v>441</v>
      </c>
      <c r="C43" s="3423"/>
      <c r="D43" s="529" t="s">
        <v>628</v>
      </c>
      <c r="E43" s="530" t="s">
        <v>630</v>
      </c>
      <c r="F43" s="2831">
        <f>'R.GUI MAIL'!Z20</f>
        <v>0</v>
      </c>
      <c r="G43" s="2832"/>
      <c r="H43" s="2831">
        <f>'R.FILE GOC'!AC20</f>
        <v>0</v>
      </c>
      <c r="I43" s="2832"/>
      <c r="J43" s="2831">
        <f>'R.GUI MAIL'!AF20</f>
        <v>0</v>
      </c>
      <c r="K43" s="2832"/>
      <c r="L43" s="2831">
        <f>'R.FILE GOC'!AI20</f>
        <v>0</v>
      </c>
      <c r="M43" s="2832"/>
      <c r="N43" s="2831">
        <f>'R.GUI MAIL'!AL20</f>
        <v>0</v>
      </c>
      <c r="O43" s="2832"/>
      <c r="P43" s="2831">
        <f>'R.FILE GOC'!AO20</f>
        <v>0</v>
      </c>
      <c r="Q43" s="2832"/>
      <c r="R43" s="532"/>
      <c r="S43" s="532"/>
    </row>
    <row r="44" spans="1:19" s="525" customFormat="1" ht="27.75" customHeight="1">
      <c r="A44" s="533"/>
      <c r="B44" s="534"/>
      <c r="C44" s="534"/>
      <c r="D44" s="535"/>
      <c r="E44" s="536"/>
      <c r="F44" s="3245"/>
      <c r="G44" s="3245"/>
      <c r="H44" s="3245"/>
      <c r="I44" s="3245"/>
      <c r="J44" s="3515"/>
      <c r="K44" s="3515"/>
      <c r="L44" s="3515"/>
      <c r="M44" s="3515"/>
      <c r="N44" s="3515"/>
      <c r="O44" s="3515"/>
      <c r="P44" s="3515"/>
      <c r="Q44" s="3515"/>
      <c r="R44" s="537"/>
      <c r="S44" s="537"/>
    </row>
    <row r="45" spans="1:19" ht="20.25" customHeight="1">
      <c r="A45" s="539"/>
      <c r="B45" s="540"/>
      <c r="C45" s="540"/>
      <c r="D45" s="541"/>
      <c r="E45" s="540"/>
      <c r="F45" s="540"/>
      <c r="G45" s="540"/>
      <c r="H45" s="540"/>
      <c r="I45" s="540"/>
      <c r="J45" s="540"/>
      <c r="K45" s="540"/>
      <c r="L45" s="540"/>
      <c r="M45" s="540"/>
      <c r="N45" s="540"/>
      <c r="O45" s="540"/>
      <c r="P45" s="540"/>
      <c r="Q45" s="540"/>
    </row>
    <row r="46" spans="1:19" ht="12.75" customHeight="1">
      <c r="A46" s="542"/>
      <c r="B46" s="540"/>
      <c r="C46" s="540"/>
      <c r="D46" s="533"/>
      <c r="E46" s="540"/>
      <c r="F46" s="543"/>
      <c r="G46" s="544"/>
      <c r="H46" s="533"/>
      <c r="I46" s="545"/>
      <c r="J46" s="545"/>
      <c r="K46" s="545"/>
      <c r="L46" s="545"/>
      <c r="M46" s="545"/>
      <c r="N46" s="545"/>
      <c r="O46" s="545"/>
      <c r="P46" s="545"/>
      <c r="Q46" s="545"/>
    </row>
  </sheetData>
  <sheetProtection selectLockedCells="1"/>
  <mergeCells count="1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 ref="B37:C38"/>
    <mergeCell ref="R37:S37"/>
    <mergeCell ref="R38:S38"/>
    <mergeCell ref="A39:S39"/>
    <mergeCell ref="B40:C40"/>
    <mergeCell ref="F40:G40"/>
    <mergeCell ref="H40:I40"/>
    <mergeCell ref="J40:K40"/>
    <mergeCell ref="L40:M40"/>
    <mergeCell ref="N40:O40"/>
    <mergeCell ref="P40:Q40"/>
    <mergeCell ref="R40:S40"/>
    <mergeCell ref="B34:B36"/>
    <mergeCell ref="C34:C36"/>
    <mergeCell ref="D34:D36"/>
    <mergeCell ref="R34:S34"/>
    <mergeCell ref="R35:S35"/>
    <mergeCell ref="R36:S36"/>
    <mergeCell ref="B31:B33"/>
    <mergeCell ref="C31:C33"/>
    <mergeCell ref="D31:D33"/>
    <mergeCell ref="R31:S31"/>
    <mergeCell ref="R32:S32"/>
    <mergeCell ref="R33:S33"/>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B19:C19"/>
    <mergeCell ref="F19:G19"/>
    <mergeCell ref="H19:I19"/>
    <mergeCell ref="J19:K19"/>
    <mergeCell ref="L19:M19"/>
    <mergeCell ref="N19:O19"/>
    <mergeCell ref="P19:Q19"/>
    <mergeCell ref="F22:I22"/>
    <mergeCell ref="J22:M22"/>
    <mergeCell ref="N22:Q22"/>
    <mergeCell ref="B15:C16"/>
    <mergeCell ref="R15:S15"/>
    <mergeCell ref="R16:S16"/>
    <mergeCell ref="A17:S17"/>
    <mergeCell ref="B18:C18"/>
    <mergeCell ref="F18:G18"/>
    <mergeCell ref="H18:I18"/>
    <mergeCell ref="J18:K18"/>
    <mergeCell ref="L18:M18"/>
    <mergeCell ref="N18:O18"/>
    <mergeCell ref="P18:Q18"/>
    <mergeCell ref="R18:S18"/>
    <mergeCell ref="B12:B14"/>
    <mergeCell ref="C12:C14"/>
    <mergeCell ref="D12:D14"/>
    <mergeCell ref="R12:S12"/>
    <mergeCell ref="R13:S13"/>
    <mergeCell ref="R14:S14"/>
    <mergeCell ref="B9:B11"/>
    <mergeCell ref="C9:C11"/>
    <mergeCell ref="D9:D11"/>
    <mergeCell ref="R9:S9"/>
    <mergeCell ref="R10:S10"/>
    <mergeCell ref="R11:S11"/>
    <mergeCell ref="B7:C7"/>
    <mergeCell ref="R7:S7"/>
    <mergeCell ref="B8:C8"/>
    <mergeCell ref="R8:S8"/>
    <mergeCell ref="A4:A6"/>
    <mergeCell ref="B4:C6"/>
    <mergeCell ref="D4:D6"/>
    <mergeCell ref="E4:E6"/>
    <mergeCell ref="F4:Q4"/>
    <mergeCell ref="R4:S5"/>
    <mergeCell ref="F5:I5"/>
    <mergeCell ref="J5:M5"/>
    <mergeCell ref="N5:Q5"/>
    <mergeCell ref="G6:I6"/>
    <mergeCell ref="A1:O1"/>
    <mergeCell ref="A2:O2"/>
    <mergeCell ref="P2:Q2"/>
    <mergeCell ref="R2:S2"/>
    <mergeCell ref="P3:Q3"/>
    <mergeCell ref="R3:S3"/>
    <mergeCell ref="K6:M6"/>
    <mergeCell ref="O6:Q6"/>
    <mergeCell ref="R6:S6"/>
    <mergeCell ref="E3:F3"/>
  </mergeCells>
  <phoneticPr fontId="7" type="noConversion"/>
  <conditionalFormatting sqref="F7:F8 J7:J8">
    <cfRule type="expression" dxfId="427" priority="140">
      <formula>F7&lt;10</formula>
    </cfRule>
    <cfRule type="expression" dxfId="426" priority="141">
      <formula>F7&gt;15</formula>
    </cfRule>
  </conditionalFormatting>
  <conditionalFormatting sqref="F9 F12 J9 J12">
    <cfRule type="expression" dxfId="425" priority="138">
      <formula>F9&lt;40</formula>
    </cfRule>
    <cfRule type="expression" dxfId="424" priority="139">
      <formula>F9&gt;60</formula>
    </cfRule>
  </conditionalFormatting>
  <conditionalFormatting sqref="F10 F13 J10 J13">
    <cfRule type="expression" dxfId="423" priority="136">
      <formula>F10&lt;5.2</formula>
    </cfRule>
    <cfRule type="expression" dxfId="422" priority="137">
      <formula>F10&gt;7.8</formula>
    </cfRule>
  </conditionalFormatting>
  <conditionalFormatting sqref="F11 F14 J11 J14">
    <cfRule type="expression" dxfId="421" priority="135">
      <formula>F11&gt;0.4</formula>
    </cfRule>
  </conditionalFormatting>
  <conditionalFormatting sqref="F15 J15">
    <cfRule type="expression" dxfId="420" priority="133">
      <formula>F15&lt;0.8</formula>
    </cfRule>
    <cfRule type="expression" dxfId="419" priority="134">
      <formula>F15&gt;1.2</formula>
    </cfRule>
  </conditionalFormatting>
  <conditionalFormatting sqref="F16 J16">
    <cfRule type="expression" dxfId="418" priority="131">
      <formula>F16&lt;8</formula>
    </cfRule>
    <cfRule type="expression" dxfId="417" priority="132">
      <formula>F16&gt;10</formula>
    </cfRule>
  </conditionalFormatting>
  <conditionalFormatting sqref="N29:N30">
    <cfRule type="expression" dxfId="416" priority="125">
      <formula>N29&lt;10</formula>
    </cfRule>
    <cfRule type="expression" dxfId="415" priority="126">
      <formula>N29&gt;15</formula>
    </cfRule>
  </conditionalFormatting>
  <conditionalFormatting sqref="N31 N34">
    <cfRule type="expression" dxfId="414" priority="123">
      <formula>N31&lt;40</formula>
    </cfRule>
    <cfRule type="expression" dxfId="413" priority="124">
      <formula>N31&gt;60</formula>
    </cfRule>
  </conditionalFormatting>
  <conditionalFormatting sqref="N32 N35">
    <cfRule type="expression" dxfId="412" priority="121">
      <formula>N32&lt;5.2</formula>
    </cfRule>
    <cfRule type="expression" dxfId="411" priority="122">
      <formula>N32&gt;7.8</formula>
    </cfRule>
  </conditionalFormatting>
  <conditionalFormatting sqref="N33 N36">
    <cfRule type="expression" dxfId="410" priority="120">
      <formula>N33&gt;0.4</formula>
    </cfRule>
  </conditionalFormatting>
  <conditionalFormatting sqref="N37">
    <cfRule type="expression" dxfId="409" priority="118">
      <formula>N37&lt;0.8</formula>
    </cfRule>
    <cfRule type="expression" dxfId="408" priority="119">
      <formula>N37&gt;1.2</formula>
    </cfRule>
  </conditionalFormatting>
  <conditionalFormatting sqref="N38">
    <cfRule type="expression" dxfId="407" priority="116">
      <formula>N38&lt;8</formula>
    </cfRule>
    <cfRule type="expression" dxfId="406" priority="117">
      <formula>N38&gt;10</formula>
    </cfRule>
  </conditionalFormatting>
  <conditionalFormatting sqref="N7:N8">
    <cfRule type="expression" dxfId="405" priority="106">
      <formula>N7&lt;10</formula>
    </cfRule>
    <cfRule type="expression" dxfId="404" priority="107">
      <formula>N7&gt;15</formula>
    </cfRule>
  </conditionalFormatting>
  <conditionalFormatting sqref="N9 N12">
    <cfRule type="expression" dxfId="403" priority="104">
      <formula>N9&lt;40</formula>
    </cfRule>
    <cfRule type="expression" dxfId="402" priority="105">
      <formula>N9&gt;60</formula>
    </cfRule>
  </conditionalFormatting>
  <conditionalFormatting sqref="N10 N13">
    <cfRule type="expression" dxfId="401" priority="102">
      <formula>N10&lt;5.2</formula>
    </cfRule>
    <cfRule type="expression" dxfId="400" priority="103">
      <formula>N10&gt;7.8</formula>
    </cfRule>
  </conditionalFormatting>
  <conditionalFormatting sqref="N11 N14">
    <cfRule type="expression" dxfId="399" priority="101">
      <formula>N11&gt;0.4</formula>
    </cfRule>
  </conditionalFormatting>
  <conditionalFormatting sqref="N15">
    <cfRule type="expression" dxfId="398" priority="99">
      <formula>N15&lt;0.8</formula>
    </cfRule>
    <cfRule type="expression" dxfId="397" priority="100">
      <formula>N15&gt;1.2</formula>
    </cfRule>
  </conditionalFormatting>
  <conditionalFormatting sqref="N16">
    <cfRule type="expression" dxfId="396" priority="97">
      <formula>N16&lt;8</formula>
    </cfRule>
    <cfRule type="expression" dxfId="395" priority="98">
      <formula>N16&gt;10</formula>
    </cfRule>
  </conditionalFormatting>
  <conditionalFormatting sqref="J29:J30">
    <cfRule type="expression" dxfId="394" priority="95">
      <formula>J29&lt;10</formula>
    </cfRule>
    <cfRule type="expression" dxfId="393" priority="96">
      <formula>J29&gt;15</formula>
    </cfRule>
  </conditionalFormatting>
  <conditionalFormatting sqref="J31 J34">
    <cfRule type="expression" dxfId="392" priority="93">
      <formula>J31&lt;40</formula>
    </cfRule>
    <cfRule type="expression" dxfId="391" priority="94">
      <formula>J31&gt;60</formula>
    </cfRule>
  </conditionalFormatting>
  <conditionalFormatting sqref="J32 J35">
    <cfRule type="expression" dxfId="390" priority="91">
      <formula>J32&lt;5.2</formula>
    </cfRule>
    <cfRule type="expression" dxfId="389" priority="92">
      <formula>J32&gt;7.8</formula>
    </cfRule>
  </conditionalFormatting>
  <conditionalFormatting sqref="J33 J36">
    <cfRule type="expression" dxfId="388" priority="90">
      <formula>J33&gt;0.4</formula>
    </cfRule>
  </conditionalFormatting>
  <conditionalFormatting sqref="J37">
    <cfRule type="expression" dxfId="387" priority="88">
      <formula>J37&lt;0.8</formula>
    </cfRule>
    <cfRule type="expression" dxfId="386" priority="89">
      <formula>J37&gt;1.2</formula>
    </cfRule>
  </conditionalFormatting>
  <conditionalFormatting sqref="J38">
    <cfRule type="expression" dxfId="385" priority="86">
      <formula>J38&lt;8</formula>
    </cfRule>
    <cfRule type="expression" dxfId="384" priority="87">
      <formula>J38&gt;10</formula>
    </cfRule>
  </conditionalFormatting>
  <conditionalFormatting sqref="F29:F30">
    <cfRule type="expression" dxfId="383" priority="80">
      <formula>F29&lt;10</formula>
    </cfRule>
    <cfRule type="expression" dxfId="382" priority="81">
      <formula>F29&gt;15</formula>
    </cfRule>
  </conditionalFormatting>
  <conditionalFormatting sqref="F31 F34">
    <cfRule type="expression" dxfId="381" priority="78">
      <formula>F31&lt;40</formula>
    </cfRule>
    <cfRule type="expression" dxfId="380" priority="79">
      <formula>F31&gt;60</formula>
    </cfRule>
  </conditionalFormatting>
  <conditionalFormatting sqref="F32 F35">
    <cfRule type="expression" dxfId="379" priority="76">
      <formula>F32&lt;5.2</formula>
    </cfRule>
    <cfRule type="expression" dxfId="378" priority="77">
      <formula>F32&gt;7.8</formula>
    </cfRule>
  </conditionalFormatting>
  <conditionalFormatting sqref="F33 F36">
    <cfRule type="expression" dxfId="377" priority="75">
      <formula>F33&gt;0.4</formula>
    </cfRule>
  </conditionalFormatting>
  <conditionalFormatting sqref="F37">
    <cfRule type="expression" dxfId="376" priority="73">
      <formula>F37&lt;0.8</formula>
    </cfRule>
    <cfRule type="expression" dxfId="375" priority="74">
      <formula>F37&gt;1.2</formula>
    </cfRule>
  </conditionalFormatting>
  <conditionalFormatting sqref="F38">
    <cfRule type="expression" dxfId="374" priority="71">
      <formula>F38&lt;8</formula>
    </cfRule>
    <cfRule type="expression" dxfId="373" priority="72">
      <formula>F38&gt;10</formula>
    </cfRule>
  </conditionalFormatting>
  <conditionalFormatting sqref="J8">
    <cfRule type="expression" dxfId="372" priority="61">
      <formula>J8&lt;10</formula>
    </cfRule>
    <cfRule type="expression" dxfId="371" priority="62">
      <formula>J8&gt;15</formula>
    </cfRule>
  </conditionalFormatting>
  <conditionalFormatting sqref="N8">
    <cfRule type="expression" dxfId="370" priority="59">
      <formula>N8&lt;10</formula>
    </cfRule>
    <cfRule type="expression" dxfId="369" priority="60">
      <formula>N8&gt;15</formula>
    </cfRule>
  </conditionalFormatting>
  <conditionalFormatting sqref="F8">
    <cfRule type="expression" dxfId="368" priority="57">
      <formula>F8&lt;10</formula>
    </cfRule>
    <cfRule type="expression" dxfId="367" priority="58">
      <formula>F8&gt;15</formula>
    </cfRule>
  </conditionalFormatting>
  <conditionalFormatting sqref="F8 J8">
    <cfRule type="expression" dxfId="366" priority="55">
      <formula>F8&lt;10</formula>
    </cfRule>
    <cfRule type="expression" dxfId="365" priority="56">
      <formula>F8&gt;15</formula>
    </cfRule>
  </conditionalFormatting>
  <conditionalFormatting sqref="N8">
    <cfRule type="expression" dxfId="364" priority="53">
      <formula>N8&lt;10</formula>
    </cfRule>
    <cfRule type="expression" dxfId="363" priority="54">
      <formula>N8&gt;15</formula>
    </cfRule>
  </conditionalFormatting>
  <conditionalFormatting sqref="F8">
    <cfRule type="expression" dxfId="362" priority="51">
      <formula>F8&lt;10</formula>
    </cfRule>
    <cfRule type="expression" dxfId="361" priority="52">
      <formula>F8&gt;15</formula>
    </cfRule>
  </conditionalFormatting>
  <conditionalFormatting sqref="F8">
    <cfRule type="expression" dxfId="360" priority="50">
      <formula>F8&lt;1</formula>
    </cfRule>
  </conditionalFormatting>
  <conditionalFormatting sqref="J8">
    <cfRule type="expression" dxfId="359" priority="48">
      <formula>J8&lt;10</formula>
    </cfRule>
    <cfRule type="expression" dxfId="358" priority="49">
      <formula>J8&gt;15</formula>
    </cfRule>
  </conditionalFormatting>
  <conditionalFormatting sqref="J8">
    <cfRule type="expression" dxfId="357" priority="47">
      <formula>J8&lt;1</formula>
    </cfRule>
  </conditionalFormatting>
  <conditionalFormatting sqref="N8">
    <cfRule type="expression" dxfId="356" priority="45">
      <formula>N8&lt;10</formula>
    </cfRule>
    <cfRule type="expression" dxfId="355" priority="46">
      <formula>N8&gt;15</formula>
    </cfRule>
  </conditionalFormatting>
  <conditionalFormatting sqref="N8">
    <cfRule type="expression" dxfId="354" priority="43">
      <formula>N8&lt;10</formula>
    </cfRule>
    <cfRule type="expression" dxfId="353" priority="44">
      <formula>N8&gt;15</formula>
    </cfRule>
  </conditionalFormatting>
  <conditionalFormatting sqref="N8">
    <cfRule type="expression" dxfId="352" priority="42">
      <formula>N8&lt;1</formula>
    </cfRule>
  </conditionalFormatting>
  <conditionalFormatting sqref="F30 J30">
    <cfRule type="expression" dxfId="351" priority="40">
      <formula>F30&lt;10</formula>
    </cfRule>
    <cfRule type="expression" dxfId="350" priority="41">
      <formula>F30&gt;15</formula>
    </cfRule>
  </conditionalFormatting>
  <conditionalFormatting sqref="N30">
    <cfRule type="expression" dxfId="349" priority="38">
      <formula>N30&lt;10</formula>
    </cfRule>
    <cfRule type="expression" dxfId="348" priority="39">
      <formula>N30&gt;15</formula>
    </cfRule>
  </conditionalFormatting>
  <conditionalFormatting sqref="J30">
    <cfRule type="expression" dxfId="347" priority="36">
      <formula>J30&lt;10</formula>
    </cfRule>
    <cfRule type="expression" dxfId="346" priority="37">
      <formula>J30&gt;15</formula>
    </cfRule>
  </conditionalFormatting>
  <conditionalFormatting sqref="N30">
    <cfRule type="expression" dxfId="345" priority="34">
      <formula>N30&lt;10</formula>
    </cfRule>
    <cfRule type="expression" dxfId="344" priority="35">
      <formula>N30&gt;15</formula>
    </cfRule>
  </conditionalFormatting>
  <conditionalFormatting sqref="F30">
    <cfRule type="expression" dxfId="343" priority="32">
      <formula>F30&lt;10</formula>
    </cfRule>
    <cfRule type="expression" dxfId="342" priority="33">
      <formula>F30&gt;15</formula>
    </cfRule>
  </conditionalFormatting>
  <conditionalFormatting sqref="F30 J30">
    <cfRule type="expression" dxfId="341" priority="30">
      <formula>F30&lt;10</formula>
    </cfRule>
    <cfRule type="expression" dxfId="340" priority="31">
      <formula>F30&gt;15</formula>
    </cfRule>
  </conditionalFormatting>
  <conditionalFormatting sqref="N30">
    <cfRule type="expression" dxfId="339" priority="28">
      <formula>N30&lt;10</formula>
    </cfRule>
    <cfRule type="expression" dxfId="338" priority="29">
      <formula>N30&gt;15</formula>
    </cfRule>
  </conditionalFormatting>
  <conditionalFormatting sqref="F30">
    <cfRule type="expression" dxfId="337" priority="26">
      <formula>F30&lt;10</formula>
    </cfRule>
    <cfRule type="expression" dxfId="336" priority="27">
      <formula>F30&gt;15</formula>
    </cfRule>
  </conditionalFormatting>
  <conditionalFormatting sqref="F30">
    <cfRule type="expression" dxfId="335" priority="25">
      <formula>F30&lt;1</formula>
    </cfRule>
  </conditionalFormatting>
  <conditionalFormatting sqref="J30">
    <cfRule type="expression" dxfId="334" priority="23">
      <formula>J30&lt;10</formula>
    </cfRule>
    <cfRule type="expression" dxfId="333" priority="24">
      <formula>J30&gt;15</formula>
    </cfRule>
  </conditionalFormatting>
  <conditionalFormatting sqref="J30">
    <cfRule type="expression" dxfId="332" priority="22">
      <formula>J30&lt;1</formula>
    </cfRule>
  </conditionalFormatting>
  <conditionalFormatting sqref="N30">
    <cfRule type="expression" dxfId="331" priority="20">
      <formula>N30&lt;10</formula>
    </cfRule>
    <cfRule type="expression" dxfId="330" priority="21">
      <formula>N30&gt;15</formula>
    </cfRule>
  </conditionalFormatting>
  <conditionalFormatting sqref="N30">
    <cfRule type="expression" dxfId="329" priority="18">
      <formula>N30&lt;10</formula>
    </cfRule>
    <cfRule type="expression" dxfId="328" priority="19">
      <formula>N30&gt;15</formula>
    </cfRule>
  </conditionalFormatting>
  <conditionalFormatting sqref="N30">
    <cfRule type="expression" dxfId="327" priority="17">
      <formula>N30&lt;1</formula>
    </cfRule>
  </conditionalFormatting>
  <conditionalFormatting sqref="F41:G42">
    <cfRule type="expression" dxfId="326" priority="15">
      <formula>F41&lt;65</formula>
    </cfRule>
    <cfRule type="expression" dxfId="325" priority="16">
      <formula>F41&gt;85</formula>
    </cfRule>
  </conditionalFormatting>
  <conditionalFormatting sqref="F43:G43">
    <cfRule type="expression" dxfId="324" priority="13">
      <formula>F43&lt;80</formula>
    </cfRule>
    <cfRule type="expression" dxfId="323" priority="14">
      <formula>F43&gt;90</formula>
    </cfRule>
  </conditionalFormatting>
  <conditionalFormatting sqref="H41:Q42">
    <cfRule type="expression" dxfId="322" priority="11">
      <formula>H41&lt;65</formula>
    </cfRule>
    <cfRule type="expression" dxfId="321" priority="12">
      <formula>H41&gt;85</formula>
    </cfRule>
  </conditionalFormatting>
  <conditionalFormatting sqref="H43:Q43">
    <cfRule type="expression" dxfId="320" priority="9">
      <formula>H43&lt;80</formula>
    </cfRule>
    <cfRule type="expression" dxfId="319" priority="10">
      <formula>H43&gt;90</formula>
    </cfRule>
  </conditionalFormatting>
  <conditionalFormatting sqref="F19:G20">
    <cfRule type="expression" dxfId="318" priority="7">
      <formula>F19&lt;65</formula>
    </cfRule>
    <cfRule type="expression" dxfId="317" priority="8">
      <formula>F19&gt;85</formula>
    </cfRule>
  </conditionalFormatting>
  <conditionalFormatting sqref="F21:G21">
    <cfRule type="expression" dxfId="316" priority="5">
      <formula>F21&lt;80</formula>
    </cfRule>
    <cfRule type="expression" dxfId="315" priority="6">
      <formula>F21&gt;90</formula>
    </cfRule>
  </conditionalFormatting>
  <conditionalFormatting sqref="H19:Q20">
    <cfRule type="expression" dxfId="314" priority="3">
      <formula>H19&lt;65</formula>
    </cfRule>
    <cfRule type="expression" dxfId="313" priority="4">
      <formula>H19&gt;85</formula>
    </cfRule>
  </conditionalFormatting>
  <conditionalFormatting sqref="H21:Q21">
    <cfRule type="expression" dxfId="312" priority="1">
      <formula>H21&lt;80</formula>
    </cfRule>
    <cfRule type="expression" dxfId="311"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sqref="A1:Q35"/>
    </sheetView>
  </sheetViews>
  <sheetFormatPr defaultRowHeight="13.5"/>
  <cols>
    <col min="1" max="1" width="5.5" style="496" customWidth="1"/>
    <col min="2" max="2" width="23.375" style="546" customWidth="1"/>
    <col min="3" max="3" width="9.75" style="496" customWidth="1"/>
    <col min="4" max="4" width="14" style="496" customWidth="1"/>
    <col min="5" max="5" width="7.375" style="496" customWidth="1"/>
    <col min="6" max="6" width="3.25" style="496" customWidth="1"/>
    <col min="7" max="7" width="6.5" style="496" customWidth="1"/>
    <col min="8" max="8" width="4.375" style="496" customWidth="1"/>
    <col min="9" max="9" width="8.5" style="496" customWidth="1"/>
    <col min="10" max="10" width="2.625" style="496" customWidth="1"/>
    <col min="11" max="11" width="6.875" style="496" customWidth="1"/>
    <col min="12" max="12" width="4.25" style="496" customWidth="1"/>
    <col min="13" max="13" width="8.5" style="496" customWidth="1"/>
    <col min="14" max="14" width="2.625" style="496" customWidth="1"/>
    <col min="15" max="15" width="6.875" style="496" customWidth="1"/>
    <col min="16" max="16" width="4.25" style="496" customWidth="1"/>
    <col min="17" max="17" width="11.125" style="496" customWidth="1"/>
    <col min="18" max="16384" width="9" style="496"/>
  </cols>
  <sheetData>
    <row r="1" spans="1:17" ht="27.75" customHeight="1">
      <c r="A1" s="3352" t="s">
        <v>589</v>
      </c>
      <c r="B1" s="3352"/>
      <c r="C1" s="3352"/>
      <c r="D1" s="3352"/>
      <c r="E1" s="3352"/>
      <c r="F1" s="3352"/>
      <c r="G1" s="3352"/>
      <c r="H1" s="3352"/>
      <c r="I1" s="3352"/>
      <c r="J1" s="3352"/>
      <c r="K1" s="3352"/>
      <c r="L1" s="3352"/>
      <c r="M1" s="494"/>
      <c r="N1" s="494"/>
      <c r="O1" s="494"/>
      <c r="P1" s="494"/>
      <c r="Q1" s="494"/>
    </row>
    <row r="2" spans="1:17" ht="36.75" customHeight="1">
      <c r="A2" s="3353" t="s">
        <v>926</v>
      </c>
      <c r="B2" s="3353"/>
      <c r="C2" s="3353"/>
      <c r="D2" s="3353"/>
      <c r="E2" s="3353"/>
      <c r="F2" s="3353"/>
      <c r="G2" s="3353"/>
      <c r="H2" s="3353"/>
      <c r="I2" s="3353"/>
      <c r="J2" s="3353"/>
      <c r="K2" s="3353"/>
      <c r="L2" s="3353"/>
      <c r="M2" s="497"/>
      <c r="N2" s="497"/>
      <c r="O2" s="3194" t="s">
        <v>642</v>
      </c>
      <c r="P2" s="3169"/>
      <c r="Q2" s="78" t="s">
        <v>17</v>
      </c>
    </row>
    <row r="3" spans="1:17" ht="29.25" customHeight="1">
      <c r="A3" s="498"/>
      <c r="B3" s="499" t="s">
        <v>592</v>
      </c>
      <c r="C3" s="2139" t="str">
        <f>MENU!$AC$9</f>
        <v>Thứ 3,</v>
      </c>
      <c r="D3" s="1933" t="str">
        <f>MENU!$AD$9</f>
        <v>2024/01/09</v>
      </c>
      <c r="E3" s="3504"/>
      <c r="F3" s="3504"/>
      <c r="G3" s="500"/>
      <c r="H3" s="500"/>
      <c r="I3" s="3408"/>
      <c r="J3" s="3408"/>
      <c r="K3" s="3408"/>
      <c r="L3" s="548"/>
      <c r="M3" s="499"/>
      <c r="N3" s="499"/>
      <c r="O3" s="3358" t="str">
        <f>'1.xi den'!$N$3</f>
        <v>Trang</v>
      </c>
      <c r="P3" s="3359"/>
      <c r="Q3" s="549" t="s">
        <v>643</v>
      </c>
    </row>
    <row r="4" spans="1:17" s="550" customFormat="1" ht="39" customHeight="1">
      <c r="A4" s="3401" t="s">
        <v>644</v>
      </c>
      <c r="B4" s="3404" t="s">
        <v>645</v>
      </c>
      <c r="C4" s="3404" t="s">
        <v>646</v>
      </c>
      <c r="D4" s="3406" t="s">
        <v>647</v>
      </c>
      <c r="E4" s="3378" t="s">
        <v>927</v>
      </c>
      <c r="F4" s="3379"/>
      <c r="G4" s="3379"/>
      <c r="H4" s="3379"/>
      <c r="I4" s="3379"/>
      <c r="J4" s="3379"/>
      <c r="K4" s="3379"/>
      <c r="L4" s="3379"/>
      <c r="M4" s="3379"/>
      <c r="N4" s="3379"/>
      <c r="O4" s="3379"/>
      <c r="P4" s="3380"/>
      <c r="Q4" s="2961" t="s">
        <v>648</v>
      </c>
    </row>
    <row r="5" spans="1:17" s="550" customFormat="1" ht="25.5" customHeight="1">
      <c r="A5" s="3402"/>
      <c r="B5" s="3404"/>
      <c r="C5" s="3404"/>
      <c r="D5" s="3406"/>
      <c r="E5" s="3363">
        <v>0.375</v>
      </c>
      <c r="F5" s="3364"/>
      <c r="G5" s="3364"/>
      <c r="H5" s="3364"/>
      <c r="I5" s="3365">
        <v>0.5625</v>
      </c>
      <c r="J5" s="3366"/>
      <c r="K5" s="3366"/>
      <c r="L5" s="3367"/>
      <c r="M5" s="3365">
        <v>0.72916666666666663</v>
      </c>
      <c r="N5" s="3366"/>
      <c r="O5" s="3366"/>
      <c r="P5" s="3367"/>
      <c r="Q5" s="2962"/>
    </row>
    <row r="6" spans="1:17" s="550" customFormat="1" ht="40.5" customHeight="1">
      <c r="A6" s="3403"/>
      <c r="B6" s="3405"/>
      <c r="C6" s="3405"/>
      <c r="D6" s="3407"/>
      <c r="E6" s="551" t="s">
        <v>649</v>
      </c>
      <c r="F6" s="3242" t="s">
        <v>650</v>
      </c>
      <c r="G6" s="3247"/>
      <c r="H6" s="3410"/>
      <c r="I6" s="551" t="s">
        <v>649</v>
      </c>
      <c r="J6" s="3242" t="s">
        <v>650</v>
      </c>
      <c r="K6" s="3247"/>
      <c r="L6" s="3410"/>
      <c r="M6" s="551" t="s">
        <v>649</v>
      </c>
      <c r="N6" s="3242" t="s">
        <v>650</v>
      </c>
      <c r="O6" s="3247"/>
      <c r="P6" s="3410"/>
      <c r="Q6" s="281" t="s">
        <v>651</v>
      </c>
    </row>
    <row r="7" spans="1:17" s="550" customFormat="1" ht="27.75" customHeight="1">
      <c r="A7" s="552">
        <v>1</v>
      </c>
      <c r="B7" s="553" t="s">
        <v>652</v>
      </c>
      <c r="C7" s="554" t="s">
        <v>653</v>
      </c>
      <c r="D7" s="509" t="s">
        <v>729</v>
      </c>
      <c r="E7" s="629">
        <f>'R.GUI MAIL'!H25</f>
        <v>0</v>
      </c>
      <c r="F7" s="515" t="s">
        <v>654</v>
      </c>
      <c r="G7" s="516">
        <f>'R.GUI MAIL'!K25</f>
        <v>0</v>
      </c>
      <c r="H7" s="217" t="s">
        <v>655</v>
      </c>
      <c r="I7" s="629">
        <f>'R.GUI MAIL'!N25</f>
        <v>0</v>
      </c>
      <c r="J7" s="515" t="s">
        <v>654</v>
      </c>
      <c r="K7" s="516">
        <f>'R.GUI MAIL'!Q25</f>
        <v>0</v>
      </c>
      <c r="L7" s="217" t="s">
        <v>655</v>
      </c>
      <c r="M7" s="629">
        <f>'R.GUI MAIL'!T25</f>
        <v>0</v>
      </c>
      <c r="N7" s="515" t="s">
        <v>639</v>
      </c>
      <c r="O7" s="516">
        <f>'R.GUI MAIL'!W25</f>
        <v>0</v>
      </c>
      <c r="P7" s="217" t="s">
        <v>640</v>
      </c>
      <c r="Q7" s="281" t="s">
        <v>656</v>
      </c>
    </row>
    <row r="8" spans="1:17" s="559" customFormat="1" ht="27.75" customHeight="1">
      <c r="A8" s="552">
        <v>2</v>
      </c>
      <c r="B8" s="556" t="s">
        <v>657</v>
      </c>
      <c r="C8" s="557" t="s">
        <v>658</v>
      </c>
      <c r="D8" s="558" t="s">
        <v>730</v>
      </c>
      <c r="E8" s="629">
        <f>'R.GUI MAIL'!H26</f>
        <v>0</v>
      </c>
      <c r="F8" s="515" t="s">
        <v>659</v>
      </c>
      <c r="G8" s="516">
        <f>'R.GUI MAIL'!K26</f>
        <v>0</v>
      </c>
      <c r="H8" s="217" t="s">
        <v>660</v>
      </c>
      <c r="I8" s="629">
        <f>'R.GUI MAIL'!N26</f>
        <v>0</v>
      </c>
      <c r="J8" s="515" t="s">
        <v>659</v>
      </c>
      <c r="K8" s="516">
        <f>'R.GUI MAIL'!Q26</f>
        <v>0</v>
      </c>
      <c r="L8" s="217" t="s">
        <v>660</v>
      </c>
      <c r="M8" s="629">
        <f>'R.GUI MAIL'!T26</f>
        <v>0</v>
      </c>
      <c r="N8" s="515" t="s">
        <v>639</v>
      </c>
      <c r="O8" s="516">
        <f>'R.GUI MAIL'!W26</f>
        <v>0</v>
      </c>
      <c r="P8" s="217" t="s">
        <v>660</v>
      </c>
      <c r="Q8" s="281" t="s">
        <v>691</v>
      </c>
    </row>
    <row r="9" spans="1:17" s="559" customFormat="1" ht="27.75" customHeight="1">
      <c r="A9" s="552">
        <v>3</v>
      </c>
      <c r="B9" s="3411" t="s">
        <v>662</v>
      </c>
      <c r="C9" s="3414" t="s">
        <v>432</v>
      </c>
      <c r="D9" s="509" t="s">
        <v>731</v>
      </c>
      <c r="E9" s="629">
        <f>'R.GUI MAIL'!H27</f>
        <v>0</v>
      </c>
      <c r="F9" s="515" t="s">
        <v>654</v>
      </c>
      <c r="G9" s="516">
        <f>'R.GUI MAIL'!K27</f>
        <v>0</v>
      </c>
      <c r="H9" s="217" t="s">
        <v>655</v>
      </c>
      <c r="I9" s="629">
        <f>'R.GUI MAIL'!N27</f>
        <v>0</v>
      </c>
      <c r="J9" s="515" t="s">
        <v>654</v>
      </c>
      <c r="K9" s="516">
        <f>'R.GUI MAIL'!Q27</f>
        <v>0</v>
      </c>
      <c r="L9" s="217" t="s">
        <v>655</v>
      </c>
      <c r="M9" s="629">
        <f>'R.GUI MAIL'!T27</f>
        <v>0</v>
      </c>
      <c r="N9" s="515" t="s">
        <v>639</v>
      </c>
      <c r="O9" s="516">
        <f>'R.GUI MAIL'!W27</f>
        <v>0</v>
      </c>
      <c r="P9" s="217" t="s">
        <v>640</v>
      </c>
      <c r="Q9" s="281" t="s">
        <v>693</v>
      </c>
    </row>
    <row r="10" spans="1:17" s="559" customFormat="1" ht="27.75" customHeight="1">
      <c r="A10" s="552">
        <v>4</v>
      </c>
      <c r="B10" s="3412"/>
      <c r="C10" s="3414"/>
      <c r="D10" s="509" t="s">
        <v>727</v>
      </c>
      <c r="E10" s="629">
        <f>'R.GUI MAIL'!H28</f>
        <v>0</v>
      </c>
      <c r="F10" s="515" t="s">
        <v>654</v>
      </c>
      <c r="G10" s="516">
        <f>'R.GUI MAIL'!K28</f>
        <v>0</v>
      </c>
      <c r="H10" s="217" t="s">
        <v>655</v>
      </c>
      <c r="I10" s="629">
        <f>'R.GUI MAIL'!N28</f>
        <v>0</v>
      </c>
      <c r="J10" s="515" t="s">
        <v>654</v>
      </c>
      <c r="K10" s="516">
        <f>'R.GUI MAIL'!Q28</f>
        <v>0</v>
      </c>
      <c r="L10" s="217" t="s">
        <v>655</v>
      </c>
      <c r="M10" s="629">
        <f>'R.GUI MAIL'!T28</f>
        <v>0</v>
      </c>
      <c r="N10" s="515" t="s">
        <v>639</v>
      </c>
      <c r="O10" s="516">
        <f>'R.GUI MAIL'!W28</f>
        <v>0</v>
      </c>
      <c r="P10" s="217" t="s">
        <v>640</v>
      </c>
      <c r="Q10" s="281" t="s">
        <v>694</v>
      </c>
    </row>
    <row r="11" spans="1:17" s="559" customFormat="1" ht="27.75" customHeight="1">
      <c r="A11" s="552">
        <v>5</v>
      </c>
      <c r="B11" s="3413"/>
      <c r="C11" s="3414"/>
      <c r="D11" s="509" t="s">
        <v>615</v>
      </c>
      <c r="E11" s="630">
        <f>'R.GUI MAIL'!H29</f>
        <v>0</v>
      </c>
      <c r="F11" s="515" t="s">
        <v>654</v>
      </c>
      <c r="G11" s="516">
        <f>'R.GUI MAIL'!K29</f>
        <v>0</v>
      </c>
      <c r="H11" s="68" t="s">
        <v>655</v>
      </c>
      <c r="I11" s="630">
        <f>'R.GUI MAIL'!N29</f>
        <v>0</v>
      </c>
      <c r="J11" s="515" t="s">
        <v>654</v>
      </c>
      <c r="K11" s="516">
        <f>'R.GUI MAIL'!Q29</f>
        <v>0</v>
      </c>
      <c r="L11" s="68" t="s">
        <v>655</v>
      </c>
      <c r="M11" s="630">
        <f>'R.GUI MAIL'!T29</f>
        <v>0</v>
      </c>
      <c r="N11" s="515" t="s">
        <v>639</v>
      </c>
      <c r="O11" s="516">
        <f>'R.GUI MAIL'!W29</f>
        <v>0</v>
      </c>
      <c r="P11" s="68" t="s">
        <v>640</v>
      </c>
      <c r="Q11" s="561"/>
    </row>
    <row r="12" spans="1:17" s="564" customFormat="1" ht="27.75" customHeight="1">
      <c r="A12" s="552">
        <v>6</v>
      </c>
      <c r="B12" s="3411" t="s">
        <v>665</v>
      </c>
      <c r="C12" s="554" t="s">
        <v>432</v>
      </c>
      <c r="D12" s="509" t="s">
        <v>442</v>
      </c>
      <c r="E12" s="629">
        <f>'R.GUI MAIL'!H30</f>
        <v>0</v>
      </c>
      <c r="F12" s="515"/>
      <c r="G12" s="562">
        <f>'R.GUI MAIL'!K30</f>
        <v>0</v>
      </c>
      <c r="H12" s="68" t="s">
        <v>655</v>
      </c>
      <c r="I12" s="629">
        <f>'R.GUI MAIL'!N30</f>
        <v>0</v>
      </c>
      <c r="J12" s="515"/>
      <c r="K12" s="562">
        <f>'R.GUI MAIL'!Q30</f>
        <v>0</v>
      </c>
      <c r="L12" s="68" t="s">
        <v>655</v>
      </c>
      <c r="M12" s="629">
        <f>'R.GUI MAIL'!T30</f>
        <v>0</v>
      </c>
      <c r="N12" s="515"/>
      <c r="O12" s="562">
        <f>'R.GUI MAIL'!W30</f>
        <v>0</v>
      </c>
      <c r="P12" s="68" t="s">
        <v>640</v>
      </c>
      <c r="Q12" s="563" t="s">
        <v>666</v>
      </c>
    </row>
    <row r="13" spans="1:17" s="564" customFormat="1" ht="27.75" customHeight="1">
      <c r="A13" s="552">
        <v>7</v>
      </c>
      <c r="B13" s="3413"/>
      <c r="C13" s="565" t="s">
        <v>667</v>
      </c>
      <c r="D13" s="1018" t="s">
        <v>977</v>
      </c>
      <c r="E13" s="629">
        <f>'R.GUI MAIL'!H31</f>
        <v>0</v>
      </c>
      <c r="F13" s="515" t="s">
        <v>654</v>
      </c>
      <c r="G13" s="516">
        <f>'R.GUI MAIL'!K31</f>
        <v>0</v>
      </c>
      <c r="H13" s="217" t="s">
        <v>655</v>
      </c>
      <c r="I13" s="629">
        <f>'R.GUI MAIL'!N31</f>
        <v>0</v>
      </c>
      <c r="J13" s="515" t="s">
        <v>654</v>
      </c>
      <c r="K13" s="516">
        <f>'R.GUI MAIL'!Q31</f>
        <v>0</v>
      </c>
      <c r="L13" s="217" t="s">
        <v>655</v>
      </c>
      <c r="M13" s="629">
        <f>'R.GUI MAIL'!T31</f>
        <v>0</v>
      </c>
      <c r="N13" s="515" t="s">
        <v>639</v>
      </c>
      <c r="O13" s="516">
        <f>'R.GUI MAIL'!W31</f>
        <v>0</v>
      </c>
      <c r="P13" s="217" t="s">
        <v>640</v>
      </c>
      <c r="Q13" s="217"/>
    </row>
    <row r="14" spans="1:17" s="559" customFormat="1" ht="30.75" customHeight="1">
      <c r="A14" s="3415" t="s">
        <v>668</v>
      </c>
      <c r="B14" s="3415"/>
      <c r="C14" s="3415"/>
      <c r="D14" s="3415"/>
      <c r="E14" s="3415"/>
      <c r="F14" s="3415"/>
      <c r="G14" s="3415"/>
      <c r="H14" s="3415"/>
      <c r="I14" s="3415"/>
      <c r="J14" s="3415"/>
      <c r="K14" s="3415"/>
      <c r="L14" s="3415"/>
      <c r="M14" s="3415"/>
      <c r="N14" s="3415"/>
      <c r="O14" s="3415"/>
      <c r="P14" s="3415"/>
      <c r="Q14" s="3415"/>
    </row>
    <row r="15" spans="1:17" s="559" customFormat="1" ht="37.5" customHeight="1">
      <c r="A15" s="217" t="s">
        <v>669</v>
      </c>
      <c r="B15" s="566" t="s">
        <v>670</v>
      </c>
      <c r="C15" s="566" t="s">
        <v>671</v>
      </c>
      <c r="D15" s="566" t="s">
        <v>672</v>
      </c>
      <c r="E15" s="3375" t="s">
        <v>46</v>
      </c>
      <c r="F15" s="3375"/>
      <c r="G15" s="3375" t="s">
        <v>63</v>
      </c>
      <c r="H15" s="3375"/>
      <c r="I15" s="3375" t="s">
        <v>46</v>
      </c>
      <c r="J15" s="3375"/>
      <c r="K15" s="3375" t="s">
        <v>63</v>
      </c>
      <c r="L15" s="3375"/>
      <c r="M15" s="3375" t="s">
        <v>46</v>
      </c>
      <c r="N15" s="3375"/>
      <c r="O15" s="3375" t="s">
        <v>63</v>
      </c>
      <c r="P15" s="3375"/>
      <c r="Q15" s="337"/>
    </row>
    <row r="16" spans="1:17" s="559" customFormat="1" ht="27.75" customHeight="1">
      <c r="A16" s="217">
        <v>1</v>
      </c>
      <c r="B16" s="566" t="s">
        <v>673</v>
      </c>
      <c r="C16" s="567" t="s">
        <v>674</v>
      </c>
      <c r="D16" s="509" t="s">
        <v>675</v>
      </c>
      <c r="E16" s="3516">
        <f>'R.FILE GOC'!H34</f>
        <v>0</v>
      </c>
      <c r="F16" s="3517"/>
      <c r="G16" s="2928">
        <f>'R.FILE GOC'!K34</f>
        <v>0</v>
      </c>
      <c r="H16" s="2929"/>
      <c r="I16" s="3516">
        <f>'R.FILE GOC'!N34</f>
        <v>0</v>
      </c>
      <c r="J16" s="3517"/>
      <c r="K16" s="2928">
        <f>'R.FILE GOC'!Q34</f>
        <v>0</v>
      </c>
      <c r="L16" s="2929"/>
      <c r="M16" s="3516">
        <f>'R.GUI MAIL'!T34</f>
        <v>0</v>
      </c>
      <c r="N16" s="3517"/>
      <c r="O16" s="2925">
        <f>'R.FILE GOC'!W34</f>
        <v>0</v>
      </c>
      <c r="P16" s="2925"/>
      <c r="Q16" s="516"/>
    </row>
    <row r="17" spans="1:17" s="559" customFormat="1" ht="27.75" customHeight="1">
      <c r="A17" s="217">
        <v>2</v>
      </c>
      <c r="B17" s="566" t="s">
        <v>676</v>
      </c>
      <c r="C17" s="567" t="s">
        <v>674</v>
      </c>
      <c r="D17" s="509" t="s">
        <v>677</v>
      </c>
      <c r="E17" s="2928">
        <f>'R.FILE GOC'!H35</f>
        <v>0</v>
      </c>
      <c r="F17" s="2929"/>
      <c r="G17" s="2928">
        <f>'R.FILE GOC'!K35</f>
        <v>0</v>
      </c>
      <c r="H17" s="2929"/>
      <c r="I17" s="2928">
        <f>'R.FILE GOC'!N35</f>
        <v>0</v>
      </c>
      <c r="J17" s="2929"/>
      <c r="K17" s="2928">
        <f>'R.FILE GOC'!Q35</f>
        <v>0</v>
      </c>
      <c r="L17" s="2929"/>
      <c r="M17" s="2928">
        <f>'R.GUI MAIL'!T35</f>
        <v>0</v>
      </c>
      <c r="N17" s="2929"/>
      <c r="O17" s="2925">
        <f>'R.FILE GOC'!W35</f>
        <v>0</v>
      </c>
      <c r="P17" s="2925"/>
      <c r="Q17" s="516"/>
    </row>
    <row r="18" spans="1:17" s="559" customFormat="1" ht="27.75" customHeight="1">
      <c r="A18" s="217">
        <v>3</v>
      </c>
      <c r="B18" s="566" t="s">
        <v>678</v>
      </c>
      <c r="C18" s="567" t="s">
        <v>674</v>
      </c>
      <c r="D18" s="509" t="s">
        <v>679</v>
      </c>
      <c r="E18" s="3516">
        <f>'R.FILE GOC'!H36</f>
        <v>0</v>
      </c>
      <c r="F18" s="3517"/>
      <c r="G18" s="2928">
        <f>'R.FILE GOC'!K36</f>
        <v>0</v>
      </c>
      <c r="H18" s="2929"/>
      <c r="I18" s="3516">
        <f>'R.FILE GOC'!N36</f>
        <v>0</v>
      </c>
      <c r="J18" s="3517"/>
      <c r="K18" s="2928">
        <f>'R.FILE GOC'!Q36</f>
        <v>0</v>
      </c>
      <c r="L18" s="2929"/>
      <c r="M18" s="3516">
        <f>'R.GUI MAIL'!T36</f>
        <v>0</v>
      </c>
      <c r="N18" s="3517"/>
      <c r="O18" s="2925">
        <f>'R.FILE GOC'!W36</f>
        <v>0</v>
      </c>
      <c r="P18" s="2925"/>
      <c r="Q18" s="516"/>
    </row>
    <row r="19" spans="1:17" ht="36.75" customHeight="1">
      <c r="A19" s="3353" t="s">
        <v>926</v>
      </c>
      <c r="B19" s="3353"/>
      <c r="C19" s="3353"/>
      <c r="D19" s="3353"/>
      <c r="E19" s="3353"/>
      <c r="F19" s="3353"/>
      <c r="G19" s="3353"/>
      <c r="H19" s="3353"/>
      <c r="I19" s="3353"/>
      <c r="J19" s="3353"/>
      <c r="K19" s="3353"/>
      <c r="L19" s="3353"/>
      <c r="M19" s="497"/>
      <c r="N19" s="497"/>
      <c r="O19" s="497"/>
      <c r="P19" s="497"/>
      <c r="Q19" s="568"/>
    </row>
    <row r="20" spans="1:17" ht="21.75" customHeight="1">
      <c r="A20" s="498"/>
      <c r="B20" s="499" t="s">
        <v>680</v>
      </c>
      <c r="C20" s="500"/>
      <c r="D20" s="500"/>
      <c r="E20" s="500"/>
      <c r="F20" s="500"/>
      <c r="G20" s="500"/>
      <c r="H20" s="500"/>
      <c r="I20" s="3408"/>
      <c r="J20" s="3408"/>
      <c r="K20" s="3408"/>
      <c r="L20" s="548"/>
      <c r="M20" s="3408"/>
      <c r="N20" s="3408"/>
      <c r="O20" s="3408"/>
      <c r="P20" s="548"/>
      <c r="Q20" s="569"/>
    </row>
    <row r="21" spans="1:17" s="550" customFormat="1" ht="37.5" customHeight="1">
      <c r="A21" s="3401" t="s">
        <v>681</v>
      </c>
      <c r="B21" s="3404" t="s">
        <v>645</v>
      </c>
      <c r="C21" s="3404" t="s">
        <v>646</v>
      </c>
      <c r="D21" s="3406" t="s">
        <v>647</v>
      </c>
      <c r="E21" s="3378" t="s">
        <v>921</v>
      </c>
      <c r="F21" s="3379"/>
      <c r="G21" s="3379"/>
      <c r="H21" s="3379"/>
      <c r="I21" s="3379"/>
      <c r="J21" s="3379"/>
      <c r="K21" s="3379"/>
      <c r="L21" s="3379"/>
      <c r="M21" s="3379"/>
      <c r="N21" s="3379"/>
      <c r="O21" s="3379"/>
      <c r="P21" s="3380"/>
      <c r="Q21" s="2939" t="s">
        <v>648</v>
      </c>
    </row>
    <row r="22" spans="1:17" s="550" customFormat="1" ht="20.25" customHeight="1">
      <c r="A22" s="3402"/>
      <c r="B22" s="3404"/>
      <c r="C22" s="3404"/>
      <c r="D22" s="3406"/>
      <c r="E22" s="3363">
        <v>0.875</v>
      </c>
      <c r="F22" s="3364"/>
      <c r="G22" s="3364"/>
      <c r="H22" s="3364"/>
      <c r="I22" s="3365">
        <v>8.3333333333333329E-2</v>
      </c>
      <c r="J22" s="3366"/>
      <c r="K22" s="3366"/>
      <c r="L22" s="3367"/>
      <c r="M22" s="3365">
        <v>0.22916666666666666</v>
      </c>
      <c r="N22" s="3366"/>
      <c r="O22" s="3366"/>
      <c r="P22" s="3367"/>
      <c r="Q22" s="2939"/>
    </row>
    <row r="23" spans="1:17" s="550" customFormat="1" ht="36" customHeight="1">
      <c r="A23" s="3403"/>
      <c r="B23" s="3405"/>
      <c r="C23" s="3405"/>
      <c r="D23" s="3407"/>
      <c r="E23" s="551" t="s">
        <v>649</v>
      </c>
      <c r="F23" s="3242" t="s">
        <v>650</v>
      </c>
      <c r="G23" s="3247"/>
      <c r="H23" s="3410"/>
      <c r="I23" s="551" t="s">
        <v>649</v>
      </c>
      <c r="J23" s="3242" t="s">
        <v>650</v>
      </c>
      <c r="K23" s="3247"/>
      <c r="L23" s="3410"/>
      <c r="M23" s="551" t="s">
        <v>649</v>
      </c>
      <c r="N23" s="3242" t="s">
        <v>650</v>
      </c>
      <c r="O23" s="3247"/>
      <c r="P23" s="3410"/>
      <c r="Q23" s="281" t="s">
        <v>651</v>
      </c>
    </row>
    <row r="24" spans="1:17" s="550" customFormat="1" ht="30.75" customHeight="1">
      <c r="A24" s="552">
        <v>1</v>
      </c>
      <c r="B24" s="553" t="s">
        <v>652</v>
      </c>
      <c r="C24" s="554" t="s">
        <v>653</v>
      </c>
      <c r="D24" s="509" t="s">
        <v>729</v>
      </c>
      <c r="E24" s="629">
        <f>'R.GUI MAIL'!Z25</f>
        <v>0</v>
      </c>
      <c r="F24" s="515" t="s">
        <v>605</v>
      </c>
      <c r="G24" s="516">
        <f>'R.GUI MAIL'!AC25</f>
        <v>0</v>
      </c>
      <c r="H24" s="217" t="s">
        <v>682</v>
      </c>
      <c r="I24" s="629">
        <f>'R.GUI MAIL'!AF25</f>
        <v>0</v>
      </c>
      <c r="J24" s="515" t="s">
        <v>605</v>
      </c>
      <c r="K24" s="516">
        <f>'R.GUI MAIL'!AI25</f>
        <v>0</v>
      </c>
      <c r="L24" s="516" t="s">
        <v>682</v>
      </c>
      <c r="M24" s="629">
        <f>'R.GUI MAIL'!AL25</f>
        <v>0</v>
      </c>
      <c r="N24" s="515" t="s">
        <v>605</v>
      </c>
      <c r="O24" s="516">
        <f>'R.GUI MAIL'!AO25</f>
        <v>0</v>
      </c>
      <c r="P24" s="217" t="s">
        <v>682</v>
      </c>
      <c r="Q24" s="281" t="s">
        <v>656</v>
      </c>
    </row>
    <row r="25" spans="1:17" s="559" customFormat="1" ht="30.75" customHeight="1">
      <c r="A25" s="552">
        <v>2</v>
      </c>
      <c r="B25" s="556" t="s">
        <v>657</v>
      </c>
      <c r="C25" s="557" t="s">
        <v>683</v>
      </c>
      <c r="D25" s="558" t="s">
        <v>730</v>
      </c>
      <c r="E25" s="629">
        <f>'R.GUI MAIL'!Z26</f>
        <v>0</v>
      </c>
      <c r="F25" s="515" t="s">
        <v>605</v>
      </c>
      <c r="G25" s="516">
        <f>'R.GUI MAIL'!AC26</f>
        <v>0</v>
      </c>
      <c r="H25" s="217" t="s">
        <v>684</v>
      </c>
      <c r="I25" s="629">
        <f>'R.GUI MAIL'!AF26</f>
        <v>0</v>
      </c>
      <c r="J25" s="515" t="s">
        <v>605</v>
      </c>
      <c r="K25" s="516">
        <f>'R.GUI MAIL'!AI26</f>
        <v>0</v>
      </c>
      <c r="L25" s="516" t="s">
        <v>684</v>
      </c>
      <c r="M25" s="629">
        <f>'R.GUI MAIL'!AL26</f>
        <v>0</v>
      </c>
      <c r="N25" s="515" t="s">
        <v>605</v>
      </c>
      <c r="O25" s="516">
        <f>'R.GUI MAIL'!AO26</f>
        <v>0</v>
      </c>
      <c r="P25" s="217" t="s">
        <v>684</v>
      </c>
      <c r="Q25" s="281" t="s">
        <v>691</v>
      </c>
    </row>
    <row r="26" spans="1:17" s="559" customFormat="1" ht="30.75" customHeight="1">
      <c r="A26" s="552">
        <v>3</v>
      </c>
      <c r="B26" s="3411" t="s">
        <v>685</v>
      </c>
      <c r="C26" s="3414" t="s">
        <v>686</v>
      </c>
      <c r="D26" s="509" t="s">
        <v>731</v>
      </c>
      <c r="E26" s="629">
        <f>'R.GUI MAIL'!Z27</f>
        <v>0</v>
      </c>
      <c r="F26" s="515" t="s">
        <v>605</v>
      </c>
      <c r="G26" s="516">
        <f>'R.GUI MAIL'!AC27</f>
        <v>0</v>
      </c>
      <c r="H26" s="217" t="s">
        <v>682</v>
      </c>
      <c r="I26" s="629">
        <f>'R.GUI MAIL'!AF27</f>
        <v>0</v>
      </c>
      <c r="J26" s="515" t="s">
        <v>605</v>
      </c>
      <c r="K26" s="516">
        <f>'R.GUI MAIL'!AI27</f>
        <v>0</v>
      </c>
      <c r="L26" s="516" t="s">
        <v>682</v>
      </c>
      <c r="M26" s="629">
        <f>'R.GUI MAIL'!AL27</f>
        <v>0</v>
      </c>
      <c r="N26" s="515" t="s">
        <v>605</v>
      </c>
      <c r="O26" s="516">
        <f>'R.GUI MAIL'!AO27</f>
        <v>0</v>
      </c>
      <c r="P26" s="217" t="s">
        <v>682</v>
      </c>
      <c r="Q26" s="281" t="s">
        <v>693</v>
      </c>
    </row>
    <row r="27" spans="1:17" s="559" customFormat="1" ht="30.75" customHeight="1">
      <c r="A27" s="552">
        <v>4</v>
      </c>
      <c r="B27" s="3412"/>
      <c r="C27" s="3414"/>
      <c r="D27" s="509" t="s">
        <v>727</v>
      </c>
      <c r="E27" s="629">
        <f>'R.GUI MAIL'!Z28</f>
        <v>0</v>
      </c>
      <c r="F27" s="515" t="s">
        <v>605</v>
      </c>
      <c r="G27" s="516">
        <f>'R.GUI MAIL'!AC28</f>
        <v>0</v>
      </c>
      <c r="H27" s="217" t="s">
        <v>682</v>
      </c>
      <c r="I27" s="629">
        <f>'R.GUI MAIL'!AF28</f>
        <v>0</v>
      </c>
      <c r="J27" s="515" t="s">
        <v>605</v>
      </c>
      <c r="K27" s="516">
        <f>'R.GUI MAIL'!AI28</f>
        <v>0</v>
      </c>
      <c r="L27" s="516" t="s">
        <v>682</v>
      </c>
      <c r="M27" s="629">
        <f>'R.GUI MAIL'!AL28</f>
        <v>0</v>
      </c>
      <c r="N27" s="515" t="s">
        <v>605</v>
      </c>
      <c r="O27" s="516">
        <f>'R.GUI MAIL'!AO28</f>
        <v>0</v>
      </c>
      <c r="P27" s="217" t="s">
        <v>682</v>
      </c>
      <c r="Q27" s="281" t="s">
        <v>694</v>
      </c>
    </row>
    <row r="28" spans="1:17" s="559" customFormat="1" ht="30.75" customHeight="1">
      <c r="A28" s="552">
        <v>5</v>
      </c>
      <c r="B28" s="3413"/>
      <c r="C28" s="3414"/>
      <c r="D28" s="509" t="s">
        <v>615</v>
      </c>
      <c r="E28" s="630">
        <f>'R.GUI MAIL'!Z29</f>
        <v>0</v>
      </c>
      <c r="F28" s="515" t="s">
        <v>605</v>
      </c>
      <c r="G28" s="516">
        <f>'R.GUI MAIL'!AC29</f>
        <v>0</v>
      </c>
      <c r="H28" s="68" t="s">
        <v>682</v>
      </c>
      <c r="I28" s="630">
        <f>'R.GUI MAIL'!AF29</f>
        <v>0</v>
      </c>
      <c r="J28" s="515" t="s">
        <v>605</v>
      </c>
      <c r="K28" s="516">
        <f>'R.GUI MAIL'!AI29</f>
        <v>0</v>
      </c>
      <c r="L28" s="516" t="s">
        <v>682</v>
      </c>
      <c r="M28" s="630">
        <f>'R.GUI MAIL'!AL29</f>
        <v>0</v>
      </c>
      <c r="N28" s="515" t="s">
        <v>605</v>
      </c>
      <c r="O28" s="516">
        <f>'R.GUI MAIL'!AO29</f>
        <v>0</v>
      </c>
      <c r="P28" s="68" t="s">
        <v>682</v>
      </c>
      <c r="Q28" s="561"/>
    </row>
    <row r="29" spans="1:17" s="564" customFormat="1" ht="30.75" customHeight="1">
      <c r="A29" s="552">
        <v>6</v>
      </c>
      <c r="B29" s="3411" t="s">
        <v>665</v>
      </c>
      <c r="C29" s="554" t="s">
        <v>432</v>
      </c>
      <c r="D29" s="509" t="s">
        <v>442</v>
      </c>
      <c r="E29" s="629">
        <f>'R.GUI MAIL'!Z30</f>
        <v>0</v>
      </c>
      <c r="F29" s="570" t="s">
        <v>605</v>
      </c>
      <c r="G29" s="562">
        <f>'R.GUI MAIL'!AC30</f>
        <v>0</v>
      </c>
      <c r="H29" s="555" t="s">
        <v>682</v>
      </c>
      <c r="I29" s="629">
        <f>'R.GUI MAIL'!AF30</f>
        <v>0</v>
      </c>
      <c r="J29" s="570" t="s">
        <v>605</v>
      </c>
      <c r="K29" s="562">
        <f>'R.GUI MAIL'!AI30</f>
        <v>0</v>
      </c>
      <c r="L29" s="562" t="s">
        <v>682</v>
      </c>
      <c r="M29" s="629">
        <f>'R.GUI MAIL'!AL30</f>
        <v>0</v>
      </c>
      <c r="N29" s="570" t="s">
        <v>605</v>
      </c>
      <c r="O29" s="562">
        <f>'R.GUI MAIL'!AO30</f>
        <v>0</v>
      </c>
      <c r="P29" s="555" t="s">
        <v>682</v>
      </c>
      <c r="Q29" s="563" t="s">
        <v>666</v>
      </c>
    </row>
    <row r="30" spans="1:17" s="564" customFormat="1" ht="30.75" customHeight="1">
      <c r="A30" s="552">
        <v>7</v>
      </c>
      <c r="B30" s="3413"/>
      <c r="C30" s="565" t="s">
        <v>687</v>
      </c>
      <c r="D30" s="1018" t="s">
        <v>977</v>
      </c>
      <c r="E30" s="629">
        <f>'R.GUI MAIL'!Z31</f>
        <v>0</v>
      </c>
      <c r="F30" s="515" t="s">
        <v>605</v>
      </c>
      <c r="G30" s="516">
        <f>'R.GUI MAIL'!AC31</f>
        <v>0</v>
      </c>
      <c r="H30" s="217" t="s">
        <v>682</v>
      </c>
      <c r="I30" s="629">
        <f>'R.GUI MAIL'!AF31</f>
        <v>0</v>
      </c>
      <c r="J30" s="515" t="s">
        <v>605</v>
      </c>
      <c r="K30" s="516">
        <f>'R.GUI MAIL'!AI31</f>
        <v>0</v>
      </c>
      <c r="L30" s="516" t="s">
        <v>682</v>
      </c>
      <c r="M30" s="629">
        <f>'R.GUI MAIL'!AL31</f>
        <v>0</v>
      </c>
      <c r="N30" s="515" t="s">
        <v>605</v>
      </c>
      <c r="O30" s="516">
        <f>'R.GUI MAIL'!AO31</f>
        <v>0</v>
      </c>
      <c r="P30" s="217" t="s">
        <v>682</v>
      </c>
      <c r="Q30" s="217"/>
    </row>
    <row r="31" spans="1:17" s="559" customFormat="1" ht="25.5" customHeight="1">
      <c r="A31" s="3415" t="s">
        <v>668</v>
      </c>
      <c r="B31" s="3415"/>
      <c r="C31" s="3415"/>
      <c r="D31" s="3415"/>
      <c r="E31" s="3415"/>
      <c r="F31" s="3415"/>
      <c r="G31" s="3415"/>
      <c r="H31" s="3415"/>
      <c r="I31" s="3415"/>
      <c r="J31" s="3415"/>
      <c r="K31" s="3415"/>
      <c r="L31" s="3415"/>
      <c r="M31" s="3415"/>
      <c r="N31" s="3415"/>
      <c r="O31" s="3415"/>
      <c r="P31" s="3415"/>
      <c r="Q31" s="3415"/>
    </row>
    <row r="32" spans="1:17" s="559" customFormat="1" ht="38.25" customHeight="1">
      <c r="A32" s="217" t="s">
        <v>688</v>
      </c>
      <c r="B32" s="566" t="s">
        <v>670</v>
      </c>
      <c r="C32" s="566" t="s">
        <v>671</v>
      </c>
      <c r="D32" s="566" t="s">
        <v>672</v>
      </c>
      <c r="E32" s="3375" t="s">
        <v>46</v>
      </c>
      <c r="F32" s="3375"/>
      <c r="G32" s="3375" t="s">
        <v>63</v>
      </c>
      <c r="H32" s="3375"/>
      <c r="I32" s="3375" t="s">
        <v>46</v>
      </c>
      <c r="J32" s="3375"/>
      <c r="K32" s="3375" t="s">
        <v>63</v>
      </c>
      <c r="L32" s="3375"/>
      <c r="M32" s="3375" t="s">
        <v>46</v>
      </c>
      <c r="N32" s="3375"/>
      <c r="O32" s="3375" t="s">
        <v>63</v>
      </c>
      <c r="P32" s="3375"/>
      <c r="Q32" s="337"/>
    </row>
    <row r="33" spans="1:17" s="559" customFormat="1" ht="30" customHeight="1">
      <c r="A33" s="217">
        <v>1</v>
      </c>
      <c r="B33" s="566" t="s">
        <v>673</v>
      </c>
      <c r="C33" s="567" t="s">
        <v>674</v>
      </c>
      <c r="D33" s="509" t="s">
        <v>675</v>
      </c>
      <c r="E33" s="3516">
        <f>'R.GUI MAIL'!Z34</f>
        <v>0</v>
      </c>
      <c r="F33" s="3517"/>
      <c r="G33" s="2928">
        <f>'R.FILE GOC'!AC34</f>
        <v>0</v>
      </c>
      <c r="H33" s="2929"/>
      <c r="I33" s="3516">
        <f>'R.GUI MAIL'!AF34</f>
        <v>0</v>
      </c>
      <c r="J33" s="3517"/>
      <c r="K33" s="2928">
        <f>'R.FILE GOC'!AI34</f>
        <v>0</v>
      </c>
      <c r="L33" s="2929"/>
      <c r="M33" s="3516">
        <f>'R.GUI MAIL'!AL34</f>
        <v>0</v>
      </c>
      <c r="N33" s="3517"/>
      <c r="O33" s="2925">
        <f>'R.FILE GOC'!AO34</f>
        <v>0</v>
      </c>
      <c r="P33" s="2925"/>
      <c r="Q33" s="516"/>
    </row>
    <row r="34" spans="1:17" s="559" customFormat="1" ht="30" customHeight="1">
      <c r="A34" s="217">
        <v>2</v>
      </c>
      <c r="B34" s="566" t="s">
        <v>689</v>
      </c>
      <c r="C34" s="567" t="s">
        <v>674</v>
      </c>
      <c r="D34" s="509" t="s">
        <v>677</v>
      </c>
      <c r="E34" s="2928">
        <f>'R.GUI MAIL'!Z35</f>
        <v>0</v>
      </c>
      <c r="F34" s="2929"/>
      <c r="G34" s="2928">
        <f>'R.FILE GOC'!AC35</f>
        <v>0</v>
      </c>
      <c r="H34" s="2929"/>
      <c r="I34" s="2928">
        <f>'R.GUI MAIL'!AF35</f>
        <v>0</v>
      </c>
      <c r="J34" s="2929"/>
      <c r="K34" s="2928">
        <f>'R.FILE GOC'!AI35</f>
        <v>0</v>
      </c>
      <c r="L34" s="2929"/>
      <c r="M34" s="2928">
        <f>'R.GUI MAIL'!AL35</f>
        <v>0</v>
      </c>
      <c r="N34" s="2929"/>
      <c r="O34" s="2925">
        <f>'R.FILE GOC'!AO35</f>
        <v>0</v>
      </c>
      <c r="P34" s="2925"/>
      <c r="Q34" s="516"/>
    </row>
    <row r="35" spans="1:17" s="559" customFormat="1" ht="30" customHeight="1">
      <c r="A35" s="217">
        <v>3</v>
      </c>
      <c r="B35" s="566" t="s">
        <v>678</v>
      </c>
      <c r="C35" s="567" t="s">
        <v>674</v>
      </c>
      <c r="D35" s="509" t="s">
        <v>679</v>
      </c>
      <c r="E35" s="3516">
        <f>'R.GUI MAIL'!Z36</f>
        <v>0</v>
      </c>
      <c r="F35" s="3517"/>
      <c r="G35" s="2928">
        <f>'R.FILE GOC'!AC36</f>
        <v>0</v>
      </c>
      <c r="H35" s="2929"/>
      <c r="I35" s="3516">
        <f>'R.GUI MAIL'!AF36</f>
        <v>0</v>
      </c>
      <c r="J35" s="3517"/>
      <c r="K35" s="2928">
        <f>'R.FILE GOC'!AI36</f>
        <v>0</v>
      </c>
      <c r="L35" s="2929"/>
      <c r="M35" s="3516">
        <f>'R.GUI MAIL'!AL36</f>
        <v>0</v>
      </c>
      <c r="N35" s="3517"/>
      <c r="O35" s="2925">
        <f>'R.FILE GOC'!AO36</f>
        <v>0</v>
      </c>
      <c r="P35" s="2925"/>
      <c r="Q35" s="516"/>
    </row>
  </sheetData>
  <sheetProtection selectLockedCells="1"/>
  <mergeCells count="89">
    <mergeCell ref="O35:P35"/>
    <mergeCell ref="E34:F34"/>
    <mergeCell ref="G34:H34"/>
    <mergeCell ref="I34:J34"/>
    <mergeCell ref="K34:L34"/>
    <mergeCell ref="M34:N34"/>
    <mergeCell ref="O34:P34"/>
    <mergeCell ref="E35:F35"/>
    <mergeCell ref="G35:H35"/>
    <mergeCell ref="I35:J35"/>
    <mergeCell ref="K35:L35"/>
    <mergeCell ref="M35:N35"/>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O18:P18"/>
    <mergeCell ref="E17:F17"/>
    <mergeCell ref="G17:H17"/>
    <mergeCell ref="I17:J17"/>
    <mergeCell ref="K17:L17"/>
    <mergeCell ref="M17:N17"/>
    <mergeCell ref="O17:P17"/>
    <mergeCell ref="E18:F18"/>
    <mergeCell ref="G18:H18"/>
    <mergeCell ref="I18:J18"/>
    <mergeCell ref="K18:L18"/>
    <mergeCell ref="M18:N18"/>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Q4:Q5"/>
    <mergeCell ref="E5:H5"/>
    <mergeCell ref="I5:L5"/>
    <mergeCell ref="M5:P5"/>
    <mergeCell ref="F6:H6"/>
    <mergeCell ref="J6:L6"/>
    <mergeCell ref="N6:P6"/>
    <mergeCell ref="A1:L1"/>
    <mergeCell ref="A2:L2"/>
    <mergeCell ref="O2:P2"/>
    <mergeCell ref="I3:K3"/>
    <mergeCell ref="O3:P3"/>
    <mergeCell ref="E3:F3"/>
    <mergeCell ref="A4:A6"/>
    <mergeCell ref="B4:B6"/>
    <mergeCell ref="C4:C6"/>
    <mergeCell ref="D4:D6"/>
    <mergeCell ref="E4:P4"/>
  </mergeCells>
  <phoneticPr fontId="7" type="noConversion"/>
  <conditionalFormatting sqref="E8 I8 M8 M25 I25 E25">
    <cfRule type="expression" dxfId="310" priority="111">
      <formula>E8&lt;10</formula>
    </cfRule>
    <cfRule type="expression" dxfId="309" priority="112">
      <formula>E8&gt;15</formula>
    </cfRule>
  </conditionalFormatting>
  <conditionalFormatting sqref="E7 I7 M7 M24 I24 E24">
    <cfRule type="expression" dxfId="308" priority="109">
      <formula>E7&lt;30</formula>
    </cfRule>
    <cfRule type="expression" dxfId="307" priority="110">
      <formula>E7&gt;50</formula>
    </cfRule>
  </conditionalFormatting>
  <conditionalFormatting sqref="E9 I9 M9 M26 I26 E26">
    <cfRule type="expression" dxfId="306" priority="107">
      <formula>E9&lt;40</formula>
    </cfRule>
    <cfRule type="expression" dxfId="305" priority="108">
      <formula>E9&gt;60</formula>
    </cfRule>
  </conditionalFormatting>
  <conditionalFormatting sqref="E10 I10 M10 M27 I27 E27">
    <cfRule type="expression" dxfId="304" priority="105">
      <formula>E10&lt;5.2</formula>
    </cfRule>
    <cfRule type="expression" dxfId="303" priority="106">
      <formula>E10&gt;7.8</formula>
    </cfRule>
  </conditionalFormatting>
  <conditionalFormatting sqref="E11 I11 M11 M28 I28 E28">
    <cfRule type="expression" dxfId="302" priority="104">
      <formula>E11&gt;0.4</formula>
    </cfRule>
  </conditionalFormatting>
  <conditionalFormatting sqref="E12 I12 M12 M29 I29 E29">
    <cfRule type="expression" dxfId="301" priority="102">
      <formula>E12&lt;0.8</formula>
    </cfRule>
    <cfRule type="expression" dxfId="300" priority="103">
      <formula>E12&gt;1.2</formula>
    </cfRule>
  </conditionalFormatting>
  <conditionalFormatting sqref="I13 M30 I30 E30">
    <cfRule type="expression" dxfId="299" priority="100">
      <formula>E13&lt;8</formula>
    </cfRule>
    <cfRule type="expression" dxfId="298" priority="101">
      <formula>E13&gt;10</formula>
    </cfRule>
  </conditionalFormatting>
  <conditionalFormatting sqref="E34:F34 E17:P17">
    <cfRule type="expression" dxfId="297" priority="23">
      <formula>E17&lt;65</formula>
    </cfRule>
    <cfRule type="expression" dxfId="296" priority="24">
      <formula>E17&gt;85</formula>
    </cfRule>
  </conditionalFormatting>
  <conditionalFormatting sqref="E35:F35 E18:P18">
    <cfRule type="expression" dxfId="295" priority="21">
      <formula>E18&lt;80</formula>
    </cfRule>
    <cfRule type="expression" dxfId="294" priority="22">
      <formula>E18&gt;90</formula>
    </cfRule>
  </conditionalFormatting>
  <conditionalFormatting sqref="E33 E16 G16 I16 K16 M16 O16">
    <cfRule type="expression" dxfId="293" priority="19">
      <formula>E16&lt;55</formula>
    </cfRule>
    <cfRule type="expression" dxfId="292" priority="20">
      <formula>E16&gt;65</formula>
    </cfRule>
  </conditionalFormatting>
  <conditionalFormatting sqref="G34:P34">
    <cfRule type="expression" dxfId="291" priority="17">
      <formula>G34&lt;65</formula>
    </cfRule>
    <cfRule type="expression" dxfId="290" priority="18">
      <formula>G34&gt;85</formula>
    </cfRule>
  </conditionalFormatting>
  <conditionalFormatting sqref="G35:P35">
    <cfRule type="expression" dxfId="289" priority="15">
      <formula>G35&lt;80</formula>
    </cfRule>
    <cfRule type="expression" dxfId="288" priority="16">
      <formula>G35&gt;90</formula>
    </cfRule>
  </conditionalFormatting>
  <conditionalFormatting sqref="G33 I33 K33 M33 O33">
    <cfRule type="expression" dxfId="287" priority="13">
      <formula>G33&lt;55</formula>
    </cfRule>
    <cfRule type="expression" dxfId="286"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D3" sqref="D3:E3"/>
    </sheetView>
  </sheetViews>
  <sheetFormatPr defaultRowHeight="13.5"/>
  <cols>
    <col min="1" max="1" width="5.5" style="496" customWidth="1"/>
    <col min="2" max="2" width="20.875" style="546" customWidth="1"/>
    <col min="3" max="3" width="4.125" style="546" customWidth="1"/>
    <col min="4" max="4" width="6.875" style="496" customWidth="1"/>
    <col min="5" max="5" width="16.875" style="496" customWidth="1"/>
    <col min="6" max="6" width="8.5" style="496" customWidth="1"/>
    <col min="7" max="7" width="3.875" style="496" customWidth="1"/>
    <col min="8" max="8" width="7.25" style="496" customWidth="1"/>
    <col min="9" max="9" width="4.375" style="496" customWidth="1"/>
    <col min="10" max="10" width="8.75" style="496" customWidth="1"/>
    <col min="11" max="11" width="2.625" style="496" customWidth="1"/>
    <col min="12" max="12" width="7.375" style="496" customWidth="1"/>
    <col min="13" max="13" width="4.25" style="496" customWidth="1"/>
    <col min="14" max="14" width="8.75" style="496" customWidth="1"/>
    <col min="15" max="15" width="2.625" style="496" customWidth="1"/>
    <col min="16" max="16" width="7.375" style="496" customWidth="1"/>
    <col min="17" max="17" width="4.25" style="496" customWidth="1"/>
    <col min="18" max="18" width="16.125" style="496" customWidth="1"/>
    <col min="19" max="16384" width="9" style="496"/>
  </cols>
  <sheetData>
    <row r="1" spans="1:18" ht="27.75" customHeight="1">
      <c r="A1" s="3352" t="s">
        <v>589</v>
      </c>
      <c r="B1" s="3352"/>
      <c r="C1" s="3352"/>
      <c r="D1" s="3352"/>
      <c r="E1" s="3352"/>
      <c r="F1" s="3352"/>
      <c r="G1" s="3352"/>
      <c r="H1" s="3352"/>
      <c r="I1" s="3352"/>
      <c r="J1" s="3352"/>
      <c r="K1" s="3352"/>
      <c r="L1" s="3352"/>
      <c r="M1" s="3352"/>
      <c r="N1" s="494"/>
      <c r="O1" s="494"/>
      <c r="P1" s="494"/>
      <c r="Q1" s="494"/>
      <c r="R1" s="494"/>
    </row>
    <row r="2" spans="1:18" ht="36.75" customHeight="1">
      <c r="A2" s="3353" t="s">
        <v>928</v>
      </c>
      <c r="B2" s="3353"/>
      <c r="C2" s="3353"/>
      <c r="D2" s="3353"/>
      <c r="E2" s="3353"/>
      <c r="F2" s="3353"/>
      <c r="G2" s="3353"/>
      <c r="H2" s="3353"/>
      <c r="I2" s="3353"/>
      <c r="J2" s="3353"/>
      <c r="K2" s="3353"/>
      <c r="L2" s="3353"/>
      <c r="M2" s="3353"/>
      <c r="N2" s="497"/>
      <c r="O2" s="497"/>
      <c r="P2" s="3194" t="s">
        <v>642</v>
      </c>
      <c r="Q2" s="3169"/>
      <c r="R2" s="78" t="s">
        <v>17</v>
      </c>
    </row>
    <row r="3" spans="1:18" ht="20.25" customHeight="1">
      <c r="A3" s="498"/>
      <c r="B3" s="499" t="s">
        <v>592</v>
      </c>
      <c r="C3" s="499"/>
      <c r="D3" s="2139" t="str">
        <f>MENU!$AC$9</f>
        <v>Thứ 3,</v>
      </c>
      <c r="E3" s="1933" t="str">
        <f>MENU!$AD$9</f>
        <v>2024/01/09</v>
      </c>
      <c r="F3" s="500"/>
      <c r="G3" s="500"/>
      <c r="H3" s="500"/>
      <c r="I3" s="500"/>
      <c r="J3" s="3408"/>
      <c r="K3" s="3408"/>
      <c r="L3" s="3408"/>
      <c r="M3" s="548"/>
      <c r="N3" s="499"/>
      <c r="O3" s="499"/>
      <c r="P3" s="3358" t="str">
        <f>'1.xi den'!$N$3</f>
        <v>Trang</v>
      </c>
      <c r="Q3" s="3359"/>
      <c r="R3" s="549" t="s">
        <v>643</v>
      </c>
    </row>
    <row r="4" spans="1:18" s="550" customFormat="1" ht="42" customHeight="1">
      <c r="A4" s="3401" t="s">
        <v>681</v>
      </c>
      <c r="B4" s="3190" t="s">
        <v>645</v>
      </c>
      <c r="C4" s="3505"/>
      <c r="D4" s="3404" t="s">
        <v>646</v>
      </c>
      <c r="E4" s="3406" t="s">
        <v>647</v>
      </c>
      <c r="F4" s="3378" t="s">
        <v>863</v>
      </c>
      <c r="G4" s="3379"/>
      <c r="H4" s="3379"/>
      <c r="I4" s="3379"/>
      <c r="J4" s="3379"/>
      <c r="K4" s="3379"/>
      <c r="L4" s="3379"/>
      <c r="M4" s="3379"/>
      <c r="N4" s="3379"/>
      <c r="O4" s="3379"/>
      <c r="P4" s="3379"/>
      <c r="Q4" s="3380"/>
      <c r="R4" s="2961" t="s">
        <v>648</v>
      </c>
    </row>
    <row r="5" spans="1:18" s="550" customFormat="1" ht="22.5" customHeight="1">
      <c r="A5" s="3402"/>
      <c r="B5" s="3241"/>
      <c r="C5" s="3506"/>
      <c r="D5" s="3404"/>
      <c r="E5" s="3406"/>
      <c r="F5" s="3363">
        <v>0.375</v>
      </c>
      <c r="G5" s="3364"/>
      <c r="H5" s="3364"/>
      <c r="I5" s="3364"/>
      <c r="J5" s="3365">
        <v>0.5625</v>
      </c>
      <c r="K5" s="3366"/>
      <c r="L5" s="3366"/>
      <c r="M5" s="3367"/>
      <c r="N5" s="3365">
        <v>0.72916666666666663</v>
      </c>
      <c r="O5" s="3366"/>
      <c r="P5" s="3366"/>
      <c r="Q5" s="3367"/>
      <c r="R5" s="2962"/>
    </row>
    <row r="6" spans="1:18" s="550" customFormat="1" ht="39.75" customHeight="1">
      <c r="A6" s="3403"/>
      <c r="B6" s="3507"/>
      <c r="C6" s="3508"/>
      <c r="D6" s="3405"/>
      <c r="E6" s="3407"/>
      <c r="F6" s="551" t="s">
        <v>649</v>
      </c>
      <c r="G6" s="3242" t="s">
        <v>650</v>
      </c>
      <c r="H6" s="3247"/>
      <c r="I6" s="3410"/>
      <c r="J6" s="551" t="s">
        <v>649</v>
      </c>
      <c r="K6" s="3242" t="s">
        <v>650</v>
      </c>
      <c r="L6" s="3247"/>
      <c r="M6" s="3410"/>
      <c r="N6" s="551" t="s">
        <v>649</v>
      </c>
      <c r="O6" s="3242" t="s">
        <v>650</v>
      </c>
      <c r="P6" s="3247"/>
      <c r="Q6" s="3410"/>
      <c r="R6" s="563" t="s">
        <v>690</v>
      </c>
    </row>
    <row r="7" spans="1:18" s="559" customFormat="1" ht="27" customHeight="1">
      <c r="A7" s="552">
        <v>1</v>
      </c>
      <c r="B7" s="3518" t="s">
        <v>860</v>
      </c>
      <c r="C7" s="3519"/>
      <c r="D7" s="868" t="s">
        <v>653</v>
      </c>
      <c r="E7" s="872" t="s">
        <v>451</v>
      </c>
      <c r="F7" s="629">
        <f>'R.GUI MAIL'!H41</f>
        <v>48</v>
      </c>
      <c r="G7" s="515" t="s">
        <v>605</v>
      </c>
      <c r="H7" s="516">
        <f>'R.GUI MAIL'!K41</f>
        <v>0</v>
      </c>
      <c r="I7" s="870" t="s">
        <v>611</v>
      </c>
      <c r="J7" s="629">
        <f>'R.GUI MAIL'!N41</f>
        <v>48</v>
      </c>
      <c r="K7" s="515" t="s">
        <v>605</v>
      </c>
      <c r="L7" s="516">
        <f>'R.GUI MAIL'!Q41</f>
        <v>0</v>
      </c>
      <c r="M7" s="870" t="s">
        <v>611</v>
      </c>
      <c r="N7" s="629">
        <f>'R.GUI MAIL'!T41</f>
        <v>46</v>
      </c>
      <c r="O7" s="515" t="s">
        <v>605</v>
      </c>
      <c r="P7" s="516">
        <f>'R.GUI MAIL'!W41</f>
        <v>0</v>
      </c>
      <c r="Q7" s="870" t="s">
        <v>611</v>
      </c>
      <c r="R7" s="563" t="s">
        <v>691</v>
      </c>
    </row>
    <row r="8" spans="1:18" s="559" customFormat="1" ht="27" customHeight="1">
      <c r="A8" s="552">
        <v>2</v>
      </c>
      <c r="B8" s="3435" t="s">
        <v>657</v>
      </c>
      <c r="C8" s="3423"/>
      <c r="D8" s="557" t="s">
        <v>658</v>
      </c>
      <c r="E8" s="871" t="s">
        <v>427</v>
      </c>
      <c r="F8" s="873">
        <f>'R.GUI MAIL'!H42</f>
        <v>10.95</v>
      </c>
      <c r="G8" s="515" t="s">
        <v>605</v>
      </c>
      <c r="H8" s="516">
        <f>'R.GUI MAIL'!K42</f>
        <v>126.17968750000006</v>
      </c>
      <c r="I8" s="217" t="s">
        <v>684</v>
      </c>
      <c r="J8" s="873">
        <f>'R.GUI MAIL'!N42</f>
        <v>11.315000000000001</v>
      </c>
      <c r="K8" s="515" t="s">
        <v>605</v>
      </c>
      <c r="L8" s="516">
        <f>'R.GUI MAIL'!Q42</f>
        <v>96.466406249999892</v>
      </c>
      <c r="M8" s="217" t="s">
        <v>684</v>
      </c>
      <c r="N8" s="873">
        <f>'R.GUI MAIL'!T42</f>
        <v>10.219999999999999</v>
      </c>
      <c r="O8" s="515" t="s">
        <v>605</v>
      </c>
      <c r="P8" s="516">
        <f>'R.GUI MAIL'!W42</f>
        <v>185.6062500000001</v>
      </c>
      <c r="Q8" s="217" t="s">
        <v>684</v>
      </c>
      <c r="R8" s="563" t="s">
        <v>693</v>
      </c>
    </row>
    <row r="9" spans="1:18" s="559" customFormat="1" ht="27" customHeight="1">
      <c r="A9" s="552">
        <v>4</v>
      </c>
      <c r="B9" s="3509" t="s">
        <v>689</v>
      </c>
      <c r="C9" s="3512">
        <f>R.HN!B27</f>
        <v>0</v>
      </c>
      <c r="D9" s="3414" t="s">
        <v>432</v>
      </c>
      <c r="E9" s="509" t="s">
        <v>731</v>
      </c>
      <c r="F9" s="629">
        <f>'R.GUI MAIL'!H43</f>
        <v>55</v>
      </c>
      <c r="G9" s="515" t="s">
        <v>605</v>
      </c>
      <c r="H9" s="516">
        <f>'R.GUI MAIL'!K43</f>
        <v>0</v>
      </c>
      <c r="I9" s="217" t="s">
        <v>682</v>
      </c>
      <c r="J9" s="629">
        <f>'R.GUI MAIL'!N43</f>
        <v>49</v>
      </c>
      <c r="K9" s="515" t="s">
        <v>605</v>
      </c>
      <c r="L9" s="562">
        <f>'R.GUI MAIL'!Q43</f>
        <v>4.9349999999999996</v>
      </c>
      <c r="M9" s="217" t="s">
        <v>682</v>
      </c>
      <c r="N9" s="629">
        <f>'R.GUI MAIL'!T43</f>
        <v>51</v>
      </c>
      <c r="O9" s="515" t="s">
        <v>605</v>
      </c>
      <c r="P9" s="562">
        <f>'R.GUI MAIL'!W43</f>
        <v>0</v>
      </c>
      <c r="Q9" s="217" t="s">
        <v>682</v>
      </c>
      <c r="R9" s="563" t="s">
        <v>693</v>
      </c>
    </row>
    <row r="10" spans="1:18" s="559" customFormat="1" ht="28.5" customHeight="1">
      <c r="A10" s="552">
        <v>5</v>
      </c>
      <c r="B10" s="3510"/>
      <c r="C10" s="3513"/>
      <c r="D10" s="3414"/>
      <c r="E10" s="509" t="s">
        <v>727</v>
      </c>
      <c r="F10" s="629">
        <f>'R.GUI MAIL'!H44</f>
        <v>9.0163934426229506</v>
      </c>
      <c r="G10" s="515" t="s">
        <v>605</v>
      </c>
      <c r="H10" s="516">
        <f>'R.GUI MAIL'!K44</f>
        <v>0</v>
      </c>
      <c r="I10" s="217" t="s">
        <v>682</v>
      </c>
      <c r="J10" s="629">
        <f>'R.GUI MAIL'!N44</f>
        <v>9.8000000000000007</v>
      </c>
      <c r="K10" s="515" t="s">
        <v>605</v>
      </c>
      <c r="L10" s="562">
        <f>'R.GUI MAIL'!Q44</f>
        <v>0</v>
      </c>
      <c r="M10" s="217" t="s">
        <v>682</v>
      </c>
      <c r="N10" s="629">
        <f>'R.GUI MAIL'!T44</f>
        <v>10.199999999999999</v>
      </c>
      <c r="O10" s="515" t="s">
        <v>605</v>
      </c>
      <c r="P10" s="562">
        <f>'R.GUI MAIL'!W44</f>
        <v>0</v>
      </c>
      <c r="Q10" s="217" t="s">
        <v>682</v>
      </c>
      <c r="R10" s="563" t="s">
        <v>694</v>
      </c>
    </row>
    <row r="11" spans="1:18" s="559" customFormat="1" ht="28.5" customHeight="1">
      <c r="A11" s="552">
        <v>6</v>
      </c>
      <c r="B11" s="3511"/>
      <c r="C11" s="3514"/>
      <c r="D11" s="3414"/>
      <c r="E11" s="509" t="s">
        <v>615</v>
      </c>
      <c r="F11" s="630">
        <f>'R.GUI MAIL'!H45</f>
        <v>0.4</v>
      </c>
      <c r="G11" s="515" t="s">
        <v>605</v>
      </c>
      <c r="H11" s="516">
        <f>'R.GUI MAIL'!K45</f>
        <v>0</v>
      </c>
      <c r="I11" s="68" t="s">
        <v>682</v>
      </c>
      <c r="J11" s="630">
        <f>'R.GUI MAIL'!N45</f>
        <v>0.42</v>
      </c>
      <c r="K11" s="515" t="s">
        <v>605</v>
      </c>
      <c r="L11" s="562">
        <f>'R.GUI MAIL'!Q45</f>
        <v>0</v>
      </c>
      <c r="M11" s="68" t="s">
        <v>682</v>
      </c>
      <c r="N11" s="630">
        <f>'R.GUI MAIL'!T45</f>
        <v>0.72</v>
      </c>
      <c r="O11" s="515" t="s">
        <v>605</v>
      </c>
      <c r="P11" s="562">
        <f>'R.GUI MAIL'!W45</f>
        <v>0</v>
      </c>
      <c r="Q11" s="68" t="s">
        <v>682</v>
      </c>
      <c r="R11" s="563"/>
    </row>
    <row r="12" spans="1:18" s="559" customFormat="1" ht="28.5" hidden="1" customHeight="1">
      <c r="A12" s="552">
        <v>7</v>
      </c>
      <c r="B12" s="3509" t="s">
        <v>689</v>
      </c>
      <c r="C12" s="3512">
        <f>R.HN!B30</f>
        <v>0</v>
      </c>
      <c r="D12" s="3414" t="s">
        <v>432</v>
      </c>
      <c r="E12" s="509" t="s">
        <v>731</v>
      </c>
      <c r="F12" s="629" t="e">
        <f>'R.GUI MAIL'!#REF!</f>
        <v>#REF!</v>
      </c>
      <c r="G12" s="515" t="s">
        <v>605</v>
      </c>
      <c r="H12" s="516" t="e">
        <f>'R.GUI MAIL'!#REF!</f>
        <v>#REF!</v>
      </c>
      <c r="I12" s="217" t="s">
        <v>682</v>
      </c>
      <c r="J12" s="629" t="e">
        <f>'R.GUI MAIL'!#REF!</f>
        <v>#REF!</v>
      </c>
      <c r="K12" s="515" t="s">
        <v>605</v>
      </c>
      <c r="L12" s="562" t="e">
        <f>'R.GUI MAIL'!#REF!</f>
        <v>#REF!</v>
      </c>
      <c r="M12" s="217" t="s">
        <v>682</v>
      </c>
      <c r="N12" s="629" t="e">
        <f>'R.GUI MAIL'!#REF!</f>
        <v>#REF!</v>
      </c>
      <c r="O12" s="515" t="s">
        <v>605</v>
      </c>
      <c r="P12" s="562" t="e">
        <f>'R.GUI MAIL'!#REF!</f>
        <v>#REF!</v>
      </c>
      <c r="Q12" s="217" t="s">
        <v>682</v>
      </c>
      <c r="R12" s="563" t="s">
        <v>693</v>
      </c>
    </row>
    <row r="13" spans="1:18" s="559" customFormat="1" ht="28.5" hidden="1" customHeight="1">
      <c r="A13" s="552">
        <v>8</v>
      </c>
      <c r="B13" s="3510"/>
      <c r="C13" s="3513"/>
      <c r="D13" s="3414"/>
      <c r="E13" s="509" t="s">
        <v>727</v>
      </c>
      <c r="F13" s="629" t="e">
        <f>'R.GUI MAIL'!#REF!</f>
        <v>#REF!</v>
      </c>
      <c r="G13" s="515" t="s">
        <v>605</v>
      </c>
      <c r="H13" s="516" t="e">
        <f>'R.GUI MAIL'!#REF!</f>
        <v>#REF!</v>
      </c>
      <c r="I13" s="217" t="s">
        <v>682</v>
      </c>
      <c r="J13" s="629" t="e">
        <f>'R.GUI MAIL'!#REF!</f>
        <v>#REF!</v>
      </c>
      <c r="K13" s="515" t="s">
        <v>605</v>
      </c>
      <c r="L13" s="562" t="e">
        <f>'R.GUI MAIL'!#REF!</f>
        <v>#REF!</v>
      </c>
      <c r="M13" s="217" t="s">
        <v>682</v>
      </c>
      <c r="N13" s="629" t="e">
        <f>'R.GUI MAIL'!#REF!</f>
        <v>#REF!</v>
      </c>
      <c r="O13" s="515" t="s">
        <v>605</v>
      </c>
      <c r="P13" s="562" t="e">
        <f>'R.GUI MAIL'!#REF!</f>
        <v>#REF!</v>
      </c>
      <c r="Q13" s="217" t="s">
        <v>682</v>
      </c>
      <c r="R13" s="563" t="s">
        <v>694</v>
      </c>
    </row>
    <row r="14" spans="1:18" s="559" customFormat="1" ht="28.5" hidden="1" customHeight="1">
      <c r="A14" s="552">
        <v>9</v>
      </c>
      <c r="B14" s="3511"/>
      <c r="C14" s="3514"/>
      <c r="D14" s="3414"/>
      <c r="E14" s="509" t="s">
        <v>615</v>
      </c>
      <c r="F14" s="630" t="e">
        <f>'R.GUI MAIL'!#REF!</f>
        <v>#REF!</v>
      </c>
      <c r="G14" s="515" t="s">
        <v>605</v>
      </c>
      <c r="H14" s="516" t="e">
        <f>'R.GUI MAIL'!#REF!</f>
        <v>#REF!</v>
      </c>
      <c r="I14" s="68" t="s">
        <v>682</v>
      </c>
      <c r="J14" s="630" t="e">
        <f>'R.GUI MAIL'!#REF!</f>
        <v>#REF!</v>
      </c>
      <c r="K14" s="515" t="s">
        <v>605</v>
      </c>
      <c r="L14" s="562" t="e">
        <f>'R.GUI MAIL'!#REF!</f>
        <v>#REF!</v>
      </c>
      <c r="M14" s="68" t="s">
        <v>682</v>
      </c>
      <c r="N14" s="630" t="e">
        <f>'R.GUI MAIL'!#REF!</f>
        <v>#REF!</v>
      </c>
      <c r="O14" s="515" t="s">
        <v>605</v>
      </c>
      <c r="P14" s="562" t="e">
        <f>'R.GUI MAIL'!#REF!</f>
        <v>#REF!</v>
      </c>
      <c r="Q14" s="68" t="s">
        <v>682</v>
      </c>
      <c r="R14" s="563"/>
    </row>
    <row r="15" spans="1:18" s="564" customFormat="1" ht="28.5" customHeight="1">
      <c r="A15" s="552">
        <v>16</v>
      </c>
      <c r="B15" s="3509" t="s">
        <v>665</v>
      </c>
      <c r="C15" s="3512"/>
      <c r="D15" s="554" t="s">
        <v>432</v>
      </c>
      <c r="E15" s="509" t="s">
        <v>442</v>
      </c>
      <c r="F15" s="629">
        <f>'R.GUI MAIL'!H46</f>
        <v>0.9</v>
      </c>
      <c r="G15" s="570" t="s">
        <v>605</v>
      </c>
      <c r="H15" s="562">
        <f>'R.GUI MAIL'!K46</f>
        <v>0.12339999999999998</v>
      </c>
      <c r="I15" s="555" t="s">
        <v>682</v>
      </c>
      <c r="J15" s="629">
        <f>'R.GUI MAIL'!N46</f>
        <v>0.95</v>
      </c>
      <c r="K15" s="570" t="s">
        <v>605</v>
      </c>
      <c r="L15" s="562">
        <f>'R.GUI MAIL'!Q46</f>
        <v>6.1700000000000053E-2</v>
      </c>
      <c r="M15" s="555" t="s">
        <v>682</v>
      </c>
      <c r="N15" s="629">
        <f>'R.GUI MAIL'!T46</f>
        <v>0.9</v>
      </c>
      <c r="O15" s="570" t="s">
        <v>605</v>
      </c>
      <c r="P15" s="562">
        <f>'R.GUI MAIL'!W46</f>
        <v>0.12339999999999998</v>
      </c>
      <c r="Q15" s="555" t="s">
        <v>682</v>
      </c>
      <c r="R15" s="563" t="s">
        <v>666</v>
      </c>
    </row>
    <row r="16" spans="1:18" s="564" customFormat="1" ht="28.5" customHeight="1">
      <c r="A16" s="552">
        <v>17</v>
      </c>
      <c r="B16" s="3511"/>
      <c r="C16" s="3514"/>
      <c r="D16" s="565" t="s">
        <v>687</v>
      </c>
      <c r="E16" s="1018" t="s">
        <v>977</v>
      </c>
      <c r="F16" s="629">
        <f>'R.GUI MAIL'!H47</f>
        <v>9</v>
      </c>
      <c r="G16" s="515" t="s">
        <v>605</v>
      </c>
      <c r="H16" s="516">
        <f>'R.GUI MAIL'!K47</f>
        <v>0</v>
      </c>
      <c r="I16" s="217" t="s">
        <v>682</v>
      </c>
      <c r="J16" s="629">
        <f>'R.GUI MAIL'!N47</f>
        <v>10</v>
      </c>
      <c r="K16" s="515" t="s">
        <v>605</v>
      </c>
      <c r="L16" s="562">
        <f>'R.GUI MAIL'!Q47</f>
        <v>0</v>
      </c>
      <c r="M16" s="217" t="s">
        <v>682</v>
      </c>
      <c r="N16" s="629">
        <f>'R.GUI MAIL'!T47</f>
        <v>10</v>
      </c>
      <c r="O16" s="515" t="s">
        <v>605</v>
      </c>
      <c r="P16" s="562">
        <f>'R.GUI MAIL'!W47</f>
        <v>0</v>
      </c>
      <c r="Q16" s="217" t="s">
        <v>682</v>
      </c>
      <c r="R16" s="217"/>
    </row>
    <row r="17" spans="1:18" s="559" customFormat="1" ht="28.5" customHeight="1">
      <c r="A17" s="3415" t="s">
        <v>668</v>
      </c>
      <c r="B17" s="3415"/>
      <c r="C17" s="3415"/>
      <c r="D17" s="3415"/>
      <c r="E17" s="3415"/>
      <c r="F17" s="3415"/>
      <c r="G17" s="3415"/>
      <c r="H17" s="3415"/>
      <c r="I17" s="3415"/>
      <c r="J17" s="3415"/>
      <c r="K17" s="3415"/>
      <c r="L17" s="3415"/>
      <c r="M17" s="3415"/>
      <c r="N17" s="3415"/>
      <c r="O17" s="3415"/>
      <c r="P17" s="3415"/>
      <c r="Q17" s="3415"/>
      <c r="R17" s="3415"/>
    </row>
    <row r="18" spans="1:18" s="559" customFormat="1" ht="28.5" customHeight="1">
      <c r="A18" s="217" t="s">
        <v>688</v>
      </c>
      <c r="B18" s="3435" t="s">
        <v>670</v>
      </c>
      <c r="C18" s="3423"/>
      <c r="D18" s="566" t="s">
        <v>671</v>
      </c>
      <c r="E18" s="566" t="s">
        <v>672</v>
      </c>
      <c r="F18" s="3375" t="s">
        <v>46</v>
      </c>
      <c r="G18" s="3375"/>
      <c r="H18" s="3375" t="s">
        <v>63</v>
      </c>
      <c r="I18" s="3375"/>
      <c r="J18" s="3375" t="s">
        <v>46</v>
      </c>
      <c r="K18" s="3375"/>
      <c r="L18" s="3375" t="s">
        <v>63</v>
      </c>
      <c r="M18" s="3375"/>
      <c r="N18" s="3375" t="s">
        <v>46</v>
      </c>
      <c r="O18" s="3375"/>
      <c r="P18" s="3375" t="s">
        <v>63</v>
      </c>
      <c r="Q18" s="3375"/>
      <c r="R18" s="573"/>
    </row>
    <row r="19" spans="1:18" s="559" customFormat="1" ht="28.5" customHeight="1">
      <c r="A19" s="217">
        <v>1</v>
      </c>
      <c r="B19" s="3435" t="s">
        <v>867</v>
      </c>
      <c r="C19" s="3423"/>
      <c r="D19" s="567" t="s">
        <v>674</v>
      </c>
      <c r="E19" s="872" t="s">
        <v>675</v>
      </c>
      <c r="F19" s="3516">
        <f>'R.FILE GOC'!H50</f>
        <v>0</v>
      </c>
      <c r="G19" s="3517"/>
      <c r="H19" s="2928">
        <f>'R.FILE GOC'!K50</f>
        <v>60</v>
      </c>
      <c r="I19" s="2929"/>
      <c r="J19" s="3516">
        <f>'R.FILE GOC'!N50</f>
        <v>0</v>
      </c>
      <c r="K19" s="3517"/>
      <c r="L19" s="2928">
        <f>'R.FILE GOC'!Q50</f>
        <v>60</v>
      </c>
      <c r="M19" s="2929"/>
      <c r="N19" s="3516">
        <f>'R.GUI MAIL'!T50</f>
        <v>0</v>
      </c>
      <c r="O19" s="3517"/>
      <c r="P19" s="2925">
        <f>'R.FILE GOC'!W50</f>
        <v>59</v>
      </c>
      <c r="Q19" s="2925"/>
      <c r="R19" s="516"/>
    </row>
    <row r="20" spans="1:18" s="559" customFormat="1" ht="28.5" customHeight="1">
      <c r="A20" s="217">
        <v>2</v>
      </c>
      <c r="B20" s="3435" t="s">
        <v>448</v>
      </c>
      <c r="C20" s="3423"/>
      <c r="D20" s="567" t="s">
        <v>674</v>
      </c>
      <c r="E20" s="509" t="s">
        <v>677</v>
      </c>
      <c r="F20" s="2928">
        <f>'R.FILE GOC'!H51</f>
        <v>0</v>
      </c>
      <c r="G20" s="2929"/>
      <c r="H20" s="2928">
        <f>'R.FILE GOC'!K51</f>
        <v>69</v>
      </c>
      <c r="I20" s="2929"/>
      <c r="J20" s="2928">
        <f>'R.FILE GOC'!N51</f>
        <v>0</v>
      </c>
      <c r="K20" s="2929"/>
      <c r="L20" s="2928">
        <f>'R.FILE GOC'!Q51</f>
        <v>69</v>
      </c>
      <c r="M20" s="2929"/>
      <c r="N20" s="2928">
        <f>'R.GUI MAIL'!T51</f>
        <v>0</v>
      </c>
      <c r="O20" s="2929"/>
      <c r="P20" s="2925">
        <f>'R.FILE GOC'!W51</f>
        <v>70</v>
      </c>
      <c r="Q20" s="2925"/>
      <c r="R20" s="516"/>
    </row>
    <row r="21" spans="1:18" s="559" customFormat="1" ht="28.5" customHeight="1">
      <c r="A21" s="217">
        <v>3</v>
      </c>
      <c r="B21" s="3435" t="s">
        <v>678</v>
      </c>
      <c r="C21" s="3423"/>
      <c r="D21" s="567" t="s">
        <v>674</v>
      </c>
      <c r="E21" s="509" t="s">
        <v>679</v>
      </c>
      <c r="F21" s="3516">
        <f>'R.FILE GOC'!H52</f>
        <v>0</v>
      </c>
      <c r="G21" s="3517"/>
      <c r="H21" s="2928">
        <f>'R.FILE GOC'!K52</f>
        <v>84</v>
      </c>
      <c r="I21" s="2929"/>
      <c r="J21" s="3516">
        <f>'R.FILE GOC'!N52</f>
        <v>0</v>
      </c>
      <c r="K21" s="3517"/>
      <c r="L21" s="2928">
        <f>'R.FILE GOC'!Q52</f>
        <v>79</v>
      </c>
      <c r="M21" s="2929"/>
      <c r="N21" s="3516">
        <f>'R.GUI MAIL'!T52</f>
        <v>0</v>
      </c>
      <c r="O21" s="3517"/>
      <c r="P21" s="2925">
        <f>'R.FILE GOC'!W52</f>
        <v>85</v>
      </c>
      <c r="Q21" s="2925"/>
      <c r="R21" s="516"/>
    </row>
    <row r="22" spans="1:18" s="559" customFormat="1" ht="28.5" customHeight="1">
      <c r="A22" s="340"/>
      <c r="B22" s="339"/>
      <c r="C22" s="339"/>
      <c r="D22" s="631"/>
      <c r="E22" s="632"/>
      <c r="F22" s="3245"/>
      <c r="G22" s="3245"/>
      <c r="H22" s="3245"/>
      <c r="I22" s="3245"/>
      <c r="J22" s="3515"/>
      <c r="K22" s="3515"/>
      <c r="L22" s="3515"/>
      <c r="M22" s="3515"/>
      <c r="N22" s="3515"/>
      <c r="O22" s="3515"/>
      <c r="P22" s="3515"/>
      <c r="Q22" s="3515"/>
      <c r="R22" s="633"/>
    </row>
    <row r="23" spans="1:18" ht="27.75" customHeight="1">
      <c r="A23" s="3352" t="s">
        <v>589</v>
      </c>
      <c r="B23" s="3352"/>
      <c r="C23" s="3352"/>
      <c r="D23" s="3352"/>
      <c r="E23" s="3352"/>
      <c r="F23" s="3352"/>
      <c r="G23" s="3352"/>
      <c r="H23" s="3352"/>
      <c r="I23" s="3352"/>
      <c r="J23" s="3352"/>
      <c r="K23" s="3352"/>
      <c r="L23" s="3352"/>
      <c r="M23" s="3352"/>
      <c r="N23" s="494"/>
      <c r="O23" s="494"/>
      <c r="P23" s="494"/>
      <c r="Q23" s="494"/>
      <c r="R23" s="494"/>
    </row>
    <row r="24" spans="1:18" ht="36.75" customHeight="1">
      <c r="A24" s="3353" t="s">
        <v>925</v>
      </c>
      <c r="B24" s="3353"/>
      <c r="C24" s="3353"/>
      <c r="D24" s="3353"/>
      <c r="E24" s="3353"/>
      <c r="F24" s="3353"/>
      <c r="G24" s="3353"/>
      <c r="H24" s="3353"/>
      <c r="I24" s="3353"/>
      <c r="J24" s="3353"/>
      <c r="K24" s="3353"/>
      <c r="L24" s="3353"/>
      <c r="M24" s="3353"/>
      <c r="N24" s="497"/>
      <c r="O24" s="497"/>
      <c r="P24" s="497"/>
      <c r="Q24" s="497"/>
      <c r="R24" s="497"/>
    </row>
    <row r="25" spans="1:18" ht="27" customHeight="1">
      <c r="A25" s="498"/>
      <c r="B25" s="499" t="s">
        <v>680</v>
      </c>
      <c r="C25" s="499"/>
      <c r="D25" s="500"/>
      <c r="E25" s="501"/>
      <c r="F25" s="500"/>
      <c r="G25" s="500"/>
      <c r="H25" s="500"/>
      <c r="I25" s="500"/>
      <c r="J25" s="3408"/>
      <c r="K25" s="3408"/>
      <c r="L25" s="3408"/>
      <c r="M25" s="548"/>
      <c r="N25" s="3408"/>
      <c r="O25" s="3408"/>
      <c r="P25" s="3408"/>
      <c r="Q25" s="548"/>
      <c r="R25" s="548"/>
    </row>
    <row r="26" spans="1:18" s="550" customFormat="1" ht="42" customHeight="1">
      <c r="A26" s="3401" t="s">
        <v>681</v>
      </c>
      <c r="B26" s="3190" t="s">
        <v>645</v>
      </c>
      <c r="C26" s="3505"/>
      <c r="D26" s="3404" t="s">
        <v>646</v>
      </c>
      <c r="E26" s="3406" t="s">
        <v>647</v>
      </c>
      <c r="F26" s="3378" t="s">
        <v>863</v>
      </c>
      <c r="G26" s="3379"/>
      <c r="H26" s="3379"/>
      <c r="I26" s="3379"/>
      <c r="J26" s="3379"/>
      <c r="K26" s="3379"/>
      <c r="L26" s="3379"/>
      <c r="M26" s="3379"/>
      <c r="N26" s="3379"/>
      <c r="O26" s="3379"/>
      <c r="P26" s="3379"/>
      <c r="Q26" s="3380"/>
      <c r="R26" s="2961" t="s">
        <v>648</v>
      </c>
    </row>
    <row r="27" spans="1:18" s="550" customFormat="1" ht="19.5" customHeight="1">
      <c r="A27" s="3402"/>
      <c r="B27" s="3241"/>
      <c r="C27" s="3506"/>
      <c r="D27" s="3404"/>
      <c r="E27" s="3406"/>
      <c r="F27" s="3363">
        <v>0.875</v>
      </c>
      <c r="G27" s="3364"/>
      <c r="H27" s="3364"/>
      <c r="I27" s="3364"/>
      <c r="J27" s="3365">
        <v>8.3333333333333329E-2</v>
      </c>
      <c r="K27" s="3366"/>
      <c r="L27" s="3366"/>
      <c r="M27" s="3367"/>
      <c r="N27" s="3365">
        <v>0.22916666666666666</v>
      </c>
      <c r="O27" s="3366"/>
      <c r="P27" s="3366"/>
      <c r="Q27" s="3367"/>
      <c r="R27" s="2962"/>
    </row>
    <row r="28" spans="1:18" s="550" customFormat="1" ht="40.5" customHeight="1">
      <c r="A28" s="3403"/>
      <c r="B28" s="3507"/>
      <c r="C28" s="3508"/>
      <c r="D28" s="3405"/>
      <c r="E28" s="3407"/>
      <c r="F28" s="551" t="s">
        <v>649</v>
      </c>
      <c r="G28" s="3242" t="s">
        <v>650</v>
      </c>
      <c r="H28" s="3247"/>
      <c r="I28" s="3410"/>
      <c r="J28" s="551" t="s">
        <v>649</v>
      </c>
      <c r="K28" s="3242" t="s">
        <v>650</v>
      </c>
      <c r="L28" s="3247"/>
      <c r="M28" s="3410"/>
      <c r="N28" s="551" t="s">
        <v>649</v>
      </c>
      <c r="O28" s="3242" t="s">
        <v>650</v>
      </c>
      <c r="P28" s="3247"/>
      <c r="Q28" s="3410"/>
      <c r="R28" s="574" t="s">
        <v>690</v>
      </c>
    </row>
    <row r="29" spans="1:18" s="559" customFormat="1" ht="28.5" customHeight="1">
      <c r="A29" s="552">
        <v>1</v>
      </c>
      <c r="B29" s="3518" t="s">
        <v>860</v>
      </c>
      <c r="C29" s="3519"/>
      <c r="D29" s="868" t="s">
        <v>653</v>
      </c>
      <c r="E29" s="872" t="s">
        <v>451</v>
      </c>
      <c r="F29" s="629">
        <f>'R.GUI MAIL'!Z41</f>
        <v>45</v>
      </c>
      <c r="G29" s="515" t="s">
        <v>605</v>
      </c>
      <c r="H29" s="516">
        <f>'R.GUI MAIL'!AC41</f>
        <v>0</v>
      </c>
      <c r="I29" s="870" t="s">
        <v>611</v>
      </c>
      <c r="J29" s="629">
        <f>'R.GUI MAIL'!AF41</f>
        <v>40</v>
      </c>
      <c r="K29" s="515" t="s">
        <v>605</v>
      </c>
      <c r="L29" s="516">
        <f>'R.GUI MAIL'!AI41</f>
        <v>0</v>
      </c>
      <c r="M29" s="870" t="s">
        <v>611</v>
      </c>
      <c r="N29" s="629">
        <f>'R.GUI MAIL'!AL41</f>
        <v>37</v>
      </c>
      <c r="O29" s="515" t="s">
        <v>605</v>
      </c>
      <c r="P29" s="516">
        <f>'R.GUI MAIL'!AO41</f>
        <v>6.99</v>
      </c>
      <c r="Q29" s="870" t="s">
        <v>611</v>
      </c>
      <c r="R29" s="574" t="s">
        <v>696</v>
      </c>
    </row>
    <row r="30" spans="1:18" s="559" customFormat="1" ht="26.25" customHeight="1">
      <c r="A30" s="552">
        <v>2</v>
      </c>
      <c r="B30" s="3518" t="s">
        <v>861</v>
      </c>
      <c r="C30" s="3519" t="s">
        <v>658</v>
      </c>
      <c r="D30" s="557" t="s">
        <v>658</v>
      </c>
      <c r="E30" s="871" t="s">
        <v>427</v>
      </c>
      <c r="F30" s="514">
        <f>'R.GUI MAIL'!Z42</f>
        <v>10.584999999999999</v>
      </c>
      <c r="G30" s="515" t="s">
        <v>605</v>
      </c>
      <c r="H30" s="516">
        <f>'R.GUI MAIL'!AC42</f>
        <v>155.89296875000008</v>
      </c>
      <c r="I30" s="217" t="s">
        <v>684</v>
      </c>
      <c r="J30" s="514">
        <f>'R.GUI MAIL'!AF42</f>
        <v>9.125</v>
      </c>
      <c r="K30" s="515" t="s">
        <v>605</v>
      </c>
      <c r="L30" s="516">
        <f>'R.GUI MAIL'!AI42</f>
        <v>274.74609375</v>
      </c>
      <c r="M30" s="217" t="s">
        <v>684</v>
      </c>
      <c r="N30" s="514">
        <f>'R.GUI MAIL'!AL42</f>
        <v>10.584999999999999</v>
      </c>
      <c r="O30" s="515" t="s">
        <v>605</v>
      </c>
      <c r="P30" s="516">
        <f>'R.GUI MAIL'!AO42</f>
        <v>155.89296875000008</v>
      </c>
      <c r="Q30" s="217" t="s">
        <v>684</v>
      </c>
      <c r="R30" s="574" t="s">
        <v>691</v>
      </c>
    </row>
    <row r="31" spans="1:18" s="559" customFormat="1" ht="28.5" customHeight="1">
      <c r="A31" s="552">
        <v>4</v>
      </c>
      <c r="B31" s="3509" t="s">
        <v>689</v>
      </c>
      <c r="C31" s="3512">
        <f>R.HN!B27</f>
        <v>0</v>
      </c>
      <c r="D31" s="3414" t="s">
        <v>432</v>
      </c>
      <c r="E31" s="509" t="s">
        <v>731</v>
      </c>
      <c r="F31" s="629">
        <f>'R.GUI MAIL'!Z43</f>
        <v>50</v>
      </c>
      <c r="G31" s="515" t="s">
        <v>605</v>
      </c>
      <c r="H31" s="516">
        <f>'R.GUI MAIL'!AC43</f>
        <v>0</v>
      </c>
      <c r="I31" s="217" t="s">
        <v>682</v>
      </c>
      <c r="J31" s="629">
        <f>'R.GUI MAIL'!AF43</f>
        <v>45</v>
      </c>
      <c r="K31" s="515" t="s">
        <v>605</v>
      </c>
      <c r="L31" s="516">
        <f>'R.GUI MAIL'!AI43</f>
        <v>24.675000000000001</v>
      </c>
      <c r="M31" s="217" t="s">
        <v>682</v>
      </c>
      <c r="N31" s="629">
        <f>'R.GUI MAIL'!AL43</f>
        <v>45</v>
      </c>
      <c r="O31" s="515" t="s">
        <v>605</v>
      </c>
      <c r="P31" s="516">
        <f>'R.GUI MAIL'!AO43</f>
        <v>24.675000000000001</v>
      </c>
      <c r="Q31" s="217" t="s">
        <v>682</v>
      </c>
      <c r="R31" s="574" t="s">
        <v>694</v>
      </c>
    </row>
    <row r="32" spans="1:18" s="559" customFormat="1" ht="28.5" customHeight="1">
      <c r="A32" s="552">
        <v>5</v>
      </c>
      <c r="B32" s="3510"/>
      <c r="C32" s="3513"/>
      <c r="D32" s="3414"/>
      <c r="E32" s="509" t="s">
        <v>727</v>
      </c>
      <c r="F32" s="629">
        <f>'R.GUI MAIL'!Z44</f>
        <v>9.615384615384615</v>
      </c>
      <c r="G32" s="515" t="s">
        <v>605</v>
      </c>
      <c r="H32" s="516">
        <f>'R.GUI MAIL'!AC44</f>
        <v>0</v>
      </c>
      <c r="I32" s="217" t="s">
        <v>682</v>
      </c>
      <c r="J32" s="629">
        <f>'R.GUI MAIL'!AF44</f>
        <v>8.6538461538461533</v>
      </c>
      <c r="K32" s="515" t="s">
        <v>605</v>
      </c>
      <c r="L32" s="516">
        <f>'R.GUI MAIL'!AI44</f>
        <v>0</v>
      </c>
      <c r="M32" s="217" t="s">
        <v>682</v>
      </c>
      <c r="N32" s="629">
        <f>'R.GUI MAIL'!AL44</f>
        <v>8.4905660377358494</v>
      </c>
      <c r="O32" s="515" t="s">
        <v>605</v>
      </c>
      <c r="P32" s="516">
        <f>'R.GUI MAIL'!AO44</f>
        <v>0</v>
      </c>
      <c r="Q32" s="217" t="s">
        <v>682</v>
      </c>
      <c r="R32" s="575"/>
    </row>
    <row r="33" spans="1:18" s="559" customFormat="1" ht="28.5" customHeight="1">
      <c r="A33" s="552">
        <v>6</v>
      </c>
      <c r="B33" s="3511"/>
      <c r="C33" s="3514"/>
      <c r="D33" s="3414"/>
      <c r="E33" s="509" t="s">
        <v>615</v>
      </c>
      <c r="F33" s="630">
        <f>'R.GUI MAIL'!Z45</f>
        <v>0.56000000000000005</v>
      </c>
      <c r="G33" s="515" t="s">
        <v>605</v>
      </c>
      <c r="H33" s="516">
        <f>'R.GUI MAIL'!AC45</f>
        <v>0</v>
      </c>
      <c r="I33" s="68" t="s">
        <v>682</v>
      </c>
      <c r="J33" s="630">
        <f>'R.GUI MAIL'!AF45</f>
        <v>0.8</v>
      </c>
      <c r="K33" s="515" t="s">
        <v>605</v>
      </c>
      <c r="L33" s="516">
        <f>'R.GUI MAIL'!AI45</f>
        <v>0</v>
      </c>
      <c r="M33" s="68" t="s">
        <v>682</v>
      </c>
      <c r="N33" s="630">
        <f>'R.GUI MAIL'!AL45</f>
        <v>0.64</v>
      </c>
      <c r="O33" s="515" t="s">
        <v>605</v>
      </c>
      <c r="P33" s="516">
        <f>'R.GUI MAIL'!AO45</f>
        <v>0</v>
      </c>
      <c r="Q33" s="68" t="s">
        <v>682</v>
      </c>
      <c r="R33" s="574" t="s">
        <v>693</v>
      </c>
    </row>
    <row r="34" spans="1:18" s="559" customFormat="1" ht="28.5" hidden="1" customHeight="1">
      <c r="A34" s="552">
        <v>7</v>
      </c>
      <c r="B34" s="3509" t="s">
        <v>728</v>
      </c>
      <c r="C34" s="3512">
        <f>R.HN!B30</f>
        <v>0</v>
      </c>
      <c r="D34" s="3414" t="s">
        <v>432</v>
      </c>
      <c r="E34" s="509" t="s">
        <v>731</v>
      </c>
      <c r="F34" s="629" t="e">
        <f>'R.GUI MAIL'!#REF!</f>
        <v>#REF!</v>
      </c>
      <c r="G34" s="515" t="s">
        <v>605</v>
      </c>
      <c r="H34" s="516" t="e">
        <f>'R.GUI MAIL'!#REF!</f>
        <v>#REF!</v>
      </c>
      <c r="I34" s="217" t="s">
        <v>682</v>
      </c>
      <c r="J34" s="629" t="e">
        <f>'R.GUI MAIL'!#REF!</f>
        <v>#REF!</v>
      </c>
      <c r="K34" s="515" t="s">
        <v>605</v>
      </c>
      <c r="L34" s="516" t="e">
        <f>'R.GUI MAIL'!#REF!</f>
        <v>#REF!</v>
      </c>
      <c r="M34" s="217" t="s">
        <v>682</v>
      </c>
      <c r="N34" s="629" t="e">
        <f>'R.GUI MAIL'!#REF!</f>
        <v>#REF!</v>
      </c>
      <c r="O34" s="515" t="s">
        <v>605</v>
      </c>
      <c r="P34" s="516" t="e">
        <f>'R.GUI MAIL'!#REF!</f>
        <v>#REF!</v>
      </c>
      <c r="Q34" s="217" t="s">
        <v>682</v>
      </c>
      <c r="R34" s="574" t="s">
        <v>694</v>
      </c>
    </row>
    <row r="35" spans="1:18" s="559" customFormat="1" ht="28.5" hidden="1" customHeight="1">
      <c r="A35" s="552">
        <v>8</v>
      </c>
      <c r="B35" s="3510"/>
      <c r="C35" s="3513"/>
      <c r="D35" s="3414"/>
      <c r="E35" s="509" t="s">
        <v>727</v>
      </c>
      <c r="F35" s="629" t="e">
        <f>'R.GUI MAIL'!#REF!</f>
        <v>#REF!</v>
      </c>
      <c r="G35" s="515" t="s">
        <v>605</v>
      </c>
      <c r="H35" s="516" t="e">
        <f>'R.GUI MAIL'!#REF!</f>
        <v>#REF!</v>
      </c>
      <c r="I35" s="217" t="s">
        <v>682</v>
      </c>
      <c r="J35" s="629" t="e">
        <f>'R.GUI MAIL'!#REF!</f>
        <v>#REF!</v>
      </c>
      <c r="K35" s="515" t="s">
        <v>605</v>
      </c>
      <c r="L35" s="516" t="e">
        <f>'R.GUI MAIL'!#REF!</f>
        <v>#REF!</v>
      </c>
      <c r="M35" s="217" t="s">
        <v>682</v>
      </c>
      <c r="N35" s="629" t="e">
        <f>'R.GUI MAIL'!#REF!</f>
        <v>#REF!</v>
      </c>
      <c r="O35" s="515" t="s">
        <v>605</v>
      </c>
      <c r="P35" s="516" t="e">
        <f>'R.GUI MAIL'!#REF!</f>
        <v>#REF!</v>
      </c>
      <c r="Q35" s="217" t="s">
        <v>682</v>
      </c>
      <c r="R35" s="574"/>
    </row>
    <row r="36" spans="1:18" s="559" customFormat="1" ht="28.5" hidden="1" customHeight="1">
      <c r="A36" s="552">
        <v>9</v>
      </c>
      <c r="B36" s="3511"/>
      <c r="C36" s="3514"/>
      <c r="D36" s="3414"/>
      <c r="E36" s="509" t="s">
        <v>615</v>
      </c>
      <c r="F36" s="630" t="e">
        <f>'R.GUI MAIL'!#REF!</f>
        <v>#REF!</v>
      </c>
      <c r="G36" s="515" t="s">
        <v>605</v>
      </c>
      <c r="H36" s="516" t="e">
        <f>'R.GUI MAIL'!#REF!</f>
        <v>#REF!</v>
      </c>
      <c r="I36" s="68" t="s">
        <v>682</v>
      </c>
      <c r="J36" s="630" t="e">
        <f>'R.GUI MAIL'!#REF!</f>
        <v>#REF!</v>
      </c>
      <c r="K36" s="515" t="s">
        <v>605</v>
      </c>
      <c r="L36" s="516" t="e">
        <f>'R.GUI MAIL'!#REF!</f>
        <v>#REF!</v>
      </c>
      <c r="M36" s="68" t="s">
        <v>682</v>
      </c>
      <c r="N36" s="630" t="e">
        <f>'R.GUI MAIL'!#REF!</f>
        <v>#REF!</v>
      </c>
      <c r="O36" s="515" t="s">
        <v>605</v>
      </c>
      <c r="P36" s="516" t="e">
        <f>'R.GUI MAIL'!#REF!</f>
        <v>#REF!</v>
      </c>
      <c r="Q36" s="68" t="s">
        <v>682</v>
      </c>
      <c r="R36" s="574" t="s">
        <v>693</v>
      </c>
    </row>
    <row r="37" spans="1:18" s="564" customFormat="1" ht="28.5" customHeight="1">
      <c r="A37" s="552">
        <v>16</v>
      </c>
      <c r="B37" s="3509" t="s">
        <v>665</v>
      </c>
      <c r="C37" s="3512"/>
      <c r="D37" s="554" t="s">
        <v>432</v>
      </c>
      <c r="E37" s="509" t="s">
        <v>442</v>
      </c>
      <c r="F37" s="629">
        <f>'R.GUI MAIL'!Z46</f>
        <v>0.95</v>
      </c>
      <c r="G37" s="570" t="s">
        <v>605</v>
      </c>
      <c r="H37" s="562">
        <f>'R.GUI MAIL'!AC46</f>
        <v>6.1700000000000053E-2</v>
      </c>
      <c r="I37" s="555" t="s">
        <v>682</v>
      </c>
      <c r="J37" s="629">
        <f>'R.GUI MAIL'!AF46</f>
        <v>0.95</v>
      </c>
      <c r="K37" s="570" t="s">
        <v>605</v>
      </c>
      <c r="L37" s="562">
        <f>'R.GUI MAIL'!AI46</f>
        <v>6.1700000000000053E-2</v>
      </c>
      <c r="M37" s="555" t="s">
        <v>682</v>
      </c>
      <c r="N37" s="629">
        <f>'R.GUI MAIL'!AL46</f>
        <v>0.9</v>
      </c>
      <c r="O37" s="570" t="s">
        <v>605</v>
      </c>
      <c r="P37" s="562">
        <f>'R.GUI MAIL'!AO46</f>
        <v>0.12339999999999998</v>
      </c>
      <c r="Q37" s="555" t="s">
        <v>682</v>
      </c>
      <c r="R37" s="563" t="s">
        <v>666</v>
      </c>
    </row>
    <row r="38" spans="1:18" s="564" customFormat="1" ht="28.5" customHeight="1">
      <c r="A38" s="552">
        <v>17</v>
      </c>
      <c r="B38" s="3511"/>
      <c r="C38" s="3514"/>
      <c r="D38" s="565" t="s">
        <v>687</v>
      </c>
      <c r="E38" s="1018" t="s">
        <v>977</v>
      </c>
      <c r="F38" s="629">
        <f>'R.GUI MAIL'!Z47</f>
        <v>9.5</v>
      </c>
      <c r="G38" s="515" t="s">
        <v>605</v>
      </c>
      <c r="H38" s="516">
        <f>'R.GUI MAIL'!AC47</f>
        <v>0</v>
      </c>
      <c r="I38" s="217" t="s">
        <v>682</v>
      </c>
      <c r="J38" s="629">
        <f>'R.GUI MAIL'!AF47</f>
        <v>10</v>
      </c>
      <c r="K38" s="515" t="s">
        <v>605</v>
      </c>
      <c r="L38" s="516">
        <f>'R.GUI MAIL'!AI47</f>
        <v>0</v>
      </c>
      <c r="M38" s="217" t="s">
        <v>682</v>
      </c>
      <c r="N38" s="629">
        <f>'R.GUI MAIL'!AL47</f>
        <v>9</v>
      </c>
      <c r="O38" s="515" t="s">
        <v>605</v>
      </c>
      <c r="P38" s="516">
        <f>'R.GUI MAIL'!AO47</f>
        <v>0</v>
      </c>
      <c r="Q38" s="217" t="s">
        <v>682</v>
      </c>
      <c r="R38" s="217"/>
    </row>
    <row r="39" spans="1:18" s="559" customFormat="1" ht="28.5" customHeight="1">
      <c r="A39" s="3415" t="s">
        <v>668</v>
      </c>
      <c r="B39" s="3415"/>
      <c r="C39" s="3415"/>
      <c r="D39" s="3415"/>
      <c r="E39" s="3415"/>
      <c r="F39" s="3415"/>
      <c r="G39" s="3415"/>
      <c r="H39" s="3415"/>
      <c r="I39" s="3415"/>
      <c r="J39" s="3415"/>
      <c r="K39" s="3415"/>
      <c r="L39" s="3415"/>
      <c r="M39" s="3415"/>
      <c r="N39" s="3415"/>
      <c r="O39" s="3415"/>
      <c r="P39" s="3415"/>
      <c r="Q39" s="3415"/>
      <c r="R39" s="3415"/>
    </row>
    <row r="40" spans="1:18" s="559" customFormat="1" ht="28.5" customHeight="1">
      <c r="A40" s="217" t="s">
        <v>688</v>
      </c>
      <c r="B40" s="3435" t="s">
        <v>670</v>
      </c>
      <c r="C40" s="3423"/>
      <c r="D40" s="566" t="s">
        <v>671</v>
      </c>
      <c r="E40" s="566" t="s">
        <v>672</v>
      </c>
      <c r="F40" s="3375" t="s">
        <v>46</v>
      </c>
      <c r="G40" s="3375"/>
      <c r="H40" s="3375" t="s">
        <v>63</v>
      </c>
      <c r="I40" s="3375"/>
      <c r="J40" s="3375" t="s">
        <v>46</v>
      </c>
      <c r="K40" s="3375"/>
      <c r="L40" s="3375" t="s">
        <v>63</v>
      </c>
      <c r="M40" s="3375"/>
      <c r="N40" s="3375" t="s">
        <v>46</v>
      </c>
      <c r="O40" s="3375"/>
      <c r="P40" s="3375" t="s">
        <v>63</v>
      </c>
      <c r="Q40" s="3375"/>
      <c r="R40" s="573"/>
    </row>
    <row r="41" spans="1:18" s="559" customFormat="1" ht="28.5" customHeight="1">
      <c r="A41" s="217">
        <v>1</v>
      </c>
      <c r="B41" s="3435" t="s">
        <v>867</v>
      </c>
      <c r="C41" s="3423"/>
      <c r="D41" s="567" t="s">
        <v>674</v>
      </c>
      <c r="E41" s="872" t="s">
        <v>675</v>
      </c>
      <c r="F41" s="3516">
        <f>'R.GUI MAIL'!Z50</f>
        <v>0</v>
      </c>
      <c r="G41" s="3517"/>
      <c r="H41" s="2928">
        <f>'R.FILE GOC'!AC50</f>
        <v>60</v>
      </c>
      <c r="I41" s="2929"/>
      <c r="J41" s="3516">
        <f>'R.GUI MAIL'!AF50</f>
        <v>0</v>
      </c>
      <c r="K41" s="3517"/>
      <c r="L41" s="2928">
        <f>'R.FILE GOC'!AI50</f>
        <v>58</v>
      </c>
      <c r="M41" s="2929"/>
      <c r="N41" s="3516">
        <f>'R.GUI MAIL'!AL50</f>
        <v>0</v>
      </c>
      <c r="O41" s="3517"/>
      <c r="P41" s="2928">
        <f>'R.FILE GOC'!AO50</f>
        <v>60</v>
      </c>
      <c r="Q41" s="2929"/>
      <c r="R41" s="281"/>
    </row>
    <row r="42" spans="1:18" s="559" customFormat="1" ht="28.5" customHeight="1">
      <c r="A42" s="217">
        <v>2</v>
      </c>
      <c r="B42" s="3435" t="s">
        <v>448</v>
      </c>
      <c r="C42" s="3423"/>
      <c r="D42" s="567" t="s">
        <v>674</v>
      </c>
      <c r="E42" s="509" t="s">
        <v>677</v>
      </c>
      <c r="F42" s="2928">
        <f>'R.GUI MAIL'!Z51</f>
        <v>0</v>
      </c>
      <c r="G42" s="2929"/>
      <c r="H42" s="2928">
        <f>'R.FILE GOC'!AC51</f>
        <v>70</v>
      </c>
      <c r="I42" s="2929"/>
      <c r="J42" s="2928">
        <f>'R.GUI MAIL'!AF51</f>
        <v>0</v>
      </c>
      <c r="K42" s="2929"/>
      <c r="L42" s="2928">
        <f>'R.FILE GOC'!AI51</f>
        <v>70</v>
      </c>
      <c r="M42" s="2929"/>
      <c r="N42" s="2928">
        <f>'R.GUI MAIL'!AL51</f>
        <v>0</v>
      </c>
      <c r="O42" s="2929"/>
      <c r="P42" s="2928">
        <f>'R.FILE GOC'!AO51</f>
        <v>70</v>
      </c>
      <c r="Q42" s="2929"/>
      <c r="R42" s="68"/>
    </row>
    <row r="43" spans="1:18" s="559" customFormat="1" ht="28.5" customHeight="1">
      <c r="A43" s="217">
        <v>3</v>
      </c>
      <c r="B43" s="3435" t="s">
        <v>678</v>
      </c>
      <c r="C43" s="3423"/>
      <c r="D43" s="567" t="s">
        <v>674</v>
      </c>
      <c r="E43" s="509" t="s">
        <v>679</v>
      </c>
      <c r="F43" s="3516">
        <f>'R.GUI MAIL'!Z52</f>
        <v>0</v>
      </c>
      <c r="G43" s="3517"/>
      <c r="H43" s="2928">
        <f>'R.FILE GOC'!AC52</f>
        <v>81</v>
      </c>
      <c r="I43" s="2929"/>
      <c r="J43" s="3516">
        <f>'R.GUI MAIL'!AF52</f>
        <v>0</v>
      </c>
      <c r="K43" s="3517"/>
      <c r="L43" s="2928">
        <f>'R.FILE GOC'!AI52</f>
        <v>79</v>
      </c>
      <c r="M43" s="2929"/>
      <c r="N43" s="3516">
        <f>'R.GUI MAIL'!AL52</f>
        <v>0</v>
      </c>
      <c r="O43" s="3517"/>
      <c r="P43" s="2928">
        <f>'R.FILE GOC'!AO52</f>
        <v>79</v>
      </c>
      <c r="Q43" s="2929"/>
      <c r="R43" s="281"/>
    </row>
    <row r="44" spans="1:18" ht="28.5" customHeight="1">
      <c r="A44" s="340"/>
      <c r="B44" s="339"/>
      <c r="C44" s="339"/>
      <c r="D44" s="631"/>
      <c r="E44" s="632"/>
      <c r="F44" s="3245"/>
      <c r="G44" s="3245"/>
      <c r="H44" s="3245"/>
      <c r="I44" s="3245"/>
      <c r="J44" s="3515"/>
      <c r="K44" s="3515"/>
      <c r="L44" s="3515"/>
      <c r="M44" s="3515"/>
      <c r="N44" s="3515"/>
      <c r="O44" s="3515"/>
      <c r="P44" s="3515"/>
      <c r="Q44" s="3515"/>
      <c r="R44" s="634"/>
    </row>
  </sheetData>
  <sheetProtection selectLockedCells="1"/>
  <mergeCells count="115">
    <mergeCell ref="P43:Q43"/>
    <mergeCell ref="F44:I44"/>
    <mergeCell ref="J44:M44"/>
    <mergeCell ref="N44:Q44"/>
    <mergeCell ref="B43:C43"/>
    <mergeCell ref="F43:G43"/>
    <mergeCell ref="H43:I43"/>
    <mergeCell ref="J43:K43"/>
    <mergeCell ref="L43:M43"/>
    <mergeCell ref="N43:O43"/>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B37:C38"/>
    <mergeCell ref="A39:R39"/>
    <mergeCell ref="B40:C40"/>
    <mergeCell ref="F40:G40"/>
    <mergeCell ref="H40:I40"/>
    <mergeCell ref="J40:K40"/>
    <mergeCell ref="L40:M40"/>
    <mergeCell ref="N40:O40"/>
    <mergeCell ref="P40:Q40"/>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B15:C16"/>
    <mergeCell ref="A17:R17"/>
    <mergeCell ref="B18:C18"/>
    <mergeCell ref="F18:G18"/>
    <mergeCell ref="H18:I18"/>
    <mergeCell ref="J18:K18"/>
    <mergeCell ref="L18:M18"/>
    <mergeCell ref="N18:O18"/>
    <mergeCell ref="P18:Q18"/>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A1:M1"/>
    <mergeCell ref="A2:M2"/>
    <mergeCell ref="P2:Q2"/>
    <mergeCell ref="J3:L3"/>
    <mergeCell ref="P3:Q3"/>
    <mergeCell ref="A4:A6"/>
    <mergeCell ref="B4:C6"/>
    <mergeCell ref="D4:D6"/>
    <mergeCell ref="E4:E6"/>
    <mergeCell ref="F4:Q4"/>
  </mergeCells>
  <phoneticPr fontId="7" type="noConversion"/>
  <conditionalFormatting sqref="F7:F8 J7:J8">
    <cfRule type="expression" dxfId="285" priority="116">
      <formula>F7&lt;10</formula>
    </cfRule>
    <cfRule type="expression" dxfId="284" priority="117">
      <formula>F7&gt;15</formula>
    </cfRule>
  </conditionalFormatting>
  <conditionalFormatting sqref="F9 F12 J9 J12">
    <cfRule type="expression" dxfId="283" priority="114">
      <formula>F9&lt;40</formula>
    </cfRule>
    <cfRule type="expression" dxfId="282" priority="115">
      <formula>F9&gt;60</formula>
    </cfRule>
  </conditionalFormatting>
  <conditionalFormatting sqref="F10 F13 J10 J13">
    <cfRule type="expression" dxfId="281" priority="112">
      <formula>F10&lt;5.2</formula>
    </cfRule>
    <cfRule type="expression" dxfId="280" priority="113">
      <formula>F10&gt;7.8</formula>
    </cfRule>
  </conditionalFormatting>
  <conditionalFormatting sqref="F11 F14 J11 J14">
    <cfRule type="expression" dxfId="279" priority="111">
      <formula>F11&gt;0.4</formula>
    </cfRule>
  </conditionalFormatting>
  <conditionalFormatting sqref="F15 J15">
    <cfRule type="expression" dxfId="278" priority="109">
      <formula>F15&lt;0.8</formula>
    </cfRule>
    <cfRule type="expression" dxfId="277" priority="110">
      <formula>F15&gt;1.2</formula>
    </cfRule>
  </conditionalFormatting>
  <conditionalFormatting sqref="F16 J16">
    <cfRule type="expression" dxfId="276" priority="107">
      <formula>F16&lt;8</formula>
    </cfRule>
    <cfRule type="expression" dxfId="275" priority="108">
      <formula>F16&gt;10</formula>
    </cfRule>
  </conditionalFormatting>
  <conditionalFormatting sqref="N7:N8">
    <cfRule type="expression" dxfId="274" priority="101">
      <formula>N7&lt;10</formula>
    </cfRule>
    <cfRule type="expression" dxfId="273" priority="102">
      <formula>N7&gt;15</formula>
    </cfRule>
  </conditionalFormatting>
  <conditionalFormatting sqref="N9 N12">
    <cfRule type="expression" dxfId="272" priority="99">
      <formula>N9&lt;40</formula>
    </cfRule>
    <cfRule type="expression" dxfId="271" priority="100">
      <formula>N9&gt;60</formula>
    </cfRule>
  </conditionalFormatting>
  <conditionalFormatting sqref="N10 N13">
    <cfRule type="expression" dxfId="270" priority="97">
      <formula>N10&lt;5.2</formula>
    </cfRule>
    <cfRule type="expression" dxfId="269" priority="98">
      <formula>N10&gt;7.8</formula>
    </cfRule>
  </conditionalFormatting>
  <conditionalFormatting sqref="N11 N14">
    <cfRule type="expression" dxfId="268" priority="96">
      <formula>N11&gt;0.4</formula>
    </cfRule>
  </conditionalFormatting>
  <conditionalFormatting sqref="N15">
    <cfRule type="expression" dxfId="267" priority="94">
      <formula>N15&lt;0.8</formula>
    </cfRule>
    <cfRule type="expression" dxfId="266" priority="95">
      <formula>N15&gt;1.2</formula>
    </cfRule>
  </conditionalFormatting>
  <conditionalFormatting sqref="N16">
    <cfRule type="expression" dxfId="265" priority="92">
      <formula>N16&lt;8</formula>
    </cfRule>
    <cfRule type="expression" dxfId="264" priority="93">
      <formula>N16&gt;10</formula>
    </cfRule>
  </conditionalFormatting>
  <conditionalFormatting sqref="J29:J30">
    <cfRule type="expression" dxfId="263" priority="78">
      <formula>J29&lt;10</formula>
    </cfRule>
    <cfRule type="expression" dxfId="262" priority="79">
      <formula>J29&gt;15</formula>
    </cfRule>
  </conditionalFormatting>
  <conditionalFormatting sqref="J31 J34">
    <cfRule type="expression" dxfId="261" priority="76">
      <formula>J31&lt;40</formula>
    </cfRule>
    <cfRule type="expression" dxfId="260" priority="77">
      <formula>J31&gt;60</formula>
    </cfRule>
  </conditionalFormatting>
  <conditionalFormatting sqref="J32 J35">
    <cfRule type="expression" dxfId="259" priority="74">
      <formula>J32&lt;5.2</formula>
    </cfRule>
    <cfRule type="expression" dxfId="258" priority="75">
      <formula>J32&gt;7.8</formula>
    </cfRule>
  </conditionalFormatting>
  <conditionalFormatting sqref="J33 J36">
    <cfRule type="expression" dxfId="257" priority="73">
      <formula>J33&gt;0.4</formula>
    </cfRule>
  </conditionalFormatting>
  <conditionalFormatting sqref="J37">
    <cfRule type="expression" dxfId="256" priority="71">
      <formula>J37&lt;0.8</formula>
    </cfRule>
    <cfRule type="expression" dxfId="255" priority="72">
      <formula>J37&gt;1.2</formula>
    </cfRule>
  </conditionalFormatting>
  <conditionalFormatting sqref="J38">
    <cfRule type="expression" dxfId="254" priority="69">
      <formula>J38&lt;8</formula>
    </cfRule>
    <cfRule type="expression" dxfId="253" priority="70">
      <formula>J38&gt;10</formula>
    </cfRule>
  </conditionalFormatting>
  <conditionalFormatting sqref="N29:N30">
    <cfRule type="expression" dxfId="252" priority="67">
      <formula>N29&lt;10</formula>
    </cfRule>
    <cfRule type="expression" dxfId="251" priority="68">
      <formula>N29&gt;15</formula>
    </cfRule>
  </conditionalFormatting>
  <conditionalFormatting sqref="N31 N34">
    <cfRule type="expression" dxfId="250" priority="65">
      <formula>N31&lt;40</formula>
    </cfRule>
    <cfRule type="expression" dxfId="249" priority="66">
      <formula>N31&gt;60</formula>
    </cfRule>
  </conditionalFormatting>
  <conditionalFormatting sqref="N32 N35">
    <cfRule type="expression" dxfId="248" priority="63">
      <formula>N32&lt;5.2</formula>
    </cfRule>
    <cfRule type="expression" dxfId="247" priority="64">
      <formula>N32&gt;7.8</formula>
    </cfRule>
  </conditionalFormatting>
  <conditionalFormatting sqref="N33 N36">
    <cfRule type="expression" dxfId="246" priority="62">
      <formula>N33&gt;0.4</formula>
    </cfRule>
  </conditionalFormatting>
  <conditionalFormatting sqref="N37">
    <cfRule type="expression" dxfId="245" priority="60">
      <formula>N37&lt;0.8</formula>
    </cfRule>
    <cfRule type="expression" dxfId="244" priority="61">
      <formula>N37&gt;1.2</formula>
    </cfRule>
  </conditionalFormatting>
  <conditionalFormatting sqref="N38">
    <cfRule type="expression" dxfId="243" priority="58">
      <formula>N38&lt;8</formula>
    </cfRule>
    <cfRule type="expression" dxfId="242" priority="59">
      <formula>N38&gt;10</formula>
    </cfRule>
  </conditionalFormatting>
  <conditionalFormatting sqref="F29:F30">
    <cfRule type="expression" dxfId="241" priority="56">
      <formula>F29&lt;10</formula>
    </cfRule>
    <cfRule type="expression" dxfId="240" priority="57">
      <formula>F29&gt;15</formula>
    </cfRule>
  </conditionalFormatting>
  <conditionalFormatting sqref="F31 F34">
    <cfRule type="expression" dxfId="239" priority="54">
      <formula>F31&lt;40</formula>
    </cfRule>
    <cfRule type="expression" dxfId="238" priority="55">
      <formula>F31&gt;60</formula>
    </cfRule>
  </conditionalFormatting>
  <conditionalFormatting sqref="F32 F35">
    <cfRule type="expression" dxfId="237" priority="52">
      <formula>F32&lt;5.2</formula>
    </cfRule>
    <cfRule type="expression" dxfId="236" priority="53">
      <formula>F32&gt;7.8</formula>
    </cfRule>
  </conditionalFormatting>
  <conditionalFormatting sqref="F33 F36">
    <cfRule type="expression" dxfId="235" priority="51">
      <formula>F33&gt;0.4</formula>
    </cfRule>
  </conditionalFormatting>
  <conditionalFormatting sqref="F37">
    <cfRule type="expression" dxfId="234" priority="49">
      <formula>F37&lt;0.8</formula>
    </cfRule>
    <cfRule type="expression" dxfId="233" priority="50">
      <formula>F37&gt;1.2</formula>
    </cfRule>
  </conditionalFormatting>
  <conditionalFormatting sqref="F38">
    <cfRule type="expression" dxfId="232" priority="47">
      <formula>F38&lt;8</formula>
    </cfRule>
    <cfRule type="expression" dxfId="231" priority="48">
      <formula>F38&gt;10</formula>
    </cfRule>
  </conditionalFormatting>
  <conditionalFormatting sqref="F8">
    <cfRule type="expression" dxfId="230" priority="41">
      <formula>F8&lt;10</formula>
    </cfRule>
    <cfRule type="expression" dxfId="229" priority="42">
      <formula>F8&gt;15</formula>
    </cfRule>
  </conditionalFormatting>
  <conditionalFormatting sqref="F8">
    <cfRule type="expression" dxfId="228" priority="40">
      <formula>F8&lt;1</formula>
    </cfRule>
  </conditionalFormatting>
  <conditionalFormatting sqref="J8">
    <cfRule type="expression" dxfId="227" priority="38">
      <formula>J8&lt;10</formula>
    </cfRule>
    <cfRule type="expression" dxfId="226" priority="39">
      <formula>J8&gt;15</formula>
    </cfRule>
  </conditionalFormatting>
  <conditionalFormatting sqref="J8">
    <cfRule type="expression" dxfId="225" priority="37">
      <formula>J8&lt;1</formula>
    </cfRule>
  </conditionalFormatting>
  <conditionalFormatting sqref="N8">
    <cfRule type="expression" dxfId="224" priority="35">
      <formula>N8&lt;10</formula>
    </cfRule>
    <cfRule type="expression" dxfId="223" priority="36">
      <formula>N8&gt;15</formula>
    </cfRule>
  </conditionalFormatting>
  <conditionalFormatting sqref="N8">
    <cfRule type="expression" dxfId="222" priority="33">
      <formula>N8&lt;10</formula>
    </cfRule>
    <cfRule type="expression" dxfId="221" priority="34">
      <formula>N8&gt;15</formula>
    </cfRule>
  </conditionalFormatting>
  <conditionalFormatting sqref="N8">
    <cfRule type="expression" dxfId="220" priority="32">
      <formula>N8&lt;1</formula>
    </cfRule>
  </conditionalFormatting>
  <conditionalFormatting sqref="F30 J30">
    <cfRule type="expression" dxfId="219" priority="30">
      <formula>F30&lt;10</formula>
    </cfRule>
    <cfRule type="expression" dxfId="218" priority="31">
      <formula>F30&gt;15</formula>
    </cfRule>
  </conditionalFormatting>
  <conditionalFormatting sqref="N30">
    <cfRule type="expression" dxfId="217" priority="28">
      <formula>N30&lt;10</formula>
    </cfRule>
    <cfRule type="expression" dxfId="216" priority="29">
      <formula>N30&gt;15</formula>
    </cfRule>
  </conditionalFormatting>
  <conditionalFormatting sqref="F30">
    <cfRule type="expression" dxfId="215" priority="26">
      <formula>F30&lt;10</formula>
    </cfRule>
    <cfRule type="expression" dxfId="214" priority="27">
      <formula>F30&gt;15</formula>
    </cfRule>
  </conditionalFormatting>
  <conditionalFormatting sqref="F30">
    <cfRule type="expression" dxfId="213" priority="25">
      <formula>F30&lt;1</formula>
    </cfRule>
  </conditionalFormatting>
  <conditionalFormatting sqref="J30">
    <cfRule type="expression" dxfId="212" priority="23">
      <formula>J30&lt;10</formula>
    </cfRule>
    <cfRule type="expression" dxfId="211" priority="24">
      <formula>J30&gt;15</formula>
    </cfRule>
  </conditionalFormatting>
  <conditionalFormatting sqref="J30">
    <cfRule type="expression" dxfId="210" priority="22">
      <formula>J30&lt;1</formula>
    </cfRule>
  </conditionalFormatting>
  <conditionalFormatting sqref="N30">
    <cfRule type="expression" dxfId="209" priority="20">
      <formula>N30&lt;10</formula>
    </cfRule>
    <cfRule type="expression" dxfId="208" priority="21">
      <formula>N30&gt;15</formula>
    </cfRule>
  </conditionalFormatting>
  <conditionalFormatting sqref="N30">
    <cfRule type="expression" dxfId="207" priority="18">
      <formula>N30&lt;10</formula>
    </cfRule>
    <cfRule type="expression" dxfId="206" priority="19">
      <formula>N30&gt;15</formula>
    </cfRule>
  </conditionalFormatting>
  <conditionalFormatting sqref="N30">
    <cfRule type="expression" dxfId="205" priority="17">
      <formula>N30&lt;1</formula>
    </cfRule>
  </conditionalFormatting>
  <conditionalFormatting sqref="F41:G42">
    <cfRule type="expression" dxfId="204" priority="15">
      <formula>F41&lt;65</formula>
    </cfRule>
    <cfRule type="expression" dxfId="203" priority="16">
      <formula>F41&gt;85</formula>
    </cfRule>
  </conditionalFormatting>
  <conditionalFormatting sqref="F43:G43">
    <cfRule type="expression" dxfId="202" priority="13">
      <formula>F43&lt;80</formula>
    </cfRule>
    <cfRule type="expression" dxfId="201" priority="14">
      <formula>F43&gt;90</formula>
    </cfRule>
  </conditionalFormatting>
  <conditionalFormatting sqref="H41:Q42">
    <cfRule type="expression" dxfId="200" priority="11">
      <formula>H41&lt;65</formula>
    </cfRule>
    <cfRule type="expression" dxfId="199" priority="12">
      <formula>H41&gt;85</formula>
    </cfRule>
  </conditionalFormatting>
  <conditionalFormatting sqref="H43:Q43">
    <cfRule type="expression" dxfId="198" priority="9">
      <formula>H43&lt;80</formula>
    </cfRule>
    <cfRule type="expression" dxfId="197" priority="10">
      <formula>H43&gt;90</formula>
    </cfRule>
  </conditionalFormatting>
  <conditionalFormatting sqref="F19:G20">
    <cfRule type="expression" dxfId="196" priority="7">
      <formula>F19&lt;65</formula>
    </cfRule>
    <cfRule type="expression" dxfId="195" priority="8">
      <formula>F19&gt;85</formula>
    </cfRule>
  </conditionalFormatting>
  <conditionalFormatting sqref="F21:G21">
    <cfRule type="expression" dxfId="194" priority="5">
      <formula>F21&lt;80</formula>
    </cfRule>
    <cfRule type="expression" dxfId="193" priority="6">
      <formula>F21&gt;90</formula>
    </cfRule>
  </conditionalFormatting>
  <conditionalFormatting sqref="H19:Q20">
    <cfRule type="expression" dxfId="192" priority="3">
      <formula>H19&lt;65</formula>
    </cfRule>
    <cfRule type="expression" dxfId="191" priority="4">
      <formula>H19&gt;85</formula>
    </cfRule>
  </conditionalFormatting>
  <conditionalFormatting sqref="H21:Q21">
    <cfRule type="expression" dxfId="190" priority="1">
      <formula>H21&lt;80</formula>
    </cfRule>
    <cfRule type="expression" dxfId="189"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2.xml><?xml version="1.0" encoding="utf-8"?>
<worksheet xmlns="http://schemas.openxmlformats.org/spreadsheetml/2006/main" xmlns:r="http://schemas.openxmlformats.org/officeDocument/2006/relationships">
  <sheetPr codeName="Sheet31">
    <tabColor rgb="FFFF0000"/>
  </sheetPr>
  <dimension ref="A1:R33"/>
  <sheetViews>
    <sheetView zoomScale="55" zoomScaleNormal="55" workbookViewId="0">
      <selection activeCell="B3" sqref="B3:L33"/>
    </sheetView>
  </sheetViews>
  <sheetFormatPr defaultRowHeight="16.5"/>
  <cols>
    <col min="1" max="1" width="5.25" style="576" customWidth="1"/>
    <col min="2" max="2" width="31.25" style="596" customWidth="1"/>
    <col min="3" max="3" width="8.375" style="576" customWidth="1"/>
    <col min="4" max="4" width="13.125" style="576" customWidth="1"/>
    <col min="5" max="5" width="9.5" style="576" customWidth="1"/>
    <col min="6" max="6" width="3.375" style="576" customWidth="1"/>
    <col min="7" max="7" width="6.375" style="576" customWidth="1"/>
    <col min="8" max="8" width="3.625" style="576" customWidth="1"/>
    <col min="9" max="9" width="9" style="576" customWidth="1"/>
    <col min="10" max="10" width="3.625" style="576" customWidth="1"/>
    <col min="11" max="12" width="5.625" style="576" customWidth="1"/>
    <col min="13" max="14" width="6" style="576" customWidth="1"/>
    <col min="15" max="15" width="6" style="597" customWidth="1"/>
    <col min="16" max="16" width="6" style="576" customWidth="1"/>
    <col min="17" max="18" width="6.375" style="576" customWidth="1"/>
    <col min="19" max="16384" width="9" style="576"/>
  </cols>
  <sheetData>
    <row r="1" spans="1:18" ht="33.75" customHeight="1">
      <c r="A1" s="3424" t="s">
        <v>136</v>
      </c>
      <c r="B1" s="3424"/>
      <c r="C1" s="3424"/>
      <c r="D1" s="3424"/>
      <c r="E1" s="3424"/>
      <c r="F1" s="3424"/>
      <c r="G1" s="3424"/>
      <c r="H1" s="3424"/>
      <c r="I1" s="3424"/>
      <c r="J1" s="3424"/>
      <c r="K1" s="3424"/>
      <c r="L1" s="3424"/>
      <c r="M1" s="3424"/>
      <c r="N1" s="3424"/>
      <c r="O1" s="1263"/>
      <c r="P1" s="1263"/>
      <c r="Q1" s="1263"/>
      <c r="R1" s="1263"/>
    </row>
    <row r="2" spans="1:18" ht="45.75" customHeight="1">
      <c r="A2" s="3425" t="s">
        <v>697</v>
      </c>
      <c r="B2" s="3425"/>
      <c r="C2" s="3425"/>
      <c r="D2" s="3425"/>
      <c r="E2" s="3425"/>
      <c r="F2" s="3425"/>
      <c r="G2" s="3425"/>
      <c r="H2" s="3425"/>
      <c r="I2" s="3425"/>
      <c r="J2" s="3425"/>
      <c r="K2" s="3425"/>
      <c r="L2" s="3425"/>
      <c r="M2" s="3425"/>
      <c r="N2" s="3426"/>
      <c r="O2" s="3174" t="s">
        <v>642</v>
      </c>
      <c r="P2" s="3176"/>
      <c r="Q2" s="3174" t="s">
        <v>17</v>
      </c>
      <c r="R2" s="3176"/>
    </row>
    <row r="3" spans="1:18" ht="31.5" customHeight="1">
      <c r="A3" s="577"/>
      <c r="B3" s="2140" t="str">
        <f>MENU!$AC$9</f>
        <v>Thứ 3,</v>
      </c>
      <c r="C3" s="1933" t="str">
        <f>MENU!$AD$9</f>
        <v>2024/01/09</v>
      </c>
      <c r="D3" s="2142"/>
      <c r="E3" s="577"/>
      <c r="F3" s="577"/>
      <c r="G3" s="577"/>
      <c r="H3" s="578"/>
      <c r="I3" s="578"/>
      <c r="J3" s="578"/>
      <c r="K3" s="578"/>
      <c r="L3" s="578"/>
      <c r="M3" s="578"/>
      <c r="N3" s="578"/>
      <c r="O3" s="3419" t="str">
        <f>'1.xi den'!N3</f>
        <v>Trang</v>
      </c>
      <c r="P3" s="3420"/>
      <c r="Q3" s="3419" t="s">
        <v>698</v>
      </c>
      <c r="R3" s="3420"/>
    </row>
    <row r="4" spans="1:18" s="582" customFormat="1" ht="43.5" customHeight="1">
      <c r="A4" s="3431" t="s">
        <v>7</v>
      </c>
      <c r="B4" s="3432" t="s">
        <v>699</v>
      </c>
      <c r="C4" s="3432" t="s">
        <v>18</v>
      </c>
      <c r="D4" s="3433" t="s">
        <v>700</v>
      </c>
      <c r="E4" s="579" t="s">
        <v>701</v>
      </c>
      <c r="F4" s="580"/>
      <c r="G4" s="580"/>
      <c r="H4" s="580"/>
      <c r="I4" s="580"/>
      <c r="J4" s="580"/>
      <c r="K4" s="580"/>
      <c r="L4" s="581"/>
      <c r="M4" s="3435" t="s">
        <v>702</v>
      </c>
      <c r="N4" s="3436"/>
      <c r="O4" s="3436"/>
      <c r="P4" s="3423"/>
      <c r="Q4" s="3443" t="s">
        <v>648</v>
      </c>
      <c r="R4" s="3444"/>
    </row>
    <row r="5" spans="1:18" s="582" customFormat="1" ht="24" customHeight="1">
      <c r="A5" s="3431"/>
      <c r="B5" s="3432"/>
      <c r="C5" s="3432"/>
      <c r="D5" s="3433"/>
      <c r="E5" s="3421">
        <v>0.375</v>
      </c>
      <c r="F5" s="3175"/>
      <c r="G5" s="3175"/>
      <c r="H5" s="3176"/>
      <c r="I5" s="3421">
        <v>0.875</v>
      </c>
      <c r="J5" s="3175"/>
      <c r="K5" s="3175"/>
      <c r="L5" s="3176"/>
      <c r="M5" s="3421">
        <v>0.375</v>
      </c>
      <c r="N5" s="3176"/>
      <c r="O5" s="3422">
        <v>0.875</v>
      </c>
      <c r="P5" s="3423"/>
      <c r="Q5" s="3445"/>
      <c r="R5" s="3446"/>
    </row>
    <row r="6" spans="1:18" s="582" customFormat="1" ht="55.5" customHeight="1">
      <c r="A6" s="3431"/>
      <c r="B6" s="3431"/>
      <c r="C6" s="3431"/>
      <c r="D6" s="3434"/>
      <c r="E6" s="1256" t="s">
        <v>703</v>
      </c>
      <c r="F6" s="3440" t="s">
        <v>704</v>
      </c>
      <c r="G6" s="3441"/>
      <c r="H6" s="3442"/>
      <c r="I6" s="1256" t="s">
        <v>703</v>
      </c>
      <c r="J6" s="3440" t="s">
        <v>704</v>
      </c>
      <c r="K6" s="3441"/>
      <c r="L6" s="3442"/>
      <c r="M6" s="583" t="s">
        <v>705</v>
      </c>
      <c r="N6" s="584" t="s">
        <v>706</v>
      </c>
      <c r="O6" s="583" t="s">
        <v>705</v>
      </c>
      <c r="P6" s="584" t="s">
        <v>706</v>
      </c>
      <c r="Q6" s="3447"/>
      <c r="R6" s="3448"/>
    </row>
    <row r="7" spans="1:18" ht="39.75" customHeight="1">
      <c r="A7" s="1257">
        <v>1</v>
      </c>
      <c r="B7" s="1257" t="s">
        <v>707</v>
      </c>
      <c r="C7" s="1257" t="s">
        <v>4</v>
      </c>
      <c r="D7" s="585" t="s">
        <v>530</v>
      </c>
      <c r="E7" s="35">
        <f>'R.GUI MAIL'!H89</f>
        <v>24.964000000000002</v>
      </c>
      <c r="F7" s="1264" t="s">
        <v>8</v>
      </c>
      <c r="G7" s="1265">
        <f>'R.GUI MAIL'!K89</f>
        <v>5.8751999999996425E-2</v>
      </c>
      <c r="H7" s="1266" t="s">
        <v>9</v>
      </c>
      <c r="I7" s="35">
        <f>'R.GUI MAIL'!N89</f>
        <v>22.751999999999999</v>
      </c>
      <c r="J7" s="1264" t="s">
        <v>8</v>
      </c>
      <c r="K7" s="1265">
        <f>'R.GUI MAIL'!Q89</f>
        <v>3.6687360000000018</v>
      </c>
      <c r="L7" s="1266" t="s">
        <v>9</v>
      </c>
      <c r="M7" s="586"/>
      <c r="N7" s="587"/>
      <c r="O7" s="586"/>
      <c r="P7" s="587"/>
      <c r="Q7" s="3437" t="s">
        <v>12</v>
      </c>
      <c r="R7" s="3438"/>
    </row>
    <row r="8" spans="1:18" ht="39.75" customHeight="1">
      <c r="A8" s="1257">
        <v>2</v>
      </c>
      <c r="B8" s="1257" t="s">
        <v>708</v>
      </c>
      <c r="C8" s="1257" t="s">
        <v>4</v>
      </c>
      <c r="D8" s="585" t="s">
        <v>530</v>
      </c>
      <c r="E8" s="35">
        <f>'R.GUI MAIL'!H90</f>
        <v>26.86</v>
      </c>
      <c r="F8" s="1264" t="s">
        <v>8</v>
      </c>
      <c r="G8" s="1265">
        <f>'R.GUI MAIL'!K90</f>
        <v>0</v>
      </c>
      <c r="H8" s="1266" t="s">
        <v>9</v>
      </c>
      <c r="I8" s="35">
        <f>'R.GUI MAIL'!N90</f>
        <v>24.964000000000002</v>
      </c>
      <c r="J8" s="1264" t="s">
        <v>8</v>
      </c>
      <c r="K8" s="1265">
        <f>'R.GUI MAIL'!Q90</f>
        <v>5.8751999999996425E-2</v>
      </c>
      <c r="L8" s="1266" t="s">
        <v>9</v>
      </c>
      <c r="M8" s="586"/>
      <c r="N8" s="587"/>
      <c r="O8" s="586"/>
      <c r="P8" s="587"/>
      <c r="Q8" s="3437" t="s">
        <v>12</v>
      </c>
      <c r="R8" s="3438"/>
    </row>
    <row r="9" spans="1:18" ht="39.75" customHeight="1">
      <c r="A9" s="1257">
        <v>3</v>
      </c>
      <c r="B9" s="1257" t="s">
        <v>709</v>
      </c>
      <c r="C9" s="1257" t="s">
        <v>56</v>
      </c>
      <c r="D9" s="585" t="s">
        <v>1424</v>
      </c>
      <c r="E9" s="35">
        <f>'R.GUI MAIL'!H91</f>
        <v>218.42000000000002</v>
      </c>
      <c r="F9" s="1264" t="s">
        <v>8</v>
      </c>
      <c r="G9" s="1265">
        <f>'R.GUI MAIL'!K91</f>
        <v>51.538559999999976</v>
      </c>
      <c r="H9" s="1266" t="s">
        <v>1183</v>
      </c>
      <c r="I9" s="35">
        <f>'R.GUI MAIL'!N91</f>
        <v>228.20000000000002</v>
      </c>
      <c r="J9" s="1264" t="s">
        <v>8</v>
      </c>
      <c r="K9" s="1265">
        <f>'R.GUI MAIL'!Q91</f>
        <v>35.577599999999968</v>
      </c>
      <c r="L9" s="1266" t="s">
        <v>1173</v>
      </c>
      <c r="M9" s="586"/>
      <c r="N9" s="587"/>
      <c r="O9" s="586"/>
      <c r="P9" s="587"/>
      <c r="Q9" s="3437" t="s">
        <v>16</v>
      </c>
      <c r="R9" s="3438"/>
    </row>
    <row r="10" spans="1:18" ht="39.75" customHeight="1">
      <c r="A10" s="1257">
        <v>4</v>
      </c>
      <c r="B10" s="1258" t="s">
        <v>1174</v>
      </c>
      <c r="C10" s="1257" t="s">
        <v>4</v>
      </c>
      <c r="D10" s="1637" t="s">
        <v>1425</v>
      </c>
      <c r="E10" s="35">
        <f>'R.GUI MAIL'!H92</f>
        <v>145</v>
      </c>
      <c r="F10" s="1264" t="s">
        <v>8</v>
      </c>
      <c r="G10" s="1265">
        <f>'R.GUI MAIL'!K92</f>
        <v>0</v>
      </c>
      <c r="H10" s="1266" t="s">
        <v>9</v>
      </c>
      <c r="I10" s="35">
        <f>'R.GUI MAIL'!N92</f>
        <v>153.75</v>
      </c>
      <c r="J10" s="1264" t="s">
        <v>8</v>
      </c>
      <c r="K10" s="1265">
        <f>'R.GUI MAIL'!Q92</f>
        <v>0</v>
      </c>
      <c r="L10" s="1266" t="s">
        <v>9</v>
      </c>
      <c r="M10" s="586"/>
      <c r="N10" s="587"/>
      <c r="O10" s="586"/>
      <c r="P10" s="587"/>
      <c r="Q10" s="3437" t="s">
        <v>710</v>
      </c>
      <c r="R10" s="3438"/>
    </row>
    <row r="11" spans="1:18" ht="39.75" customHeight="1">
      <c r="A11" s="1257">
        <v>5</v>
      </c>
      <c r="B11" s="1258" t="s">
        <v>1175</v>
      </c>
      <c r="C11" s="1257" t="s">
        <v>4</v>
      </c>
      <c r="D11" s="588" t="s">
        <v>540</v>
      </c>
      <c r="E11" s="35">
        <f>'R.GUI MAIL'!H93</f>
        <v>4.25</v>
      </c>
      <c r="F11" s="1264" t="s">
        <v>8</v>
      </c>
      <c r="G11" s="1265">
        <f>'R.GUI MAIL'!K93</f>
        <v>0</v>
      </c>
      <c r="H11" s="1266" t="s">
        <v>9</v>
      </c>
      <c r="I11" s="35">
        <f>'R.GUI MAIL'!N93</f>
        <v>5.2500000000000018</v>
      </c>
      <c r="J11" s="1264" t="s">
        <v>8</v>
      </c>
      <c r="K11" s="1265">
        <f>'R.GUI MAIL'!Q93</f>
        <v>0</v>
      </c>
      <c r="L11" s="1266" t="s">
        <v>9</v>
      </c>
      <c r="M11" s="586"/>
      <c r="N11" s="587"/>
      <c r="O11" s="586"/>
      <c r="P11" s="587"/>
      <c r="Q11" s="3437" t="s">
        <v>711</v>
      </c>
      <c r="R11" s="3438"/>
    </row>
    <row r="12" spans="1:18" ht="39.75" customHeight="1">
      <c r="A12" s="1257">
        <v>6</v>
      </c>
      <c r="B12" s="1258" t="s">
        <v>1176</v>
      </c>
      <c r="C12" s="1257" t="s">
        <v>4</v>
      </c>
      <c r="D12" s="1637" t="s">
        <v>1425</v>
      </c>
      <c r="E12" s="35">
        <f>'R.GUI MAIL'!H94</f>
        <v>140</v>
      </c>
      <c r="F12" s="1264" t="s">
        <v>8</v>
      </c>
      <c r="G12" s="1265">
        <f>'R.GUI MAIL'!K94</f>
        <v>0</v>
      </c>
      <c r="H12" s="1266" t="s">
        <v>9</v>
      </c>
      <c r="I12" s="35">
        <f>'R.GUI MAIL'!N94</f>
        <v>145</v>
      </c>
      <c r="J12" s="1264" t="s">
        <v>8</v>
      </c>
      <c r="K12" s="1265">
        <f>'R.GUI MAIL'!Q94</f>
        <v>0</v>
      </c>
      <c r="L12" s="1266" t="s">
        <v>9</v>
      </c>
      <c r="M12" s="586"/>
      <c r="N12" s="587"/>
      <c r="O12" s="586"/>
      <c r="P12" s="587"/>
      <c r="Q12" s="3437" t="s">
        <v>710</v>
      </c>
      <c r="R12" s="3438"/>
    </row>
    <row r="13" spans="1:18" ht="39.75" customHeight="1">
      <c r="A13" s="1257">
        <v>7</v>
      </c>
      <c r="B13" s="1258" t="s">
        <v>1177</v>
      </c>
      <c r="C13" s="1257" t="s">
        <v>4</v>
      </c>
      <c r="D13" s="588" t="s">
        <v>540</v>
      </c>
      <c r="E13" s="35">
        <f>'R.GUI MAIL'!H95</f>
        <v>3.9999999999999991</v>
      </c>
      <c r="F13" s="1264" t="s">
        <v>8</v>
      </c>
      <c r="G13" s="1265">
        <f>'R.GUI MAIL'!K95</f>
        <v>0</v>
      </c>
      <c r="H13" s="1266" t="s">
        <v>9</v>
      </c>
      <c r="I13" s="35">
        <f>'R.GUI MAIL'!N95</f>
        <v>5</v>
      </c>
      <c r="J13" s="1264" t="s">
        <v>8</v>
      </c>
      <c r="K13" s="1265">
        <f>'R.GUI MAIL'!Q95</f>
        <v>0</v>
      </c>
      <c r="L13" s="1266" t="s">
        <v>9</v>
      </c>
      <c r="M13" s="586"/>
      <c r="N13" s="587"/>
      <c r="O13" s="586"/>
      <c r="P13" s="587"/>
      <c r="Q13" s="3437" t="s">
        <v>711</v>
      </c>
      <c r="R13" s="3438"/>
    </row>
    <row r="14" spans="1:18" ht="39.75" customHeight="1">
      <c r="A14" s="1257">
        <v>8</v>
      </c>
      <c r="B14" s="1258" t="s">
        <v>938</v>
      </c>
      <c r="C14" s="1257" t="s">
        <v>4</v>
      </c>
      <c r="D14" s="1637" t="s">
        <v>1425</v>
      </c>
      <c r="E14" s="35">
        <f>'R.GUI MAIL'!H96</f>
        <v>128.75</v>
      </c>
      <c r="F14" s="1264" t="s">
        <v>8</v>
      </c>
      <c r="G14" s="1265">
        <f>'R.GUI MAIL'!K96</f>
        <v>2.16</v>
      </c>
      <c r="H14" s="1266" t="s">
        <v>9</v>
      </c>
      <c r="I14" s="35">
        <f>'R.GUI MAIL'!N96</f>
        <v>131.25</v>
      </c>
      <c r="J14" s="1264" t="s">
        <v>8</v>
      </c>
      <c r="K14" s="1265">
        <f>'R.GUI MAIL'!Q96</f>
        <v>0</v>
      </c>
      <c r="L14" s="1266" t="s">
        <v>9</v>
      </c>
      <c r="M14" s="586"/>
      <c r="N14" s="587"/>
      <c r="O14" s="586"/>
      <c r="P14" s="587"/>
      <c r="Q14" s="3437" t="s">
        <v>710</v>
      </c>
      <c r="R14" s="3438"/>
    </row>
    <row r="15" spans="1:18" ht="39.75" customHeight="1">
      <c r="A15" s="1257">
        <v>9</v>
      </c>
      <c r="B15" s="1258" t="s">
        <v>939</v>
      </c>
      <c r="C15" s="1257" t="s">
        <v>4</v>
      </c>
      <c r="D15" s="588" t="s">
        <v>540</v>
      </c>
      <c r="E15" s="35">
        <f>'R.GUI MAIL'!H97</f>
        <v>4.875</v>
      </c>
      <c r="F15" s="1264" t="s">
        <v>8</v>
      </c>
      <c r="G15" s="1265">
        <f>'R.GUI MAIL'!K97</f>
        <v>0</v>
      </c>
      <c r="H15" s="1266" t="s">
        <v>9</v>
      </c>
      <c r="I15" s="35">
        <f>'R.GUI MAIL'!N97</f>
        <v>4.125</v>
      </c>
      <c r="J15" s="1264" t="s">
        <v>8</v>
      </c>
      <c r="K15" s="1265">
        <f>'R.GUI MAIL'!Q97</f>
        <v>0</v>
      </c>
      <c r="L15" s="1266" t="s">
        <v>9</v>
      </c>
      <c r="M15" s="586"/>
      <c r="N15" s="587"/>
      <c r="O15" s="586"/>
      <c r="P15" s="587"/>
      <c r="Q15" s="3437" t="s">
        <v>711</v>
      </c>
      <c r="R15" s="3438"/>
    </row>
    <row r="16" spans="1:18" ht="39.75" customHeight="1">
      <c r="A16" s="3427">
        <v>10</v>
      </c>
      <c r="B16" s="3429" t="s">
        <v>712</v>
      </c>
      <c r="C16" s="1257" t="s">
        <v>4</v>
      </c>
      <c r="D16" s="585" t="s">
        <v>547</v>
      </c>
      <c r="E16" s="35">
        <f>'R.GUI MAIL'!H98</f>
        <v>10.607999999999999</v>
      </c>
      <c r="F16" s="1264" t="s">
        <v>8</v>
      </c>
      <c r="G16" s="1265">
        <f>'R.GUI MAIL'!K98</f>
        <v>0</v>
      </c>
      <c r="H16" s="1266" t="s">
        <v>9</v>
      </c>
      <c r="I16" s="35">
        <f>'R.GUI MAIL'!N98</f>
        <v>10.192000000000002</v>
      </c>
      <c r="J16" s="1264" t="s">
        <v>8</v>
      </c>
      <c r="K16" s="1265">
        <f>'R.GUI MAIL'!Q98</f>
        <v>0</v>
      </c>
      <c r="L16" s="1266" t="s">
        <v>9</v>
      </c>
      <c r="M16" s="586"/>
      <c r="N16" s="587"/>
      <c r="O16" s="586"/>
      <c r="P16" s="587"/>
      <c r="Q16" s="3437" t="s">
        <v>713</v>
      </c>
      <c r="R16" s="3438"/>
    </row>
    <row r="17" spans="1:18" ht="33" customHeight="1">
      <c r="A17" s="3428"/>
      <c r="B17" s="3430"/>
      <c r="C17" s="1257" t="s">
        <v>5</v>
      </c>
      <c r="D17" s="585" t="s">
        <v>549</v>
      </c>
      <c r="E17" s="636">
        <f>'R.GUI MAIL'!H99</f>
        <v>6.2</v>
      </c>
      <c r="F17" s="1267"/>
      <c r="G17" s="1267"/>
      <c r="H17" s="1267"/>
      <c r="I17" s="636">
        <f>'R.GUI MAIL'!N99</f>
        <v>6.3</v>
      </c>
      <c r="J17" s="1268"/>
      <c r="K17" s="1268"/>
      <c r="L17" s="1269"/>
      <c r="M17" s="586"/>
      <c r="N17" s="587"/>
      <c r="O17" s="586"/>
      <c r="P17" s="587"/>
      <c r="Q17" s="3439"/>
      <c r="R17" s="3438"/>
    </row>
    <row r="18" spans="1:18" ht="31.5" hidden="1" customHeight="1">
      <c r="A18" s="1257">
        <v>11</v>
      </c>
      <c r="B18" s="589" t="s">
        <v>714</v>
      </c>
      <c r="C18" s="1259" t="s">
        <v>5</v>
      </c>
      <c r="D18" s="1644" t="s">
        <v>1427</v>
      </c>
      <c r="E18" s="1639">
        <f>'R.GUI MAIL'!H100</f>
        <v>0</v>
      </c>
      <c r="F18" s="1640"/>
      <c r="G18" s="1640"/>
      <c r="H18" s="1640"/>
      <c r="I18" s="1639">
        <f>'R.GUI MAIL'!N100</f>
        <v>0</v>
      </c>
      <c r="J18" s="1268"/>
      <c r="K18" s="1268"/>
      <c r="L18" s="1269"/>
      <c r="M18" s="586"/>
      <c r="N18" s="587"/>
      <c r="O18" s="590"/>
      <c r="P18" s="587"/>
      <c r="Q18" s="3449"/>
      <c r="R18" s="3450"/>
    </row>
    <row r="19" spans="1:18" ht="31.5" hidden="1" customHeight="1">
      <c r="A19" s="1257">
        <v>12</v>
      </c>
      <c r="B19" s="591" t="s">
        <v>715</v>
      </c>
      <c r="C19" s="1259" t="s">
        <v>5</v>
      </c>
      <c r="D19" s="1644" t="s">
        <v>1427</v>
      </c>
      <c r="E19" s="1639">
        <f>'R.GUI MAIL'!H101</f>
        <v>0</v>
      </c>
      <c r="F19" s="1640"/>
      <c r="G19" s="1640"/>
      <c r="H19" s="1640"/>
      <c r="I19" s="1639">
        <f>'R.GUI MAIL'!N101</f>
        <v>0</v>
      </c>
      <c r="J19" s="1270"/>
      <c r="K19" s="1270"/>
      <c r="L19" s="1271"/>
      <c r="M19" s="586"/>
      <c r="N19" s="587"/>
      <c r="O19" s="590"/>
      <c r="P19" s="587"/>
      <c r="Q19" s="3449"/>
      <c r="R19" s="3450"/>
    </row>
    <row r="20" spans="1:18" ht="32.25" customHeight="1">
      <c r="A20" s="1257">
        <v>13</v>
      </c>
      <c r="B20" s="589" t="s">
        <v>716</v>
      </c>
      <c r="C20" s="1259" t="s">
        <v>5</v>
      </c>
      <c r="D20" s="1644" t="s">
        <v>1427</v>
      </c>
      <c r="E20" s="1639">
        <f>'R.GUI MAIL'!H102</f>
        <v>5.6</v>
      </c>
      <c r="F20" s="1640"/>
      <c r="G20" s="1640"/>
      <c r="H20" s="1640"/>
      <c r="I20" s="1639">
        <f>'R.GUI MAIL'!N102</f>
        <v>5.7</v>
      </c>
      <c r="J20" s="1270"/>
      <c r="K20" s="1270"/>
      <c r="L20" s="1271"/>
      <c r="M20" s="586"/>
      <c r="N20" s="587"/>
      <c r="O20" s="590"/>
      <c r="P20" s="587"/>
      <c r="Q20" s="3449"/>
      <c r="R20" s="3450"/>
    </row>
    <row r="21" spans="1:18" ht="31.5" customHeight="1">
      <c r="A21" s="1257"/>
      <c r="B21" s="592" t="s">
        <v>138</v>
      </c>
      <c r="C21" s="593"/>
      <c r="D21" s="593"/>
      <c r="E21" s="593"/>
      <c r="F21" s="593"/>
      <c r="G21" s="593"/>
      <c r="H21" s="593"/>
      <c r="I21" s="593"/>
      <c r="J21" s="593"/>
      <c r="K21" s="593"/>
      <c r="L21" s="593"/>
      <c r="M21" s="593"/>
      <c r="N21" s="593"/>
      <c r="O21" s="593"/>
      <c r="P21" s="593"/>
      <c r="Q21" s="593"/>
      <c r="R21" s="594"/>
    </row>
    <row r="22" spans="1:18" ht="43.5" customHeight="1">
      <c r="A22" s="3427" t="s">
        <v>7</v>
      </c>
      <c r="B22" s="3451" t="s">
        <v>21</v>
      </c>
      <c r="C22" s="3451" t="s">
        <v>22</v>
      </c>
      <c r="D22" s="3451" t="s">
        <v>23</v>
      </c>
      <c r="E22" s="3432" t="s">
        <v>46</v>
      </c>
      <c r="F22" s="3432"/>
      <c r="G22" s="3453" t="s">
        <v>63</v>
      </c>
      <c r="H22" s="3453"/>
      <c r="I22" s="3432" t="s">
        <v>46</v>
      </c>
      <c r="J22" s="3432"/>
      <c r="K22" s="3453" t="s">
        <v>63</v>
      </c>
      <c r="L22" s="3453"/>
      <c r="M22" s="3454"/>
      <c r="N22" s="3454"/>
      <c r="O22" s="3451"/>
      <c r="P22" s="3454"/>
      <c r="Q22" s="3458"/>
      <c r="R22" s="3459"/>
    </row>
    <row r="23" spans="1:18" ht="22.5" customHeight="1">
      <c r="A23" s="3428"/>
      <c r="B23" s="3452"/>
      <c r="C23" s="3452"/>
      <c r="D23" s="3452"/>
      <c r="E23" s="3421">
        <v>0.375</v>
      </c>
      <c r="F23" s="3175"/>
      <c r="G23" s="3175"/>
      <c r="H23" s="3176"/>
      <c r="I23" s="3421">
        <v>0.875</v>
      </c>
      <c r="J23" s="3175"/>
      <c r="K23" s="3175"/>
      <c r="L23" s="3176"/>
      <c r="M23" s="3455"/>
      <c r="N23" s="3455"/>
      <c r="O23" s="3452"/>
      <c r="P23" s="3455"/>
      <c r="Q23" s="3460"/>
      <c r="R23" s="3461"/>
    </row>
    <row r="24" spans="1:18" ht="36.75" customHeight="1">
      <c r="A24" s="1257">
        <v>1</v>
      </c>
      <c r="B24" s="1257" t="s">
        <v>707</v>
      </c>
      <c r="C24" s="595" t="s">
        <v>26</v>
      </c>
      <c r="D24" s="1638" t="s">
        <v>1429</v>
      </c>
      <c r="E24" s="3016">
        <f>'R.GUI MAIL'!H105</f>
        <v>61</v>
      </c>
      <c r="F24" s="3088"/>
      <c r="G24" s="3016">
        <f>'R.GUI MAIL'!K105</f>
        <v>64</v>
      </c>
      <c r="H24" s="3088"/>
      <c r="I24" s="3016">
        <f>'R.GUI MAIL'!N105</f>
        <v>61</v>
      </c>
      <c r="J24" s="3088"/>
      <c r="K24" s="2969">
        <f>'R.GUI MAIL'!Q105</f>
        <v>63</v>
      </c>
      <c r="L24" s="2969"/>
      <c r="M24" s="1251"/>
      <c r="N24" s="1251"/>
      <c r="O24" s="3456"/>
      <c r="P24" s="3457"/>
      <c r="Q24" s="3449"/>
      <c r="R24" s="3450"/>
    </row>
    <row r="25" spans="1:18" ht="36.75" customHeight="1">
      <c r="A25" s="1257">
        <v>2</v>
      </c>
      <c r="B25" s="1257" t="s">
        <v>708</v>
      </c>
      <c r="C25" s="595" t="s">
        <v>26</v>
      </c>
      <c r="D25" s="1638" t="s">
        <v>1429</v>
      </c>
      <c r="E25" s="3016">
        <f>'R.GUI MAIL'!H106</f>
        <v>65</v>
      </c>
      <c r="F25" s="3088"/>
      <c r="G25" s="3016">
        <f>'R.GUI MAIL'!K106</f>
        <v>64</v>
      </c>
      <c r="H25" s="3088"/>
      <c r="I25" s="3016">
        <f>'R.GUI MAIL'!N106</f>
        <v>65</v>
      </c>
      <c r="J25" s="3088"/>
      <c r="K25" s="2969">
        <f>'R.GUI MAIL'!Q106</f>
        <v>63</v>
      </c>
      <c r="L25" s="2969"/>
      <c r="M25" s="1251"/>
      <c r="N25" s="1251"/>
      <c r="O25" s="3456"/>
      <c r="P25" s="3457"/>
      <c r="Q25" s="3449"/>
      <c r="R25" s="3450"/>
    </row>
    <row r="26" spans="1:18" ht="36.75" customHeight="1">
      <c r="A26" s="1257">
        <v>3</v>
      </c>
      <c r="B26" s="1258" t="s">
        <v>1180</v>
      </c>
      <c r="C26" s="595" t="s">
        <v>26</v>
      </c>
      <c r="D26" s="1638" t="s">
        <v>1430</v>
      </c>
      <c r="E26" s="3016">
        <f>'R.GUI MAIL'!H107</f>
        <v>24</v>
      </c>
      <c r="F26" s="3088"/>
      <c r="G26" s="3016">
        <f>'R.GUI MAIL'!K107</f>
        <v>22</v>
      </c>
      <c r="H26" s="3088"/>
      <c r="I26" s="3016">
        <f>'R.GUI MAIL'!N107</f>
        <v>25</v>
      </c>
      <c r="J26" s="3088"/>
      <c r="K26" s="2969">
        <f>'R.GUI MAIL'!Q107</f>
        <v>23</v>
      </c>
      <c r="L26" s="2969"/>
      <c r="M26" s="1251"/>
      <c r="N26" s="1251"/>
      <c r="O26" s="3456"/>
      <c r="P26" s="3457"/>
      <c r="Q26" s="3449"/>
      <c r="R26" s="3450"/>
    </row>
    <row r="27" spans="1:18" ht="36.75" customHeight="1">
      <c r="A27" s="1257">
        <v>4</v>
      </c>
      <c r="B27" s="1258" t="s">
        <v>1181</v>
      </c>
      <c r="C27" s="595" t="s">
        <v>26</v>
      </c>
      <c r="D27" s="1638" t="s">
        <v>1430</v>
      </c>
      <c r="E27" s="3016">
        <f>'R.GUI MAIL'!H108</f>
        <v>26</v>
      </c>
      <c r="F27" s="3088"/>
      <c r="G27" s="3016">
        <f>'R.GUI MAIL'!K108</f>
        <v>24</v>
      </c>
      <c r="H27" s="3088"/>
      <c r="I27" s="3016">
        <f>'R.GUI MAIL'!N108</f>
        <v>26</v>
      </c>
      <c r="J27" s="3088"/>
      <c r="K27" s="2969">
        <f>'R.GUI MAIL'!Q108</f>
        <v>25</v>
      </c>
      <c r="L27" s="2969"/>
      <c r="M27" s="1251"/>
      <c r="N27" s="1251"/>
      <c r="O27" s="3456"/>
      <c r="P27" s="3457"/>
      <c r="Q27" s="3449"/>
      <c r="R27" s="3450"/>
    </row>
    <row r="28" spans="1:18" ht="36.75" customHeight="1">
      <c r="A28" s="1257">
        <v>5</v>
      </c>
      <c r="B28" s="1258" t="s">
        <v>1182</v>
      </c>
      <c r="C28" s="595" t="s">
        <v>26</v>
      </c>
      <c r="D28" s="1638" t="s">
        <v>1430</v>
      </c>
      <c r="E28" s="3016">
        <f>'R.GUI MAIL'!H109</f>
        <v>22</v>
      </c>
      <c r="F28" s="3088"/>
      <c r="G28" s="3016">
        <f>'R.GUI MAIL'!K109</f>
        <v>20</v>
      </c>
      <c r="H28" s="3088"/>
      <c r="I28" s="3016">
        <f>'R.GUI MAIL'!N109</f>
        <v>22</v>
      </c>
      <c r="J28" s="3088"/>
      <c r="K28" s="2969">
        <f>'R.GUI MAIL'!Q109</f>
        <v>20</v>
      </c>
      <c r="L28" s="2969"/>
      <c r="M28" s="1251"/>
      <c r="N28" s="1251"/>
      <c r="O28" s="3456"/>
      <c r="P28" s="3457"/>
      <c r="Q28" s="3449"/>
      <c r="R28" s="3450"/>
    </row>
    <row r="29" spans="1:18" ht="36.75" customHeight="1">
      <c r="A29" s="1257">
        <v>6</v>
      </c>
      <c r="B29" s="1258" t="s">
        <v>717</v>
      </c>
      <c r="C29" s="595" t="s">
        <v>26</v>
      </c>
      <c r="D29" s="1638" t="s">
        <v>1619</v>
      </c>
      <c r="E29" s="2969">
        <f>'R.GUI MAIL'!H110</f>
        <v>39</v>
      </c>
      <c r="F29" s="2969"/>
      <c r="G29" s="2969">
        <f>'R.GUI MAIL'!K110</f>
        <v>36</v>
      </c>
      <c r="H29" s="2969"/>
      <c r="I29" s="2969">
        <f>'R.GUI MAIL'!N110</f>
        <v>39</v>
      </c>
      <c r="J29" s="2969"/>
      <c r="K29" s="2969">
        <f>'R.GUI MAIL'!Q110</f>
        <v>36</v>
      </c>
      <c r="L29" s="2969"/>
      <c r="M29" s="1251"/>
      <c r="N29" s="1251"/>
      <c r="O29" s="3456"/>
      <c r="P29" s="3457"/>
      <c r="Q29" s="3449"/>
      <c r="R29" s="3450"/>
    </row>
    <row r="30" spans="1:18" ht="38.25" hidden="1" customHeight="1">
      <c r="A30" s="1257">
        <v>7</v>
      </c>
      <c r="B30" s="589" t="s">
        <v>714</v>
      </c>
      <c r="C30" s="595" t="s">
        <v>26</v>
      </c>
      <c r="D30" s="1638" t="s">
        <v>1476</v>
      </c>
      <c r="E30" s="2969">
        <f>'R.GUI MAIL'!H111</f>
        <v>0</v>
      </c>
      <c r="F30" s="2969"/>
      <c r="G30" s="2969">
        <f>'R.GUI MAIL'!K111</f>
        <v>0</v>
      </c>
      <c r="H30" s="2969"/>
      <c r="I30" s="2969">
        <f>'R.GUI MAIL'!N111</f>
        <v>0</v>
      </c>
      <c r="J30" s="2969"/>
      <c r="K30" s="2969">
        <f>'R.GUI MAIL'!Q111</f>
        <v>0</v>
      </c>
      <c r="L30" s="2969"/>
      <c r="M30" s="1251"/>
      <c r="N30" s="1251"/>
      <c r="O30" s="3462"/>
      <c r="P30" s="3463"/>
      <c r="Q30" s="3449"/>
      <c r="R30" s="3450"/>
    </row>
    <row r="31" spans="1:18" ht="36.75" hidden="1" customHeight="1">
      <c r="A31" s="1257">
        <v>8</v>
      </c>
      <c r="B31" s="591" t="s">
        <v>715</v>
      </c>
      <c r="C31" s="595" t="s">
        <v>26</v>
      </c>
      <c r="D31" s="1638" t="s">
        <v>1477</v>
      </c>
      <c r="E31" s="2969">
        <f>'R.GUI MAIL'!H112</f>
        <v>0</v>
      </c>
      <c r="F31" s="2969"/>
      <c r="G31" s="2969">
        <f>'R.GUI MAIL'!K112</f>
        <v>0</v>
      </c>
      <c r="H31" s="2969"/>
      <c r="I31" s="2969">
        <f>'R.GUI MAIL'!N112</f>
        <v>0</v>
      </c>
      <c r="J31" s="2969"/>
      <c r="K31" s="2969">
        <f>'R.GUI MAIL'!Q112</f>
        <v>0</v>
      </c>
      <c r="L31" s="2969"/>
      <c r="M31" s="1251"/>
      <c r="N31" s="1251"/>
      <c r="O31" s="3462"/>
      <c r="P31" s="3463"/>
      <c r="Q31" s="3449"/>
      <c r="R31" s="3450"/>
    </row>
    <row r="32" spans="1:18" ht="36.75" customHeight="1">
      <c r="A32" s="1257">
        <v>9</v>
      </c>
      <c r="B32" s="589" t="s">
        <v>716</v>
      </c>
      <c r="C32" s="595" t="s">
        <v>26</v>
      </c>
      <c r="D32" s="1638" t="s">
        <v>1476</v>
      </c>
      <c r="E32" s="2969">
        <f>'R.GUI MAIL'!H113</f>
        <v>65</v>
      </c>
      <c r="F32" s="2969"/>
      <c r="G32" s="2969">
        <f>'R.GUI MAIL'!K113</f>
        <v>62</v>
      </c>
      <c r="H32" s="2969"/>
      <c r="I32" s="2969">
        <f>'R.GUI MAIL'!N113</f>
        <v>65</v>
      </c>
      <c r="J32" s="2969"/>
      <c r="K32" s="2969">
        <f>'R.GUI MAIL'!Q113</f>
        <v>63</v>
      </c>
      <c r="L32" s="2969"/>
      <c r="M32" s="1251"/>
      <c r="N32" s="1251"/>
      <c r="O32" s="3462"/>
      <c r="P32" s="3463"/>
      <c r="Q32" s="3449"/>
      <c r="R32" s="3450"/>
    </row>
    <row r="33" spans="1:18" ht="36.75" customHeight="1">
      <c r="A33" s="1257">
        <v>11</v>
      </c>
      <c r="B33" s="1258" t="s">
        <v>718</v>
      </c>
      <c r="C33" s="595" t="s">
        <v>26</v>
      </c>
      <c r="D33" s="1638" t="s">
        <v>1431</v>
      </c>
      <c r="E33" s="3417" t="s">
        <v>1184</v>
      </c>
      <c r="F33" s="3418"/>
      <c r="G33" s="3016">
        <f>'R.GUI MAIL'!K114</f>
        <v>161</v>
      </c>
      <c r="H33" s="3088"/>
      <c r="I33" s="3417" t="s">
        <v>1184</v>
      </c>
      <c r="J33" s="3418"/>
      <c r="K33" s="2969">
        <f>'R.GUI MAIL'!Q114</f>
        <v>149</v>
      </c>
      <c r="L33" s="2969"/>
      <c r="M33" s="1251"/>
      <c r="N33" s="1251"/>
      <c r="O33" s="3462"/>
      <c r="P33" s="3463"/>
      <c r="Q33" s="3449"/>
      <c r="R33" s="3450"/>
    </row>
  </sheetData>
  <mergeCells count="109">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O26:P26"/>
    <mergeCell ref="Q26:R26"/>
    <mergeCell ref="O27:P27"/>
    <mergeCell ref="Q27:R27"/>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N1"/>
    <mergeCell ref="A2:N2"/>
    <mergeCell ref="O2:P2"/>
    <mergeCell ref="A16:A17"/>
    <mergeCell ref="B16:B17"/>
    <mergeCell ref="A4:A6"/>
    <mergeCell ref="B4:B6"/>
    <mergeCell ref="C4:C6"/>
    <mergeCell ref="D4:D6"/>
    <mergeCell ref="M4:P4"/>
    <mergeCell ref="F6:H6"/>
    <mergeCell ref="J6:L6"/>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s>
  <phoneticPr fontId="7" type="noConversion"/>
  <conditionalFormatting sqref="E7:E8 I7:I8">
    <cfRule type="expression" dxfId="188" priority="131">
      <formula>E7&lt;20</formula>
    </cfRule>
    <cfRule type="expression" dxfId="187" priority="132">
      <formula>E7&gt;30</formula>
    </cfRule>
  </conditionalFormatting>
  <conditionalFormatting sqref="E9 I9">
    <cfRule type="expression" dxfId="186" priority="129">
      <formula>E9&lt;210</formula>
    </cfRule>
    <cfRule type="expression" dxfId="185" priority="130">
      <formula>E9&gt;290</formula>
    </cfRule>
  </conditionalFormatting>
  <conditionalFormatting sqref="E10 E12 E14 I10 I12 I14">
    <cfRule type="expression" dxfId="184" priority="127">
      <formula>E10&lt;120</formula>
    </cfRule>
    <cfRule type="expression" dxfId="183" priority="128">
      <formula>E10&gt;150</formula>
    </cfRule>
  </conditionalFormatting>
  <conditionalFormatting sqref="E11 E13 E15 I11 I13 I15">
    <cfRule type="expression" dxfId="182" priority="125">
      <formula>E11&lt;1</formula>
    </cfRule>
    <cfRule type="expression" dxfId="181" priority="126">
      <formula>E11&gt;5</formula>
    </cfRule>
  </conditionalFormatting>
  <conditionalFormatting sqref="E16 I16">
    <cfRule type="expression" dxfId="180" priority="123">
      <formula>E16&lt;8</formula>
    </cfRule>
    <cfRule type="expression" dxfId="179" priority="124">
      <formula>E16&gt;12</formula>
    </cfRule>
  </conditionalFormatting>
  <conditionalFormatting sqref="E17">
    <cfRule type="expression" dxfId="178" priority="121">
      <formula>E17&lt;6</formula>
    </cfRule>
    <cfRule type="expression" dxfId="177" priority="122">
      <formula>E17&gt;8</formula>
    </cfRule>
  </conditionalFormatting>
  <conditionalFormatting sqref="I17">
    <cfRule type="expression" dxfId="176" priority="117">
      <formula>I17&lt;6</formula>
    </cfRule>
    <cfRule type="expression" dxfId="175" priority="118">
      <formula>I17&gt;8</formula>
    </cfRule>
  </conditionalFormatting>
  <conditionalFormatting sqref="E24">
    <cfRule type="expression" dxfId="174" priority="113">
      <formula>E24&lt;45</formula>
    </cfRule>
    <cfRule type="expression" dxfId="173" priority="114">
      <formula>E24&gt;65</formula>
    </cfRule>
  </conditionalFormatting>
  <conditionalFormatting sqref="E25">
    <cfRule type="expression" dxfId="172" priority="111">
      <formula>E25&lt;45</formula>
    </cfRule>
    <cfRule type="expression" dxfId="171" priority="112">
      <formula>E25&gt;65</formula>
    </cfRule>
  </conditionalFormatting>
  <conditionalFormatting sqref="G33">
    <cfRule type="expression" dxfId="170" priority="105">
      <formula>G33&lt;100</formula>
    </cfRule>
    <cfRule type="expression" dxfId="169" priority="106">
      <formula>G33&gt;110</formula>
    </cfRule>
  </conditionalFormatting>
  <conditionalFormatting sqref="G24">
    <cfRule type="expression" dxfId="168" priority="103">
      <formula>G24&lt;45</formula>
    </cfRule>
    <cfRule type="expression" dxfId="167" priority="104">
      <formula>G24&gt;65</formula>
    </cfRule>
  </conditionalFormatting>
  <conditionalFormatting sqref="G25">
    <cfRule type="expression" dxfId="166" priority="101">
      <formula>G25&lt;45</formula>
    </cfRule>
    <cfRule type="expression" dxfId="165" priority="102">
      <formula>G25&gt;65</formula>
    </cfRule>
  </conditionalFormatting>
  <conditionalFormatting sqref="I24">
    <cfRule type="expression" dxfId="164" priority="95">
      <formula>I24&lt;45</formula>
    </cfRule>
    <cfRule type="expression" dxfId="163" priority="96">
      <formula>I24&gt;65</formula>
    </cfRule>
  </conditionalFormatting>
  <conditionalFormatting sqref="I25">
    <cfRule type="expression" dxfId="162" priority="93">
      <formula>I25&lt;45</formula>
    </cfRule>
    <cfRule type="expression" dxfId="161" priority="94">
      <formula>I25&gt;65</formula>
    </cfRule>
  </conditionalFormatting>
  <conditionalFormatting sqref="K33">
    <cfRule type="expression" dxfId="160" priority="87">
      <formula>K33&lt;100</formula>
    </cfRule>
    <cfRule type="expression" dxfId="159" priority="88">
      <formula>K33&gt;110</formula>
    </cfRule>
  </conditionalFormatting>
  <conditionalFormatting sqref="K24">
    <cfRule type="expression" dxfId="158" priority="85">
      <formula>K24&lt;45</formula>
    </cfRule>
    <cfRule type="expression" dxfId="157" priority="86">
      <formula>K24&gt;65</formula>
    </cfRule>
  </conditionalFormatting>
  <conditionalFormatting sqref="K25">
    <cfRule type="expression" dxfId="156" priority="83">
      <formula>K25&lt;45</formula>
    </cfRule>
    <cfRule type="expression" dxfId="155" priority="84">
      <formula>K25&gt;65</formula>
    </cfRule>
  </conditionalFormatting>
  <conditionalFormatting sqref="E26">
    <cfRule type="expression" dxfId="154" priority="77">
      <formula>E26&lt;18</formula>
    </cfRule>
    <cfRule type="expression" dxfId="153" priority="78">
      <formula>E26&gt;25</formula>
    </cfRule>
  </conditionalFormatting>
  <conditionalFormatting sqref="E27:E28">
    <cfRule type="expression" dxfId="152" priority="75">
      <formula>E27&lt;18</formula>
    </cfRule>
    <cfRule type="expression" dxfId="151" priority="76">
      <formula>E27&gt;25</formula>
    </cfRule>
  </conditionalFormatting>
  <conditionalFormatting sqref="G26:G28 I26:I28 K26:K28">
    <cfRule type="expression" dxfId="150" priority="73">
      <formula>G26&lt;18</formula>
    </cfRule>
    <cfRule type="expression" dxfId="149" priority="74">
      <formula>G26&gt;25</formula>
    </cfRule>
  </conditionalFormatting>
  <conditionalFormatting sqref="E18">
    <cfRule type="expression" dxfId="148" priority="55">
      <formula>E18&lt;5.5</formula>
    </cfRule>
    <cfRule type="expression" dxfId="147" priority="56">
      <formula>E18&gt;6</formula>
    </cfRule>
  </conditionalFormatting>
  <conditionalFormatting sqref="E19:E20">
    <cfRule type="expression" dxfId="146" priority="53">
      <formula>E19&lt;5.5</formula>
    </cfRule>
    <cfRule type="expression" dxfId="145" priority="54">
      <formula>E19&gt;6</formula>
    </cfRule>
  </conditionalFormatting>
  <conditionalFormatting sqref="I18">
    <cfRule type="expression" dxfId="144" priority="51">
      <formula>I18&lt;5.5</formula>
    </cfRule>
    <cfRule type="expression" dxfId="143" priority="52">
      <formula>I18&gt;6</formula>
    </cfRule>
  </conditionalFormatting>
  <conditionalFormatting sqref="I19:I20">
    <cfRule type="expression" dxfId="142" priority="49">
      <formula>I19&lt;5.5</formula>
    </cfRule>
    <cfRule type="expression" dxfId="141" priority="50">
      <formula>I19&gt;6</formula>
    </cfRule>
  </conditionalFormatting>
  <conditionalFormatting sqref="E30">
    <cfRule type="expression" dxfId="140" priority="45">
      <formula>E30&lt;55</formula>
    </cfRule>
    <cfRule type="expression" dxfId="139" priority="46">
      <formula>E30&gt;65</formula>
    </cfRule>
  </conditionalFormatting>
  <conditionalFormatting sqref="E32">
    <cfRule type="expression" dxfId="138" priority="43">
      <formula>E32&lt;55</formula>
    </cfRule>
    <cfRule type="expression" dxfId="137" priority="44">
      <formula>E32&gt;65</formula>
    </cfRule>
  </conditionalFormatting>
  <conditionalFormatting sqref="E31">
    <cfRule type="expression" dxfId="136" priority="41">
      <formula>E31&lt;42</formula>
    </cfRule>
    <cfRule type="expression" dxfId="135" priority="42">
      <formula>E31&gt;47</formula>
    </cfRule>
  </conditionalFormatting>
  <conditionalFormatting sqref="G30">
    <cfRule type="expression" dxfId="134" priority="37">
      <formula>G30&lt;55</formula>
    </cfRule>
    <cfRule type="expression" dxfId="133" priority="38">
      <formula>G30&gt;65</formula>
    </cfRule>
  </conditionalFormatting>
  <conditionalFormatting sqref="G32">
    <cfRule type="expression" dxfId="132" priority="35">
      <formula>G32&lt;55</formula>
    </cfRule>
    <cfRule type="expression" dxfId="131" priority="36">
      <formula>G32&gt;65</formula>
    </cfRule>
  </conditionalFormatting>
  <conditionalFormatting sqref="G31">
    <cfRule type="expression" dxfId="130" priority="33">
      <formula>G31&lt;42</formula>
    </cfRule>
    <cfRule type="expression" dxfId="129" priority="34">
      <formula>G31&gt;47</formula>
    </cfRule>
  </conditionalFormatting>
  <conditionalFormatting sqref="I30">
    <cfRule type="expression" dxfId="128" priority="29">
      <formula>I30&lt;55</formula>
    </cfRule>
    <cfRule type="expression" dxfId="127" priority="30">
      <formula>I30&gt;65</formula>
    </cfRule>
  </conditionalFormatting>
  <conditionalFormatting sqref="I32">
    <cfRule type="expression" dxfId="126" priority="27">
      <formula>I32&lt;55</formula>
    </cfRule>
    <cfRule type="expression" dxfId="125" priority="28">
      <formula>I32&gt;65</formula>
    </cfRule>
  </conditionalFormatting>
  <conditionalFormatting sqref="I31">
    <cfRule type="expression" dxfId="124" priority="25">
      <formula>I31&lt;42</formula>
    </cfRule>
    <cfRule type="expression" dxfId="123" priority="26">
      <formula>I31&gt;47</formula>
    </cfRule>
  </conditionalFormatting>
  <conditionalFormatting sqref="K30">
    <cfRule type="expression" dxfId="122" priority="21">
      <formula>K30&lt;55</formula>
    </cfRule>
    <cfRule type="expression" dxfId="121" priority="22">
      <formula>K30&gt;65</formula>
    </cfRule>
  </conditionalFormatting>
  <conditionalFormatting sqref="K32">
    <cfRule type="expression" dxfId="120" priority="19">
      <formula>K32&lt;55</formula>
    </cfRule>
    <cfRule type="expression" dxfId="119" priority="20">
      <formula>K32&gt;65</formula>
    </cfRule>
  </conditionalFormatting>
  <conditionalFormatting sqref="K31">
    <cfRule type="expression" dxfId="118" priority="17">
      <formula>K31&lt;42</formula>
    </cfRule>
    <cfRule type="expression" dxfId="117" priority="18">
      <formula>K31&gt;47</formula>
    </cfRule>
  </conditionalFormatting>
  <conditionalFormatting sqref="E29">
    <cfRule type="expression" dxfId="116" priority="7">
      <formula>E29&lt;45</formula>
    </cfRule>
    <cfRule type="expression" dxfId="115" priority="8">
      <formula>E29&gt;60</formula>
    </cfRule>
  </conditionalFormatting>
  <conditionalFormatting sqref="G29">
    <cfRule type="expression" dxfId="114" priority="5">
      <formula>G29&lt;45</formula>
    </cfRule>
    <cfRule type="expression" dxfId="113" priority="6">
      <formula>G29&gt;60</formula>
    </cfRule>
  </conditionalFormatting>
  <conditionalFormatting sqref="I29">
    <cfRule type="expression" dxfId="112" priority="3">
      <formula>I29&lt;45</formula>
    </cfRule>
    <cfRule type="expression" dxfId="111" priority="4">
      <formula>I29&gt;60</formula>
    </cfRule>
  </conditionalFormatting>
  <conditionalFormatting sqref="K29">
    <cfRule type="expression" dxfId="110" priority="1">
      <formula>K29&lt;45</formula>
    </cfRule>
    <cfRule type="expression" dxfId="109" priority="2">
      <formula>K29&gt;60</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3.xml><?xml version="1.0" encoding="utf-8"?>
<worksheet xmlns="http://schemas.openxmlformats.org/spreadsheetml/2006/main" xmlns:r="http://schemas.openxmlformats.org/officeDocument/2006/relationships">
  <sheetPr codeName="Sheet32">
    <tabColor rgb="FFC00000"/>
  </sheetPr>
  <dimension ref="A1:AY114"/>
  <sheetViews>
    <sheetView zoomScale="55" zoomScaleNormal="55" workbookViewId="0">
      <pane xSplit="7" ySplit="2" topLeftCell="H47" activePane="bottomRight" state="frozen"/>
      <selection pane="topRight" activeCell="H1" sqref="H1"/>
      <selection pane="bottomLeft" activeCell="A3" sqref="A3"/>
      <selection pane="bottomRight" activeCell="N55" sqref="N55:R55"/>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9.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6.5" style="319"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19" customWidth="1"/>
    <col min="43" max="43" width="13.875" style="12" hidden="1" customWidth="1"/>
    <col min="44" max="44" width="6.5" style="12" customWidth="1"/>
    <col min="45" max="45" width="19.625" style="12" customWidth="1"/>
    <col min="46" max="16384" width="9" style="12"/>
  </cols>
  <sheetData>
    <row r="1" spans="1:45" ht="39.75" customHeight="1">
      <c r="A1" s="416" t="s">
        <v>1538</v>
      </c>
      <c r="B1" s="417"/>
      <c r="C1" s="417"/>
      <c r="D1" s="417"/>
      <c r="E1" s="417"/>
      <c r="F1" s="417"/>
      <c r="G1" s="417"/>
      <c r="H1" s="417"/>
      <c r="I1" s="417"/>
      <c r="J1" s="417"/>
      <c r="K1" s="417"/>
      <c r="L1" s="417"/>
      <c r="M1" s="417"/>
      <c r="N1" s="417"/>
      <c r="O1" s="417"/>
      <c r="P1" s="417"/>
      <c r="Q1" s="417"/>
      <c r="R1" s="417"/>
      <c r="S1" s="417"/>
      <c r="T1" s="417"/>
      <c r="U1" s="417"/>
      <c r="V1" s="417"/>
      <c r="W1" s="417"/>
      <c r="X1" s="417"/>
      <c r="Y1" s="417"/>
      <c r="Z1" s="417"/>
      <c r="AA1" s="417"/>
      <c r="AB1" s="417"/>
      <c r="AC1" s="417"/>
      <c r="AD1" s="417"/>
      <c r="AE1" s="417"/>
      <c r="AF1" s="417"/>
      <c r="AH1" s="795"/>
      <c r="AI1" s="2100"/>
      <c r="AJ1" s="795" t="s">
        <v>174</v>
      </c>
      <c r="AK1" s="795" t="s">
        <v>174</v>
      </c>
      <c r="AL1" s="418"/>
      <c r="AM1" s="418"/>
      <c r="AN1" s="418"/>
      <c r="AO1" s="418"/>
      <c r="AP1" s="418"/>
      <c r="AQ1" s="418"/>
    </row>
    <row r="2" spans="1:45" ht="34.5" customHeight="1">
      <c r="A2" s="2138" t="str">
        <f>MENU!$AC$9</f>
        <v>Thứ 3,</v>
      </c>
      <c r="B2" s="2132" t="str">
        <f>MENU!$AD$9</f>
        <v>2024/01/09</v>
      </c>
      <c r="C2" s="417"/>
      <c r="D2" s="417"/>
      <c r="E2" s="417"/>
      <c r="F2" s="417"/>
      <c r="G2" s="417"/>
      <c r="H2" s="417"/>
      <c r="I2" s="417"/>
      <c r="J2" s="417"/>
      <c r="K2" s="417"/>
      <c r="L2" s="417"/>
      <c r="M2" s="417"/>
      <c r="N2" s="417"/>
      <c r="O2" s="417"/>
      <c r="P2" s="417"/>
      <c r="Q2" s="417"/>
      <c r="R2" s="417"/>
      <c r="S2" s="417"/>
      <c r="T2" s="417"/>
      <c r="U2" s="417"/>
      <c r="V2" s="417"/>
      <c r="W2" s="417"/>
      <c r="X2" s="417"/>
      <c r="Y2" s="417"/>
      <c r="Z2" s="417"/>
      <c r="AA2" s="417"/>
      <c r="AB2" s="417"/>
      <c r="AC2" s="417"/>
      <c r="AD2" s="417"/>
      <c r="AE2" s="417"/>
      <c r="AF2" s="417"/>
      <c r="AH2" s="795"/>
      <c r="AI2" s="2101"/>
      <c r="AJ2" s="795" t="s">
        <v>175</v>
      </c>
      <c r="AK2" s="795" t="s">
        <v>175</v>
      </c>
      <c r="AL2" s="418"/>
      <c r="AM2" s="418"/>
      <c r="AN2" s="418"/>
      <c r="AO2" s="418"/>
      <c r="AP2" s="418"/>
      <c r="AQ2" s="418"/>
    </row>
    <row r="3" spans="1:45" ht="41.25" customHeight="1">
      <c r="A3" s="2116" t="s">
        <v>422</v>
      </c>
      <c r="B3" s="2117"/>
      <c r="C3" s="2118"/>
      <c r="D3" s="2118"/>
      <c r="E3" s="2250" t="s">
        <v>1532</v>
      </c>
      <c r="F3" s="2119" t="s">
        <v>73</v>
      </c>
      <c r="G3" s="2120"/>
      <c r="H3" s="2121" t="s">
        <v>73</v>
      </c>
      <c r="I3" s="2121"/>
      <c r="J3" s="2121"/>
      <c r="K3" s="2121"/>
      <c r="L3" s="2121"/>
      <c r="M3" s="2121"/>
      <c r="N3" s="2121"/>
      <c r="O3" s="2121"/>
      <c r="P3" s="2121"/>
      <c r="Q3" s="2121"/>
      <c r="R3" s="2121"/>
      <c r="S3" s="2121"/>
      <c r="T3" s="2121"/>
      <c r="U3" s="2121"/>
      <c r="V3" s="2121"/>
      <c r="W3" s="2121"/>
      <c r="X3" s="2121"/>
      <c r="Y3" s="2121"/>
      <c r="Z3" s="2121"/>
      <c r="AA3" s="2121"/>
      <c r="AB3" s="2121"/>
      <c r="AC3" s="2121"/>
      <c r="AD3" s="2121"/>
      <c r="AE3" s="2121"/>
      <c r="AF3" s="2121"/>
      <c r="AG3" s="2121"/>
      <c r="AH3" s="2121"/>
      <c r="AI3" s="2122"/>
      <c r="AJ3" s="2121"/>
      <c r="AK3" s="2121"/>
      <c r="AL3" s="2121"/>
      <c r="AM3" s="2121"/>
      <c r="AN3" s="2121"/>
      <c r="AO3" s="2121"/>
      <c r="AP3" s="2121"/>
    </row>
    <row r="4" spans="1:45" s="319" customFormat="1" ht="33" hidden="1" customHeight="1">
      <c r="A4" s="1138"/>
      <c r="B4" s="2960" t="s">
        <v>77</v>
      </c>
      <c r="C4" s="2960"/>
      <c r="D4" s="2852" t="s">
        <v>125</v>
      </c>
      <c r="E4" s="3527" t="s">
        <v>65</v>
      </c>
      <c r="F4" s="420"/>
      <c r="G4" s="421"/>
      <c r="H4" s="3301" t="s">
        <v>473</v>
      </c>
      <c r="I4" s="3301"/>
      <c r="J4" s="3301"/>
      <c r="K4" s="3301"/>
      <c r="L4" s="3301"/>
      <c r="M4" s="1276"/>
      <c r="N4" s="3294" t="s">
        <v>1484</v>
      </c>
      <c r="O4" s="3294"/>
      <c r="P4" s="3294"/>
      <c r="Q4" s="3294"/>
      <c r="R4" s="3294"/>
      <c r="S4" s="1276"/>
      <c r="T4" s="3301" t="s">
        <v>1485</v>
      </c>
      <c r="U4" s="3301"/>
      <c r="V4" s="3301"/>
      <c r="W4" s="3301"/>
      <c r="X4" s="3301"/>
      <c r="Y4" s="1276"/>
      <c r="Z4" s="3301" t="s">
        <v>1486</v>
      </c>
      <c r="AA4" s="3301"/>
      <c r="AB4" s="3301"/>
      <c r="AC4" s="3301"/>
      <c r="AD4" s="3301"/>
      <c r="AE4" s="1276"/>
      <c r="AF4" s="3301" t="s">
        <v>1487</v>
      </c>
      <c r="AG4" s="3301"/>
      <c r="AH4" s="3301"/>
      <c r="AI4" s="3301"/>
      <c r="AJ4" s="3301"/>
      <c r="AK4" s="1276"/>
      <c r="AL4" s="3301" t="s">
        <v>1488</v>
      </c>
      <c r="AM4" s="3301"/>
      <c r="AN4" s="3301"/>
      <c r="AO4" s="3301"/>
      <c r="AP4" s="3301"/>
      <c r="AQ4" s="419"/>
    </row>
    <row r="5" spans="1:45" s="319" customFormat="1" ht="33" hidden="1" customHeight="1">
      <c r="A5" s="446" t="s">
        <v>239</v>
      </c>
      <c r="B5" s="2960"/>
      <c r="C5" s="2960"/>
      <c r="D5" s="3526"/>
      <c r="E5" s="3528"/>
      <c r="F5" s="424" t="s">
        <v>423</v>
      </c>
      <c r="G5" s="425"/>
      <c r="H5" s="1107" t="s">
        <v>732</v>
      </c>
      <c r="I5" s="305" t="s">
        <v>1</v>
      </c>
      <c r="J5" s="3529" t="s">
        <v>1</v>
      </c>
      <c r="K5" s="3529"/>
      <c r="L5" s="3529"/>
      <c r="M5" s="1139"/>
      <c r="N5" s="1107" t="s">
        <v>732</v>
      </c>
      <c r="O5" s="305" t="s">
        <v>1</v>
      </c>
      <c r="P5" s="3529" t="s">
        <v>1</v>
      </c>
      <c r="Q5" s="3529"/>
      <c r="R5" s="3530"/>
      <c r="S5" s="425"/>
      <c r="T5" s="1107" t="s">
        <v>732</v>
      </c>
      <c r="U5" s="305" t="s">
        <v>1</v>
      </c>
      <c r="V5" s="3529" t="s">
        <v>1</v>
      </c>
      <c r="W5" s="3529"/>
      <c r="X5" s="3530"/>
      <c r="Y5" s="1139"/>
      <c r="Z5" s="1107" t="s">
        <v>732</v>
      </c>
      <c r="AA5" s="305" t="s">
        <v>1</v>
      </c>
      <c r="AB5" s="3531" t="s">
        <v>1</v>
      </c>
      <c r="AC5" s="3531"/>
      <c r="AD5" s="3531"/>
      <c r="AE5" s="425"/>
      <c r="AF5" s="1107" t="s">
        <v>732</v>
      </c>
      <c r="AG5" s="305" t="s">
        <v>1</v>
      </c>
      <c r="AH5" s="3529" t="s">
        <v>1</v>
      </c>
      <c r="AI5" s="3529"/>
      <c r="AJ5" s="3530"/>
      <c r="AK5" s="1139"/>
      <c r="AL5" s="1107" t="s">
        <v>732</v>
      </c>
      <c r="AM5" s="305" t="s">
        <v>1</v>
      </c>
      <c r="AN5" s="3531" t="s">
        <v>1</v>
      </c>
      <c r="AO5" s="3531"/>
      <c r="AP5" s="3531"/>
      <c r="AQ5" s="446" t="s">
        <v>424</v>
      </c>
      <c r="AS5" s="1140" t="s">
        <v>1073</v>
      </c>
    </row>
    <row r="6" spans="1:45" ht="28.5" hidden="1" customHeight="1">
      <c r="A6" s="1141" t="s">
        <v>425</v>
      </c>
      <c r="B6" s="2954" t="s">
        <v>836</v>
      </c>
      <c r="C6" s="2956"/>
      <c r="D6" s="49" t="s">
        <v>3</v>
      </c>
      <c r="E6" s="50" t="s">
        <v>427</v>
      </c>
      <c r="F6" s="426">
        <v>12.5</v>
      </c>
      <c r="G6" s="427">
        <f>R.HN!C2</f>
        <v>0</v>
      </c>
      <c r="H6" s="1560">
        <f>(1*G6*36.5)/(1*10)</f>
        <v>0</v>
      </c>
      <c r="I6" s="1560">
        <f>($F$6-H6)*748/32</f>
        <v>292.1875</v>
      </c>
      <c r="J6" s="1561" t="s">
        <v>8</v>
      </c>
      <c r="K6" s="1544">
        <f>IF(H6=0,0,IF(I6&lt;0,0,I6))</f>
        <v>0</v>
      </c>
      <c r="L6" s="1561" t="s">
        <v>10</v>
      </c>
      <c r="M6" s="1563">
        <f>R.HN!D2</f>
        <v>0</v>
      </c>
      <c r="N6" s="1560">
        <f>(1*M6*36.5)/(1*10)</f>
        <v>0</v>
      </c>
      <c r="O6" s="1560">
        <f>($F$6-N6)*748/32</f>
        <v>292.1875</v>
      </c>
      <c r="P6" s="1561" t="s">
        <v>8</v>
      </c>
      <c r="Q6" s="1544">
        <f>IF(N6=0,0,IF(O6&lt;0,0,O6))</f>
        <v>0</v>
      </c>
      <c r="R6" s="1560" t="s">
        <v>10</v>
      </c>
      <c r="S6" s="1564">
        <f>R.HN!E2</f>
        <v>0</v>
      </c>
      <c r="T6" s="1560">
        <f>(1*S6*36.5)/(1*10)</f>
        <v>0</v>
      </c>
      <c r="U6" s="1560">
        <f>($F$6-T6)*748/32</f>
        <v>292.1875</v>
      </c>
      <c r="V6" s="1561" t="s">
        <v>8</v>
      </c>
      <c r="W6" s="1544">
        <f>IF(T6=0,0,IF(U6&lt;0,0,U6))</f>
        <v>0</v>
      </c>
      <c r="X6" s="1560" t="s">
        <v>10</v>
      </c>
      <c r="Y6" s="1564">
        <f>R.HN!F2</f>
        <v>0</v>
      </c>
      <c r="Z6" s="1560">
        <f>(1*Y6*36.5)/(1*10)</f>
        <v>0</v>
      </c>
      <c r="AA6" s="1560">
        <f>($F$6-Z6)*748/32</f>
        <v>292.1875</v>
      </c>
      <c r="AB6" s="1561" t="s">
        <v>8</v>
      </c>
      <c r="AC6" s="1544">
        <f>IF(Z6=0,0,IF(AA6&lt;0,0,AA6))</f>
        <v>0</v>
      </c>
      <c r="AD6" s="1560" t="s">
        <v>10</v>
      </c>
      <c r="AE6" s="1564">
        <f>R.HN!G2</f>
        <v>0</v>
      </c>
      <c r="AF6" s="1560">
        <f>(1*AE6*36.5)/(1*10)</f>
        <v>0</v>
      </c>
      <c r="AG6" s="1560">
        <f>($F$6-AF6)*748/32</f>
        <v>292.1875</v>
      </c>
      <c r="AH6" s="1561" t="s">
        <v>8</v>
      </c>
      <c r="AI6" s="1544">
        <f>IF(AF6=0,0,IF(AG6&lt;0,0,AG6))</f>
        <v>0</v>
      </c>
      <c r="AJ6" s="1560" t="s">
        <v>10</v>
      </c>
      <c r="AK6" s="1564">
        <f>R.HN!H2</f>
        <v>0</v>
      </c>
      <c r="AL6" s="1560">
        <f>(1*AK6*36.5)/(1*10)</f>
        <v>0</v>
      </c>
      <c r="AM6" s="1560">
        <f>($F$6-AL6)*748/32</f>
        <v>292.1875</v>
      </c>
      <c r="AN6" s="1561" t="s">
        <v>8</v>
      </c>
      <c r="AO6" s="1544">
        <f>IF(AL6=0,0,IF(AM6&lt;0,0,AM6))</f>
        <v>0</v>
      </c>
      <c r="AP6" s="282" t="s">
        <v>10</v>
      </c>
      <c r="AQ6" s="12" t="s">
        <v>428</v>
      </c>
      <c r="AS6" s="1142" t="s">
        <v>1022</v>
      </c>
    </row>
    <row r="7" spans="1:45" ht="28.5" hidden="1" customHeight="1">
      <c r="A7" s="1141" t="s">
        <v>429</v>
      </c>
      <c r="B7" s="2954" t="s">
        <v>837</v>
      </c>
      <c r="C7" s="2956"/>
      <c r="D7" s="49" t="s">
        <v>3</v>
      </c>
      <c r="E7" s="50" t="s">
        <v>427</v>
      </c>
      <c r="F7" s="426">
        <v>12.5</v>
      </c>
      <c r="G7" s="427">
        <f>R.HN!C3</f>
        <v>0</v>
      </c>
      <c r="H7" s="1560">
        <f>(1*G7*36.5)/(1*10)</f>
        <v>0</v>
      </c>
      <c r="I7" s="1560">
        <f>($F$6-H7)*748/32</f>
        <v>292.1875</v>
      </c>
      <c r="J7" s="1561" t="s">
        <v>8</v>
      </c>
      <c r="K7" s="1565">
        <f>IF(I7&lt;0,0,I7)</f>
        <v>292.1875</v>
      </c>
      <c r="L7" s="1561" t="s">
        <v>10</v>
      </c>
      <c r="M7" s="1563">
        <f>R.HN!D3</f>
        <v>0</v>
      </c>
      <c r="N7" s="1560">
        <f>(1*M7*36.5)/(1*10)</f>
        <v>0</v>
      </c>
      <c r="O7" s="1560">
        <f>($F$6-N7)*748/32</f>
        <v>292.1875</v>
      </c>
      <c r="P7" s="1561" t="s">
        <v>8</v>
      </c>
      <c r="Q7" s="1565">
        <f>IF(O7&lt;0,0,O7)</f>
        <v>292.1875</v>
      </c>
      <c r="R7" s="1560" t="s">
        <v>10</v>
      </c>
      <c r="S7" s="1564">
        <f>R.HN!E3</f>
        <v>0</v>
      </c>
      <c r="T7" s="1560">
        <f>(1*S7*36.5)/(1*10)</f>
        <v>0</v>
      </c>
      <c r="U7" s="1560">
        <f>($F$6-T7)*748/32</f>
        <v>292.1875</v>
      </c>
      <c r="V7" s="1561" t="s">
        <v>8</v>
      </c>
      <c r="W7" s="1565">
        <f>IF(U7&lt;0,0,U7)</f>
        <v>292.1875</v>
      </c>
      <c r="X7" s="1560" t="s">
        <v>10</v>
      </c>
      <c r="Y7" s="1564">
        <f>R.HN!F3</f>
        <v>0</v>
      </c>
      <c r="Z7" s="1560">
        <f>(1*Y7*36.5)/(1*10)</f>
        <v>0</v>
      </c>
      <c r="AA7" s="1560">
        <f>($F$6-Z7)*748/32</f>
        <v>292.1875</v>
      </c>
      <c r="AB7" s="1561" t="s">
        <v>8</v>
      </c>
      <c r="AC7" s="1565">
        <f>IF(AA7&lt;0,0,AA7)</f>
        <v>292.1875</v>
      </c>
      <c r="AD7" s="1560" t="s">
        <v>10</v>
      </c>
      <c r="AE7" s="1564">
        <f>R.HN!G3</f>
        <v>0</v>
      </c>
      <c r="AF7" s="1560">
        <f>(1*AE7*36.5)/(1*10)</f>
        <v>0</v>
      </c>
      <c r="AG7" s="1560">
        <f>($F$6-AF7)*748/32</f>
        <v>292.1875</v>
      </c>
      <c r="AH7" s="1561" t="s">
        <v>8</v>
      </c>
      <c r="AI7" s="1565">
        <f>IF(AG7&lt;0,0,AG7)</f>
        <v>292.1875</v>
      </c>
      <c r="AJ7" s="1560" t="s">
        <v>10</v>
      </c>
      <c r="AK7" s="1564">
        <f>R.HN!H3</f>
        <v>0</v>
      </c>
      <c r="AL7" s="1560">
        <f>(1*AK7*36.5)/(1*10)</f>
        <v>0</v>
      </c>
      <c r="AM7" s="1560">
        <f>($F$6-AL7)*748/32</f>
        <v>292.1875</v>
      </c>
      <c r="AN7" s="1561" t="s">
        <v>8</v>
      </c>
      <c r="AO7" s="1565">
        <f>IF(AM7&lt;0,0,AM7)</f>
        <v>292.1875</v>
      </c>
      <c r="AP7" s="282" t="s">
        <v>10</v>
      </c>
      <c r="AQ7" s="12" t="s">
        <v>428</v>
      </c>
    </row>
    <row r="8" spans="1:45" ht="33.75" hidden="1" customHeight="1">
      <c r="A8" s="1141" t="s">
        <v>430</v>
      </c>
      <c r="B8" s="1145" t="s">
        <v>786</v>
      </c>
      <c r="C8" s="3532">
        <f>R.HN!B4</f>
        <v>3</v>
      </c>
      <c r="D8" s="1146" t="s">
        <v>432</v>
      </c>
      <c r="E8" s="50" t="s">
        <v>1432</v>
      </c>
      <c r="F8" s="430">
        <v>50</v>
      </c>
      <c r="G8" s="427">
        <f>R.HN!C4</f>
        <v>0</v>
      </c>
      <c r="H8" s="1560">
        <f>G8*10</f>
        <v>0</v>
      </c>
      <c r="I8" s="1560">
        <f>($F$8-H8)*2*694/1000</f>
        <v>69.400000000000006</v>
      </c>
      <c r="J8" s="1561" t="s">
        <v>8</v>
      </c>
      <c r="K8" s="1544">
        <f>IF(H8=0,0,IF(I8&lt;0,0,I8))</f>
        <v>0</v>
      </c>
      <c r="L8" s="1561" t="s">
        <v>9</v>
      </c>
      <c r="M8" s="1563">
        <f>R.HN!D4</f>
        <v>0</v>
      </c>
      <c r="N8" s="1560">
        <f>M8*10</f>
        <v>0</v>
      </c>
      <c r="O8" s="1560">
        <f>($F$8-N8)*2*694/1000</f>
        <v>69.400000000000006</v>
      </c>
      <c r="P8" s="1561" t="s">
        <v>8</v>
      </c>
      <c r="Q8" s="1544">
        <f>IF(N8=0,0,IF(O8&lt;0,0,O8))</f>
        <v>0</v>
      </c>
      <c r="R8" s="1560" t="s">
        <v>9</v>
      </c>
      <c r="S8" s="1564">
        <f>R.HN!E4</f>
        <v>0</v>
      </c>
      <c r="T8" s="1560">
        <f>S8*10</f>
        <v>0</v>
      </c>
      <c r="U8" s="1560">
        <f>($F$8-T8)*2*694/1000</f>
        <v>69.400000000000006</v>
      </c>
      <c r="V8" s="1561" t="s">
        <v>8</v>
      </c>
      <c r="W8" s="1544">
        <f>IF(T8=0,0,IF(U8&lt;0,0,U8))</f>
        <v>0</v>
      </c>
      <c r="X8" s="1560" t="s">
        <v>9</v>
      </c>
      <c r="Y8" s="1564">
        <f>R.HN!F4</f>
        <v>0</v>
      </c>
      <c r="Z8" s="1560">
        <f>Y8*10</f>
        <v>0</v>
      </c>
      <c r="AA8" s="1560">
        <f>($F$8-Z8)*2*694/1000</f>
        <v>69.400000000000006</v>
      </c>
      <c r="AB8" s="1561" t="s">
        <v>8</v>
      </c>
      <c r="AC8" s="1544">
        <f>IF(Z8=0,0,IF(AA8&lt;0,0,AA8))</f>
        <v>0</v>
      </c>
      <c r="AD8" s="1560" t="s">
        <v>9</v>
      </c>
      <c r="AE8" s="1564">
        <f>R.HN!G4</f>
        <v>0</v>
      </c>
      <c r="AF8" s="1560">
        <f>AE8*10</f>
        <v>0</v>
      </c>
      <c r="AG8" s="1560">
        <f>($F$8-AF8)*2*694/1000</f>
        <v>69.400000000000006</v>
      </c>
      <c r="AH8" s="1561" t="s">
        <v>8</v>
      </c>
      <c r="AI8" s="1544">
        <f>IF(AF8=0,0,IF(AG8&lt;0,0,AG8))</f>
        <v>0</v>
      </c>
      <c r="AJ8" s="1560" t="s">
        <v>9</v>
      </c>
      <c r="AK8" s="1564">
        <f>R.HN!H4</f>
        <v>0</v>
      </c>
      <c r="AL8" s="1560">
        <f>AK8*10</f>
        <v>0</v>
      </c>
      <c r="AM8" s="1560">
        <f>($F$8-AL8)*2*694/1000</f>
        <v>69.400000000000006</v>
      </c>
      <c r="AN8" s="1561" t="s">
        <v>8</v>
      </c>
      <c r="AO8" s="1544">
        <f>IF(AL8=0,0,IF(AM8&lt;0,0,AM8))</f>
        <v>0</v>
      </c>
      <c r="AP8" s="282" t="s">
        <v>9</v>
      </c>
      <c r="AQ8" s="12" t="s">
        <v>428</v>
      </c>
      <c r="AS8" s="1142" t="s">
        <v>1024</v>
      </c>
    </row>
    <row r="9" spans="1:45" ht="33.75" hidden="1" customHeight="1">
      <c r="A9" s="1109" t="s">
        <v>433</v>
      </c>
      <c r="B9" s="1147" t="s">
        <v>787</v>
      </c>
      <c r="C9" s="3533"/>
      <c r="D9" s="1146" t="s">
        <v>432</v>
      </c>
      <c r="E9" s="50" t="s">
        <v>1075</v>
      </c>
      <c r="F9" s="431">
        <v>6.5</v>
      </c>
      <c r="G9" s="427">
        <f>R.HN!C5</f>
        <v>0</v>
      </c>
      <c r="H9" s="1560">
        <f>IFERROR(H8/G9,0)</f>
        <v>0</v>
      </c>
      <c r="I9" s="1560">
        <f>($F$9-H9)*694/1000</f>
        <v>4.5110000000000001</v>
      </c>
      <c r="J9" s="1561"/>
      <c r="K9" s="1544">
        <f>IF(H9=0,0,IF(I9&lt;0,0,I9))</f>
        <v>0</v>
      </c>
      <c r="L9" s="1561" t="s">
        <v>9</v>
      </c>
      <c r="M9" s="1563">
        <f>R.HN!D5</f>
        <v>0</v>
      </c>
      <c r="N9" s="1560">
        <f>IFERROR(N8/M9,0)</f>
        <v>0</v>
      </c>
      <c r="O9" s="1560">
        <f>($F$9-N9)*694/1000</f>
        <v>4.5110000000000001</v>
      </c>
      <c r="P9" s="1561"/>
      <c r="Q9" s="1544">
        <f>IF(N9=0,0,IF(O9&lt;0,0,O9))</f>
        <v>0</v>
      </c>
      <c r="R9" s="1560" t="s">
        <v>9</v>
      </c>
      <c r="S9" s="1564">
        <f>R.HN!E5</f>
        <v>0</v>
      </c>
      <c r="T9" s="1560">
        <f>IFERROR(T8/S9,0)</f>
        <v>0</v>
      </c>
      <c r="U9" s="1560">
        <f>($F$9-T9)*694/1000</f>
        <v>4.5110000000000001</v>
      </c>
      <c r="V9" s="1561"/>
      <c r="W9" s="1544">
        <f>IF(T9=0,0,IF(U9&lt;0,0,U9))</f>
        <v>0</v>
      </c>
      <c r="X9" s="1560" t="s">
        <v>9</v>
      </c>
      <c r="Y9" s="1564">
        <f>R.HN!F5</f>
        <v>0</v>
      </c>
      <c r="Z9" s="1560">
        <f>IFERROR(Z8/Y9,0)</f>
        <v>0</v>
      </c>
      <c r="AA9" s="1560">
        <f>($F$9-Z9)*694/1000</f>
        <v>4.5110000000000001</v>
      </c>
      <c r="AB9" s="1561"/>
      <c r="AC9" s="1544">
        <f>IF(Z9=0,0,IF(AA9&lt;0,0,AA9))</f>
        <v>0</v>
      </c>
      <c r="AD9" s="1560" t="s">
        <v>9</v>
      </c>
      <c r="AE9" s="1564">
        <f>R.HN!G5</f>
        <v>0</v>
      </c>
      <c r="AF9" s="1560">
        <f>IFERROR(AF8/AE9,0)</f>
        <v>0</v>
      </c>
      <c r="AG9" s="1560">
        <f>($F$9-AF9)*694/1000</f>
        <v>4.5110000000000001</v>
      </c>
      <c r="AH9" s="1561"/>
      <c r="AI9" s="1544">
        <f>IF(AF9=0,0,IF(AG9&lt;0,0,AG9))</f>
        <v>0</v>
      </c>
      <c r="AJ9" s="1560" t="s">
        <v>9</v>
      </c>
      <c r="AK9" s="1564">
        <f>R.HN!H5</f>
        <v>0</v>
      </c>
      <c r="AL9" s="1560">
        <f>IFERROR(AL8/AK9,0)</f>
        <v>0</v>
      </c>
      <c r="AM9" s="1560">
        <f>($F$9-AL9)*694/1000</f>
        <v>4.5110000000000001</v>
      </c>
      <c r="AN9" s="1561"/>
      <c r="AO9" s="1544">
        <f>IF(AL9=0,0,IF(AM9&lt;0,0,AM9))</f>
        <v>0</v>
      </c>
      <c r="AP9" s="282" t="s">
        <v>9</v>
      </c>
      <c r="AQ9" s="12" t="s">
        <v>428</v>
      </c>
      <c r="AS9" s="1142" t="s">
        <v>1025</v>
      </c>
    </row>
    <row r="10" spans="1:45" ht="33.75" hidden="1" customHeight="1">
      <c r="A10" s="1141" t="s">
        <v>434</v>
      </c>
      <c r="B10" s="1148" t="s">
        <v>788</v>
      </c>
      <c r="C10" s="3534"/>
      <c r="D10" s="1146" t="s">
        <v>432</v>
      </c>
      <c r="E10" s="50" t="s">
        <v>1076</v>
      </c>
      <c r="F10" s="426">
        <v>0.4</v>
      </c>
      <c r="G10" s="427">
        <f>R.HN!C6</f>
        <v>0</v>
      </c>
      <c r="H10" s="1560">
        <f>G10</f>
        <v>0</v>
      </c>
      <c r="I10" s="1560">
        <f>($F$10-H10)*5</f>
        <v>2</v>
      </c>
      <c r="J10" s="1561"/>
      <c r="K10" s="1565"/>
      <c r="L10" s="1561"/>
      <c r="M10" s="1563">
        <f>R.HN!D6</f>
        <v>0</v>
      </c>
      <c r="N10" s="1560">
        <f>M10</f>
        <v>0</v>
      </c>
      <c r="O10" s="1560">
        <f>($F$10-N10)*5</f>
        <v>2</v>
      </c>
      <c r="P10" s="1561"/>
      <c r="Q10" s="1565"/>
      <c r="R10" s="1560"/>
      <c r="S10" s="1564">
        <f>R.HN!E6</f>
        <v>0</v>
      </c>
      <c r="T10" s="1560">
        <f>S10</f>
        <v>0</v>
      </c>
      <c r="U10" s="1560">
        <f>($F$10-T10)*5</f>
        <v>2</v>
      </c>
      <c r="V10" s="1561"/>
      <c r="W10" s="1565"/>
      <c r="X10" s="1560"/>
      <c r="Y10" s="1564">
        <f>R.HN!F6</f>
        <v>0</v>
      </c>
      <c r="Z10" s="1560">
        <f>Y10</f>
        <v>0</v>
      </c>
      <c r="AA10" s="1560">
        <f>($F$10-Z10)*5</f>
        <v>2</v>
      </c>
      <c r="AB10" s="1561"/>
      <c r="AC10" s="1565"/>
      <c r="AD10" s="1560"/>
      <c r="AE10" s="1564">
        <f>R.HN!G6</f>
        <v>0</v>
      </c>
      <c r="AF10" s="1560">
        <f>AE10</f>
        <v>0</v>
      </c>
      <c r="AG10" s="1560">
        <f>($F$10-AF10)*5</f>
        <v>2</v>
      </c>
      <c r="AH10" s="1561"/>
      <c r="AI10" s="1565"/>
      <c r="AJ10" s="1560"/>
      <c r="AK10" s="1564">
        <f>R.HN!H6</f>
        <v>0</v>
      </c>
      <c r="AL10" s="1560">
        <f>AK10</f>
        <v>0</v>
      </c>
      <c r="AM10" s="1560">
        <f>($F$10-AL10)*5</f>
        <v>2</v>
      </c>
      <c r="AN10" s="1561"/>
      <c r="AO10" s="1565"/>
      <c r="AP10" s="282"/>
      <c r="AQ10" s="12" t="s">
        <v>428</v>
      </c>
      <c r="AS10" s="1142" t="s">
        <v>1026</v>
      </c>
    </row>
    <row r="11" spans="1:45" ht="33.75" hidden="1" customHeight="1">
      <c r="A11" s="1141" t="s">
        <v>436</v>
      </c>
      <c r="B11" s="1145" t="s">
        <v>786</v>
      </c>
      <c r="C11" s="3532">
        <f>R.HN!B7</f>
        <v>4</v>
      </c>
      <c r="D11" s="1146" t="s">
        <v>432</v>
      </c>
      <c r="E11" s="50" t="s">
        <v>1432</v>
      </c>
      <c r="F11" s="430">
        <v>50</v>
      </c>
      <c r="G11" s="427">
        <f>R.HN!C7</f>
        <v>0</v>
      </c>
      <c r="H11" s="1560">
        <f>G11*10</f>
        <v>0</v>
      </c>
      <c r="I11" s="1560">
        <f>($F$8-H11)*2*694/1000</f>
        <v>69.400000000000006</v>
      </c>
      <c r="J11" s="1561" t="s">
        <v>8</v>
      </c>
      <c r="K11" s="1544">
        <f>IF(H11=0,0,IF(I11&lt;0,0,I11))</f>
        <v>0</v>
      </c>
      <c r="L11" s="1561" t="s">
        <v>9</v>
      </c>
      <c r="M11" s="1563">
        <f>R.HN!D7</f>
        <v>0</v>
      </c>
      <c r="N11" s="1560">
        <f>M11*10</f>
        <v>0</v>
      </c>
      <c r="O11" s="1560">
        <f>($F$8-N11)*2*694/1000</f>
        <v>69.400000000000006</v>
      </c>
      <c r="P11" s="1561" t="s">
        <v>8</v>
      </c>
      <c r="Q11" s="1544">
        <f>IF(N11=0,0,IF(O11&lt;0,0,O11))</f>
        <v>0</v>
      </c>
      <c r="R11" s="1560" t="s">
        <v>9</v>
      </c>
      <c r="S11" s="1564">
        <f>R.HN!E7</f>
        <v>0</v>
      </c>
      <c r="T11" s="1560">
        <f>S11*10</f>
        <v>0</v>
      </c>
      <c r="U11" s="1560">
        <f>($F$8-T11)*2*694/1000</f>
        <v>69.400000000000006</v>
      </c>
      <c r="V11" s="1561" t="s">
        <v>8</v>
      </c>
      <c r="W11" s="1544">
        <f>IF(T11=0,0,IF(U11&lt;0,0,U11))</f>
        <v>0</v>
      </c>
      <c r="X11" s="1560" t="s">
        <v>9</v>
      </c>
      <c r="Y11" s="1564">
        <f>R.HN!F7</f>
        <v>0</v>
      </c>
      <c r="Z11" s="1560">
        <f>Y11*10</f>
        <v>0</v>
      </c>
      <c r="AA11" s="1560">
        <f>($F$8-Z11)*2*694/1000</f>
        <v>69.400000000000006</v>
      </c>
      <c r="AB11" s="1561" t="s">
        <v>8</v>
      </c>
      <c r="AC11" s="1544">
        <f>IF(Z11=0,0,IF(AA11&lt;0,0,AA11))</f>
        <v>0</v>
      </c>
      <c r="AD11" s="1560" t="s">
        <v>9</v>
      </c>
      <c r="AE11" s="1564">
        <f>R.HN!G7</f>
        <v>0</v>
      </c>
      <c r="AF11" s="1560">
        <f>AE11*10</f>
        <v>0</v>
      </c>
      <c r="AG11" s="1560">
        <f>($F$8-AF11)*2*694/1000</f>
        <v>69.400000000000006</v>
      </c>
      <c r="AH11" s="1561" t="s">
        <v>8</v>
      </c>
      <c r="AI11" s="1544">
        <f>IF(AF11=0,0,IF(AG11&lt;0,0,AG11))</f>
        <v>0</v>
      </c>
      <c r="AJ11" s="1560" t="s">
        <v>9</v>
      </c>
      <c r="AK11" s="1564">
        <f>R.HN!H7</f>
        <v>0</v>
      </c>
      <c r="AL11" s="1560">
        <f>AK11*10</f>
        <v>0</v>
      </c>
      <c r="AM11" s="1560">
        <f>($F$8-AL11)*2*694/1000</f>
        <v>69.400000000000006</v>
      </c>
      <c r="AN11" s="1561" t="s">
        <v>8</v>
      </c>
      <c r="AO11" s="1544">
        <f>IF(AL11=0,0,IF(AM11&lt;0,0,AM11))</f>
        <v>0</v>
      </c>
      <c r="AP11" s="282" t="s">
        <v>9</v>
      </c>
      <c r="AQ11" s="12" t="s">
        <v>428</v>
      </c>
      <c r="AS11" s="1142" t="s">
        <v>1024</v>
      </c>
    </row>
    <row r="12" spans="1:45" ht="31.5" hidden="1" customHeight="1">
      <c r="A12" s="1141" t="s">
        <v>438</v>
      </c>
      <c r="B12" s="1147" t="s">
        <v>787</v>
      </c>
      <c r="C12" s="3533"/>
      <c r="D12" s="1146" t="s">
        <v>432</v>
      </c>
      <c r="E12" s="50" t="s">
        <v>1075</v>
      </c>
      <c r="F12" s="431">
        <v>6.5</v>
      </c>
      <c r="G12" s="427">
        <f>R.HN!C8</f>
        <v>0</v>
      </c>
      <c r="H12" s="1560">
        <f>IFERROR(H11/G12,0)</f>
        <v>0</v>
      </c>
      <c r="I12" s="1560">
        <f>($F$9-H12)*694/1000</f>
        <v>4.5110000000000001</v>
      </c>
      <c r="J12" s="1561"/>
      <c r="K12" s="1544">
        <f>IF(H12=0,0,IF(I12&lt;0,0,I12))</f>
        <v>0</v>
      </c>
      <c r="L12" s="1561" t="s">
        <v>9</v>
      </c>
      <c r="M12" s="1563">
        <f>R.HN!D8</f>
        <v>0</v>
      </c>
      <c r="N12" s="1560">
        <f>IFERROR(N11/M12,0)</f>
        <v>0</v>
      </c>
      <c r="O12" s="1560">
        <f>($F$9-N12)*694/1000</f>
        <v>4.5110000000000001</v>
      </c>
      <c r="P12" s="1561"/>
      <c r="Q12" s="1544">
        <f>IF(N12=0,0,IF(O12&lt;0,0,O12))</f>
        <v>0</v>
      </c>
      <c r="R12" s="1560" t="s">
        <v>9</v>
      </c>
      <c r="S12" s="1564">
        <f>R.HN!E8</f>
        <v>0</v>
      </c>
      <c r="T12" s="1560">
        <f>IFERROR(T11/S12,0)</f>
        <v>0</v>
      </c>
      <c r="U12" s="1560">
        <f>($F$9-T12)*694/1000</f>
        <v>4.5110000000000001</v>
      </c>
      <c r="V12" s="1561"/>
      <c r="W12" s="1544">
        <f>IF(T12=0,0,IF(U12&lt;0,0,U12))</f>
        <v>0</v>
      </c>
      <c r="X12" s="1560" t="s">
        <v>9</v>
      </c>
      <c r="Y12" s="1564">
        <f>R.HN!F8</f>
        <v>0</v>
      </c>
      <c r="Z12" s="1560">
        <f>IFERROR(Z11/Y12,0)</f>
        <v>0</v>
      </c>
      <c r="AA12" s="1560">
        <f>($F$9-Z12)*694/1000</f>
        <v>4.5110000000000001</v>
      </c>
      <c r="AB12" s="1561"/>
      <c r="AC12" s="1544">
        <f>IF(Z12=0,0,IF(AA12&lt;0,0,AA12))</f>
        <v>0</v>
      </c>
      <c r="AD12" s="1560" t="s">
        <v>9</v>
      </c>
      <c r="AE12" s="1564">
        <f>R.HN!G8</f>
        <v>0</v>
      </c>
      <c r="AF12" s="1560">
        <f>IFERROR(AF11/AE12,0)</f>
        <v>0</v>
      </c>
      <c r="AG12" s="1560">
        <f>($F$9-AF12)*694/1000</f>
        <v>4.5110000000000001</v>
      </c>
      <c r="AH12" s="1561"/>
      <c r="AI12" s="1544">
        <f>IF(AF12=0,0,IF(AG12&lt;0,0,AG12))</f>
        <v>0</v>
      </c>
      <c r="AJ12" s="1560" t="s">
        <v>9</v>
      </c>
      <c r="AK12" s="1564">
        <f>R.HN!H8</f>
        <v>0</v>
      </c>
      <c r="AL12" s="1560">
        <f>IFERROR(AL11/AK12,0)</f>
        <v>0</v>
      </c>
      <c r="AM12" s="1560">
        <f>($F$9-AL12)*694/1000</f>
        <v>4.5110000000000001</v>
      </c>
      <c r="AN12" s="1561"/>
      <c r="AO12" s="1544">
        <f>IF(AL12=0,0,IF(AM12&lt;0,0,AM12))</f>
        <v>0</v>
      </c>
      <c r="AP12" s="282" t="s">
        <v>9</v>
      </c>
      <c r="AQ12" s="12" t="s">
        <v>428</v>
      </c>
      <c r="AS12" s="1142" t="s">
        <v>1025</v>
      </c>
    </row>
    <row r="13" spans="1:45" ht="31.5" hidden="1" customHeight="1">
      <c r="A13" s="1141" t="s">
        <v>439</v>
      </c>
      <c r="B13" s="1148" t="s">
        <v>788</v>
      </c>
      <c r="C13" s="3534"/>
      <c r="D13" s="1146" t="s">
        <v>432</v>
      </c>
      <c r="E13" s="50" t="s">
        <v>1076</v>
      </c>
      <c r="F13" s="426">
        <v>0.4</v>
      </c>
      <c r="G13" s="427">
        <f>R.HN!C9</f>
        <v>0</v>
      </c>
      <c r="H13" s="1555">
        <f>G13</f>
        <v>0</v>
      </c>
      <c r="I13" s="1555">
        <f>($F$10-H13)*5</f>
        <v>2</v>
      </c>
      <c r="J13" s="1556"/>
      <c r="K13" s="1565"/>
      <c r="L13" s="1556"/>
      <c r="M13" s="1558">
        <f>R.HN!D9</f>
        <v>0</v>
      </c>
      <c r="N13" s="1555">
        <f>M13</f>
        <v>0</v>
      </c>
      <c r="O13" s="1555">
        <f>($F$10-N13)*5</f>
        <v>2</v>
      </c>
      <c r="P13" s="1556"/>
      <c r="Q13" s="1565"/>
      <c r="R13" s="1555"/>
      <c r="S13" s="1559">
        <f>R.HN!E9</f>
        <v>0</v>
      </c>
      <c r="T13" s="1555">
        <f>S13</f>
        <v>0</v>
      </c>
      <c r="U13" s="1555">
        <f>($F$10-T13)*5</f>
        <v>2</v>
      </c>
      <c r="V13" s="1556"/>
      <c r="W13" s="1565"/>
      <c r="X13" s="1555"/>
      <c r="Y13" s="1559">
        <f>R.HN!F9</f>
        <v>0</v>
      </c>
      <c r="Z13" s="1555">
        <f>Y13</f>
        <v>0</v>
      </c>
      <c r="AA13" s="1555">
        <f>($F$10-Z13)*5</f>
        <v>2</v>
      </c>
      <c r="AB13" s="1556"/>
      <c r="AC13" s="1565"/>
      <c r="AD13" s="1555"/>
      <c r="AE13" s="1559">
        <f>R.HN!G9</f>
        <v>0</v>
      </c>
      <c r="AF13" s="1555">
        <f>AE13</f>
        <v>0</v>
      </c>
      <c r="AG13" s="1555">
        <f>($F$10-AF13)*5</f>
        <v>2</v>
      </c>
      <c r="AH13" s="1556"/>
      <c r="AI13" s="1565"/>
      <c r="AJ13" s="1555"/>
      <c r="AK13" s="1559">
        <f>R.HN!H9</f>
        <v>0</v>
      </c>
      <c r="AL13" s="1555">
        <f>AK13</f>
        <v>0</v>
      </c>
      <c r="AM13" s="1560">
        <f>($F$10-AL13)*5</f>
        <v>2</v>
      </c>
      <c r="AN13" s="1561"/>
      <c r="AO13" s="1565"/>
      <c r="AP13" s="282"/>
      <c r="AQ13" s="12" t="s">
        <v>428</v>
      </c>
      <c r="AS13" s="1142" t="s">
        <v>1026</v>
      </c>
    </row>
    <row r="14" spans="1:45" ht="31.5" hidden="1" customHeight="1">
      <c r="A14" s="1141" t="s">
        <v>440</v>
      </c>
      <c r="B14" s="1149" t="s">
        <v>441</v>
      </c>
      <c r="C14" s="1150"/>
      <c r="D14" s="1109" t="s">
        <v>432</v>
      </c>
      <c r="E14" s="50" t="s">
        <v>442</v>
      </c>
      <c r="F14" s="431">
        <v>1</v>
      </c>
      <c r="G14" s="427">
        <f>R.HN!C10</f>
        <v>0</v>
      </c>
      <c r="H14" s="1560">
        <f>G14</f>
        <v>0</v>
      </c>
      <c r="I14" s="1560">
        <f>($F$14-H14)*546/1000*8</f>
        <v>4.3680000000000003</v>
      </c>
      <c r="J14" s="1561" t="s">
        <v>8</v>
      </c>
      <c r="K14" s="1543">
        <f>IF(H14=0,0,IF(I14&lt;0,0,I14))</f>
        <v>0</v>
      </c>
      <c r="L14" s="1561" t="s">
        <v>9</v>
      </c>
      <c r="M14" s="1563">
        <f>R.HN!D10</f>
        <v>0</v>
      </c>
      <c r="N14" s="1560">
        <f>M14</f>
        <v>0</v>
      </c>
      <c r="O14" s="1560">
        <f>($F$14-N14)*546/1000*8</f>
        <v>4.3680000000000003</v>
      </c>
      <c r="P14" s="1561" t="s">
        <v>8</v>
      </c>
      <c r="Q14" s="1543">
        <f>IF(N14=0,0,IF(O14&lt;0,0,O14))</f>
        <v>0</v>
      </c>
      <c r="R14" s="1560" t="s">
        <v>9</v>
      </c>
      <c r="S14" s="1564">
        <f>R.HN!E10</f>
        <v>0</v>
      </c>
      <c r="T14" s="1560">
        <f>S14</f>
        <v>0</v>
      </c>
      <c r="U14" s="1560">
        <f>($F$14-T14)*546/1000*8</f>
        <v>4.3680000000000003</v>
      </c>
      <c r="V14" s="1561" t="s">
        <v>8</v>
      </c>
      <c r="W14" s="1543">
        <f>IF(T14=0,0,IF(U14&lt;0,0,U14))</f>
        <v>0</v>
      </c>
      <c r="X14" s="1560" t="s">
        <v>9</v>
      </c>
      <c r="Y14" s="1564">
        <f>R.HN!F10</f>
        <v>0</v>
      </c>
      <c r="Z14" s="1560">
        <f>Y14</f>
        <v>0</v>
      </c>
      <c r="AA14" s="1560">
        <f>($F$14-Z14)*546/1000*8</f>
        <v>4.3680000000000003</v>
      </c>
      <c r="AB14" s="1561" t="s">
        <v>8</v>
      </c>
      <c r="AC14" s="1543">
        <f>IF(Z14=0,0,IF(AA14&lt;0,0,AA14))</f>
        <v>0</v>
      </c>
      <c r="AD14" s="1560" t="s">
        <v>9</v>
      </c>
      <c r="AE14" s="1564">
        <f>R.HN!G10</f>
        <v>0</v>
      </c>
      <c r="AF14" s="1560">
        <f>AE14</f>
        <v>0</v>
      </c>
      <c r="AG14" s="1560">
        <f>($F$14-AF14)*546/1000*8</f>
        <v>4.3680000000000003</v>
      </c>
      <c r="AH14" s="1561" t="s">
        <v>8</v>
      </c>
      <c r="AI14" s="1543">
        <f>IF(AF14=0,0,IF(AG14&lt;0,0,AG14))</f>
        <v>0</v>
      </c>
      <c r="AJ14" s="1560" t="s">
        <v>9</v>
      </c>
      <c r="AK14" s="1564">
        <f>R.HN!H10</f>
        <v>0</v>
      </c>
      <c r="AL14" s="1560">
        <f>AK14</f>
        <v>0</v>
      </c>
      <c r="AM14" s="1560">
        <f>($F$14-AL14)*546/1000*8</f>
        <v>4.3680000000000003</v>
      </c>
      <c r="AN14" s="1561" t="s">
        <v>8</v>
      </c>
      <c r="AO14" s="1543">
        <f>IF(AL14=0,0,IF(AM14&lt;0,0,AM14))</f>
        <v>0</v>
      </c>
      <c r="AP14" s="282" t="s">
        <v>9</v>
      </c>
      <c r="AQ14" s="12" t="s">
        <v>428</v>
      </c>
      <c r="AS14" s="418"/>
    </row>
    <row r="15" spans="1:45" ht="31.5" hidden="1" customHeight="1">
      <c r="A15" s="1141" t="s">
        <v>443</v>
      </c>
      <c r="B15" s="1151" t="s">
        <v>5</v>
      </c>
      <c r="C15" s="1152"/>
      <c r="D15" s="1109" t="s">
        <v>5</v>
      </c>
      <c r="E15" s="50" t="s">
        <v>444</v>
      </c>
      <c r="F15" s="433">
        <v>9.5</v>
      </c>
      <c r="G15" s="427">
        <f>R.HN!C11</f>
        <v>0</v>
      </c>
      <c r="H15" s="1560">
        <f>G15</f>
        <v>0</v>
      </c>
      <c r="I15" s="1560"/>
      <c r="J15" s="1561"/>
      <c r="K15" s="1562"/>
      <c r="L15" s="1561"/>
      <c r="M15" s="1563">
        <f>R.HN!D11</f>
        <v>0</v>
      </c>
      <c r="N15" s="1560">
        <f>M15</f>
        <v>0</v>
      </c>
      <c r="O15" s="1560"/>
      <c r="P15" s="1561"/>
      <c r="Q15" s="1562"/>
      <c r="R15" s="1560"/>
      <c r="S15" s="1564">
        <f>R.HN!E11</f>
        <v>0</v>
      </c>
      <c r="T15" s="1560">
        <f>S15</f>
        <v>0</v>
      </c>
      <c r="U15" s="1560"/>
      <c r="V15" s="1561"/>
      <c r="W15" s="1562"/>
      <c r="X15" s="1560"/>
      <c r="Y15" s="1564">
        <f>R.HN!F11</f>
        <v>0</v>
      </c>
      <c r="Z15" s="1560">
        <f>Y15</f>
        <v>0</v>
      </c>
      <c r="AA15" s="1560"/>
      <c r="AB15" s="1561"/>
      <c r="AC15" s="1562"/>
      <c r="AD15" s="1560"/>
      <c r="AE15" s="1564">
        <f>R.HN!G11</f>
        <v>0</v>
      </c>
      <c r="AF15" s="1560">
        <f>AE15</f>
        <v>0</v>
      </c>
      <c r="AG15" s="1560"/>
      <c r="AH15" s="1561"/>
      <c r="AI15" s="1562"/>
      <c r="AJ15" s="1560"/>
      <c r="AK15" s="1564">
        <f>R.HN!H11</f>
        <v>0</v>
      </c>
      <c r="AL15" s="1560">
        <f>AK15</f>
        <v>0</v>
      </c>
      <c r="AM15" s="1560"/>
      <c r="AN15" s="1561"/>
      <c r="AO15" s="1562"/>
      <c r="AP15" s="282"/>
      <c r="AQ15" s="12" t="s">
        <v>428</v>
      </c>
      <c r="AS15" s="418"/>
    </row>
    <row r="16" spans="1:45" ht="33" hidden="1" customHeight="1">
      <c r="A16" s="1153" t="s">
        <v>74</v>
      </c>
      <c r="B16" s="314"/>
      <c r="C16" s="314"/>
      <c r="D16" s="314"/>
      <c r="E16" s="306"/>
      <c r="F16" s="314"/>
      <c r="G16" s="314"/>
      <c r="H16" s="314"/>
      <c r="I16" s="314"/>
      <c r="J16" s="314"/>
      <c r="K16" s="314"/>
      <c r="L16" s="314"/>
      <c r="M16" s="314"/>
      <c r="N16" s="320"/>
      <c r="O16" s="314"/>
      <c r="P16" s="314"/>
      <c r="Q16" s="314"/>
      <c r="R16" s="320"/>
      <c r="S16" s="314"/>
      <c r="T16" s="320"/>
      <c r="U16" s="314"/>
      <c r="V16" s="314"/>
      <c r="W16" s="314"/>
      <c r="X16" s="314"/>
      <c r="Y16" s="314"/>
      <c r="Z16" s="314"/>
      <c r="AA16" s="314"/>
      <c r="AB16" s="314"/>
      <c r="AC16" s="314"/>
      <c r="AD16" s="314"/>
      <c r="AE16" s="320"/>
      <c r="AF16" s="320"/>
      <c r="AG16" s="320"/>
      <c r="AH16" s="320"/>
      <c r="AI16" s="320"/>
      <c r="AJ16" s="320"/>
      <c r="AK16" s="320"/>
      <c r="AL16" s="320"/>
      <c r="AM16" s="320"/>
      <c r="AN16" s="320"/>
      <c r="AO16" s="320"/>
      <c r="AP16" s="1154"/>
    </row>
    <row r="17" spans="1:45" ht="47.25" hidden="1" customHeight="1">
      <c r="A17" s="1141" t="s">
        <v>239</v>
      </c>
      <c r="B17" s="2874" t="s">
        <v>62</v>
      </c>
      <c r="C17" s="2876"/>
      <c r="D17" s="287" t="s">
        <v>64</v>
      </c>
      <c r="E17" s="287" t="s">
        <v>65</v>
      </c>
      <c r="F17" s="434"/>
      <c r="G17" s="434"/>
      <c r="H17" s="315" t="s">
        <v>46</v>
      </c>
      <c r="I17" s="316"/>
      <c r="J17" s="316"/>
      <c r="K17" s="315" t="s">
        <v>63</v>
      </c>
      <c r="L17" s="317"/>
      <c r="M17" s="287"/>
      <c r="N17" s="315" t="s">
        <v>46</v>
      </c>
      <c r="O17" s="316"/>
      <c r="P17" s="316"/>
      <c r="Q17" s="315" t="s">
        <v>63</v>
      </c>
      <c r="R17" s="317"/>
      <c r="S17" s="1155"/>
      <c r="T17" s="315" t="s">
        <v>46</v>
      </c>
      <c r="U17" s="316"/>
      <c r="V17" s="316"/>
      <c r="W17" s="315" t="s">
        <v>63</v>
      </c>
      <c r="X17" s="317"/>
      <c r="Y17" s="1156"/>
      <c r="Z17" s="315" t="s">
        <v>46</v>
      </c>
      <c r="AA17" s="316"/>
      <c r="AB17" s="316"/>
      <c r="AC17" s="315" t="s">
        <v>63</v>
      </c>
      <c r="AD17" s="317"/>
      <c r="AE17" s="1156"/>
      <c r="AF17" s="315" t="s">
        <v>46</v>
      </c>
      <c r="AG17" s="316"/>
      <c r="AH17" s="316"/>
      <c r="AI17" s="315" t="s">
        <v>63</v>
      </c>
      <c r="AJ17" s="317"/>
      <c r="AK17" s="1156"/>
      <c r="AL17" s="315" t="s">
        <v>46</v>
      </c>
      <c r="AM17" s="316"/>
      <c r="AN17" s="316"/>
      <c r="AO17" s="315" t="s">
        <v>63</v>
      </c>
      <c r="AP17" s="317"/>
    </row>
    <row r="18" spans="1:45" ht="38.25" hidden="1" customHeight="1">
      <c r="A18" s="1141" t="s">
        <v>445</v>
      </c>
      <c r="B18" s="2874" t="s">
        <v>446</v>
      </c>
      <c r="C18" s="2876"/>
      <c r="D18" s="256" t="s">
        <v>196</v>
      </c>
      <c r="E18" s="50" t="s">
        <v>1077</v>
      </c>
      <c r="F18" s="435"/>
      <c r="G18" s="435"/>
      <c r="H18" s="3522">
        <f>'R.FILE GOC'!H18</f>
        <v>0</v>
      </c>
      <c r="I18" s="3522"/>
      <c r="J18" s="3522"/>
      <c r="K18" s="3522">
        <f>'R.FILE GOC'!K18</f>
        <v>0</v>
      </c>
      <c r="L18" s="3522"/>
      <c r="M18" s="1552"/>
      <c r="N18" s="3522">
        <f>'R.FILE GOC'!N18</f>
        <v>0</v>
      </c>
      <c r="O18" s="3522"/>
      <c r="P18" s="3522"/>
      <c r="Q18" s="3522">
        <f>'R.FILE GOC'!Q18</f>
        <v>0</v>
      </c>
      <c r="R18" s="3522"/>
      <c r="S18" s="1552"/>
      <c r="T18" s="3522">
        <f>'R.FILE GOC'!T18</f>
        <v>0</v>
      </c>
      <c r="U18" s="3522"/>
      <c r="V18" s="3522"/>
      <c r="W18" s="3522">
        <f>'R.FILE GOC'!W18</f>
        <v>0</v>
      </c>
      <c r="X18" s="3522"/>
      <c r="Y18" s="1552"/>
      <c r="Z18" s="3522">
        <f>'R.FILE GOC'!Z18</f>
        <v>0</v>
      </c>
      <c r="AA18" s="3522"/>
      <c r="AB18" s="3522"/>
      <c r="AC18" s="3522">
        <f>'R.FILE GOC'!AC18</f>
        <v>0</v>
      </c>
      <c r="AD18" s="3522"/>
      <c r="AE18" s="1552"/>
      <c r="AF18" s="3522">
        <f>'R.FILE GOC'!AF18</f>
        <v>0</v>
      </c>
      <c r="AG18" s="3522"/>
      <c r="AH18" s="3522"/>
      <c r="AI18" s="3522">
        <f>'R.FILE GOC'!AI18</f>
        <v>0</v>
      </c>
      <c r="AJ18" s="3522"/>
      <c r="AK18" s="1552"/>
      <c r="AL18" s="3522">
        <f>'R.FILE GOC'!AL18</f>
        <v>0</v>
      </c>
      <c r="AM18" s="3522"/>
      <c r="AN18" s="3522"/>
      <c r="AO18" s="3522">
        <f>'R.FILE GOC'!AO18</f>
        <v>0</v>
      </c>
      <c r="AP18" s="3522"/>
      <c r="AQ18" s="12" t="s">
        <v>428</v>
      </c>
    </row>
    <row r="19" spans="1:45" ht="38.25" hidden="1" customHeight="1">
      <c r="A19" s="1141" t="s">
        <v>447</v>
      </c>
      <c r="B19" s="2874" t="s">
        <v>448</v>
      </c>
      <c r="C19" s="2876"/>
      <c r="D19" s="256" t="s">
        <v>196</v>
      </c>
      <c r="E19" s="50" t="s">
        <v>1077</v>
      </c>
      <c r="F19" s="435"/>
      <c r="G19" s="435"/>
      <c r="H19" s="3522">
        <f>'R.FILE GOC'!H19</f>
        <v>0</v>
      </c>
      <c r="I19" s="3522"/>
      <c r="J19" s="3522"/>
      <c r="K19" s="3522">
        <f>'R.FILE GOC'!K19</f>
        <v>0</v>
      </c>
      <c r="L19" s="3522"/>
      <c r="M19" s="1552"/>
      <c r="N19" s="3522">
        <f>'R.FILE GOC'!N19</f>
        <v>0</v>
      </c>
      <c r="O19" s="3522"/>
      <c r="P19" s="3522"/>
      <c r="Q19" s="3522">
        <f>'R.FILE GOC'!Q19</f>
        <v>0</v>
      </c>
      <c r="R19" s="3522"/>
      <c r="S19" s="1552"/>
      <c r="T19" s="3522">
        <f>'R.FILE GOC'!T19</f>
        <v>0</v>
      </c>
      <c r="U19" s="3522"/>
      <c r="V19" s="3522"/>
      <c r="W19" s="3522">
        <f>'R.FILE GOC'!W19</f>
        <v>0</v>
      </c>
      <c r="X19" s="3522"/>
      <c r="Y19" s="1552"/>
      <c r="Z19" s="3522">
        <f>'R.FILE GOC'!Z19</f>
        <v>0</v>
      </c>
      <c r="AA19" s="3522"/>
      <c r="AB19" s="3522"/>
      <c r="AC19" s="3522">
        <f>'R.FILE GOC'!AC19</f>
        <v>0</v>
      </c>
      <c r="AD19" s="3522"/>
      <c r="AE19" s="1552"/>
      <c r="AF19" s="3522">
        <f>'R.FILE GOC'!AF19</f>
        <v>0</v>
      </c>
      <c r="AG19" s="3522"/>
      <c r="AH19" s="3522"/>
      <c r="AI19" s="3522">
        <f>'R.FILE GOC'!AI19</f>
        <v>0</v>
      </c>
      <c r="AJ19" s="3522"/>
      <c r="AK19" s="1552"/>
      <c r="AL19" s="3522">
        <f>'R.FILE GOC'!AL19</f>
        <v>0</v>
      </c>
      <c r="AM19" s="3522"/>
      <c r="AN19" s="3522"/>
      <c r="AO19" s="3522">
        <f>'R.FILE GOC'!AO19</f>
        <v>0</v>
      </c>
      <c r="AP19" s="3522"/>
      <c r="AQ19" s="12" t="s">
        <v>428</v>
      </c>
    </row>
    <row r="20" spans="1:45" ht="38.25" hidden="1" customHeight="1">
      <c r="A20" s="1141" t="s">
        <v>449</v>
      </c>
      <c r="B20" s="2874" t="s">
        <v>441</v>
      </c>
      <c r="C20" s="2876"/>
      <c r="D20" s="256" t="s">
        <v>196</v>
      </c>
      <c r="E20" s="50" t="s">
        <v>1078</v>
      </c>
      <c r="F20" s="435"/>
      <c r="G20" s="435"/>
      <c r="H20" s="3522">
        <f>'R.FILE GOC'!H20</f>
        <v>0</v>
      </c>
      <c r="I20" s="3522"/>
      <c r="J20" s="3522"/>
      <c r="K20" s="3522">
        <f>'R.FILE GOC'!K20</f>
        <v>0</v>
      </c>
      <c r="L20" s="3522"/>
      <c r="M20" s="1552"/>
      <c r="N20" s="3522">
        <f>'R.FILE GOC'!N20</f>
        <v>0</v>
      </c>
      <c r="O20" s="3522"/>
      <c r="P20" s="3522"/>
      <c r="Q20" s="3522">
        <f>'R.FILE GOC'!Q20</f>
        <v>0</v>
      </c>
      <c r="R20" s="3522"/>
      <c r="S20" s="1552"/>
      <c r="T20" s="3522">
        <f>'R.FILE GOC'!T20</f>
        <v>0</v>
      </c>
      <c r="U20" s="3522"/>
      <c r="V20" s="3522"/>
      <c r="W20" s="3522">
        <f>'R.FILE GOC'!W20</f>
        <v>0</v>
      </c>
      <c r="X20" s="3522"/>
      <c r="Y20" s="1552"/>
      <c r="Z20" s="3522">
        <f>'R.FILE GOC'!Z20</f>
        <v>0</v>
      </c>
      <c r="AA20" s="3522"/>
      <c r="AB20" s="3522"/>
      <c r="AC20" s="3522">
        <f>'R.FILE GOC'!AC20</f>
        <v>0</v>
      </c>
      <c r="AD20" s="3522"/>
      <c r="AE20" s="1552"/>
      <c r="AF20" s="3522">
        <f>'R.FILE GOC'!AF20</f>
        <v>0</v>
      </c>
      <c r="AG20" s="3522"/>
      <c r="AH20" s="3522"/>
      <c r="AI20" s="3522">
        <f>'R.FILE GOC'!AI20</f>
        <v>0</v>
      </c>
      <c r="AJ20" s="3522"/>
      <c r="AK20" s="1552"/>
      <c r="AL20" s="3522">
        <f>'R.FILE GOC'!AL20</f>
        <v>0</v>
      </c>
      <c r="AM20" s="3522"/>
      <c r="AN20" s="3522"/>
      <c r="AO20" s="3522">
        <f>'R.FILE GOC'!AO20</f>
        <v>0</v>
      </c>
      <c r="AP20" s="3522"/>
      <c r="AQ20" s="12" t="s">
        <v>428</v>
      </c>
    </row>
    <row r="21" spans="1:45" ht="27" customHeight="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c r="AA21" s="436"/>
      <c r="AB21" s="436"/>
      <c r="AC21" s="436"/>
      <c r="AD21" s="436"/>
      <c r="AP21" s="12"/>
    </row>
    <row r="22" spans="1:45" ht="36" customHeight="1">
      <c r="A22" s="2116" t="s">
        <v>1079</v>
      </c>
      <c r="B22" s="2117"/>
      <c r="C22" s="2118"/>
      <c r="D22" s="2118"/>
      <c r="E22" s="2250"/>
      <c r="F22" s="2119" t="s">
        <v>73</v>
      </c>
      <c r="G22" s="2120"/>
      <c r="H22" s="2121" t="s">
        <v>73</v>
      </c>
      <c r="I22" s="2121"/>
      <c r="J22" s="2121"/>
      <c r="K22" s="2121"/>
      <c r="L22" s="2121"/>
      <c r="M22" s="2121"/>
      <c r="N22" s="2121"/>
      <c r="O22" s="2121"/>
      <c r="P22" s="2121"/>
      <c r="Q22" s="2121"/>
      <c r="R22" s="2121"/>
      <c r="S22" s="2121"/>
      <c r="T22" s="2121"/>
      <c r="U22" s="2121"/>
      <c r="V22" s="2121"/>
      <c r="W22" s="2121"/>
      <c r="X22" s="2121"/>
      <c r="Y22" s="2121"/>
      <c r="Z22" s="2121"/>
      <c r="AA22" s="2121"/>
      <c r="AB22" s="2121"/>
      <c r="AC22" s="2121"/>
      <c r="AD22" s="2121"/>
      <c r="AE22" s="2121"/>
      <c r="AF22" s="2121"/>
      <c r="AG22" s="2121"/>
      <c r="AH22" s="2121"/>
      <c r="AI22" s="2122"/>
      <c r="AJ22" s="2121"/>
      <c r="AK22" s="2121"/>
      <c r="AL22" s="2121"/>
      <c r="AM22" s="2121"/>
      <c r="AN22" s="2121"/>
      <c r="AO22" s="2121"/>
      <c r="AP22" s="2121"/>
    </row>
    <row r="23" spans="1:45" ht="30" customHeight="1">
      <c r="A23" s="419"/>
      <c r="B23" s="3535" t="s">
        <v>77</v>
      </c>
      <c r="C23" s="3536"/>
      <c r="D23" s="2852" t="s">
        <v>125</v>
      </c>
      <c r="E23" s="3527" t="s">
        <v>65</v>
      </c>
      <c r="F23" s="438"/>
      <c r="G23" s="439"/>
      <c r="H23" s="3301" t="s">
        <v>473</v>
      </c>
      <c r="I23" s="3301"/>
      <c r="J23" s="3301"/>
      <c r="K23" s="3301"/>
      <c r="L23" s="3301"/>
      <c r="M23" s="1276"/>
      <c r="N23" s="3294" t="s">
        <v>1484</v>
      </c>
      <c r="O23" s="3294"/>
      <c r="P23" s="3294"/>
      <c r="Q23" s="3294"/>
      <c r="R23" s="3294"/>
      <c r="S23" s="1276"/>
      <c r="T23" s="3301" t="s">
        <v>1485</v>
      </c>
      <c r="U23" s="3301"/>
      <c r="V23" s="3301"/>
      <c r="W23" s="3301"/>
      <c r="X23" s="3301"/>
      <c r="Y23" s="1276"/>
      <c r="Z23" s="3301" t="s">
        <v>1486</v>
      </c>
      <c r="AA23" s="3301"/>
      <c r="AB23" s="3301"/>
      <c r="AC23" s="3301"/>
      <c r="AD23" s="3301"/>
      <c r="AE23" s="1276"/>
      <c r="AF23" s="3301" t="s">
        <v>1487</v>
      </c>
      <c r="AG23" s="3301"/>
      <c r="AH23" s="3301"/>
      <c r="AI23" s="3301"/>
      <c r="AJ23" s="3301"/>
      <c r="AK23" s="1276"/>
      <c r="AL23" s="3301" t="s">
        <v>1488</v>
      </c>
      <c r="AM23" s="3301"/>
      <c r="AN23" s="3301"/>
      <c r="AO23" s="3301"/>
      <c r="AP23" s="3301"/>
    </row>
    <row r="24" spans="1:45" ht="30" customHeight="1">
      <c r="A24" s="457" t="s">
        <v>239</v>
      </c>
      <c r="B24" s="3537"/>
      <c r="C24" s="3538"/>
      <c r="D24" s="3526"/>
      <c r="E24" s="3528"/>
      <c r="F24" s="424" t="s">
        <v>423</v>
      </c>
      <c r="G24" s="425"/>
      <c r="H24" s="1107" t="s">
        <v>732</v>
      </c>
      <c r="I24" s="305" t="s">
        <v>1</v>
      </c>
      <c r="J24" s="3529" t="s">
        <v>1</v>
      </c>
      <c r="K24" s="3529"/>
      <c r="L24" s="3529"/>
      <c r="M24" s="1139"/>
      <c r="N24" s="1107" t="s">
        <v>732</v>
      </c>
      <c r="O24" s="305" t="s">
        <v>1</v>
      </c>
      <c r="P24" s="3529" t="s">
        <v>1</v>
      </c>
      <c r="Q24" s="3529"/>
      <c r="R24" s="3530"/>
      <c r="S24" s="425"/>
      <c r="T24" s="1107" t="s">
        <v>732</v>
      </c>
      <c r="U24" s="305" t="s">
        <v>1</v>
      </c>
      <c r="V24" s="3529" t="s">
        <v>1</v>
      </c>
      <c r="W24" s="3529"/>
      <c r="X24" s="3530"/>
      <c r="Y24" s="1139"/>
      <c r="Z24" s="1107" t="s">
        <v>732</v>
      </c>
      <c r="AA24" s="305" t="s">
        <v>1</v>
      </c>
      <c r="AB24" s="3531" t="s">
        <v>1</v>
      </c>
      <c r="AC24" s="3531"/>
      <c r="AD24" s="3531"/>
      <c r="AE24" s="425"/>
      <c r="AF24" s="1107" t="s">
        <v>732</v>
      </c>
      <c r="AG24" s="305" t="s">
        <v>1</v>
      </c>
      <c r="AH24" s="3529" t="s">
        <v>1</v>
      </c>
      <c r="AI24" s="3529"/>
      <c r="AJ24" s="3530"/>
      <c r="AK24" s="1139"/>
      <c r="AL24" s="1107" t="s">
        <v>732</v>
      </c>
      <c r="AM24" s="305" t="s">
        <v>1</v>
      </c>
      <c r="AN24" s="3531" t="s">
        <v>1</v>
      </c>
      <c r="AO24" s="3531"/>
      <c r="AP24" s="3531"/>
      <c r="AS24" s="1140" t="s">
        <v>1073</v>
      </c>
    </row>
    <row r="25" spans="1:45" ht="35.25" customHeight="1">
      <c r="A25" s="1141" t="s">
        <v>1080</v>
      </c>
      <c r="B25" s="2954" t="s">
        <v>450</v>
      </c>
      <c r="C25" s="2956"/>
      <c r="D25" s="440" t="s">
        <v>432</v>
      </c>
      <c r="E25" s="50" t="s">
        <v>451</v>
      </c>
      <c r="F25" s="430">
        <v>40</v>
      </c>
      <c r="G25" s="427">
        <f>R.HN!C16</f>
        <v>0</v>
      </c>
      <c r="H25" s="1560">
        <f>G25*10</f>
        <v>0</v>
      </c>
      <c r="I25" s="1560">
        <f>($F$25-H25)*2330/1000</f>
        <v>93.2</v>
      </c>
      <c r="J25" s="1561" t="s">
        <v>8</v>
      </c>
      <c r="K25" s="1544">
        <f>IF(H25=0,0,IF(I25&lt;0,0,I25))</f>
        <v>0</v>
      </c>
      <c r="L25" s="1561" t="s">
        <v>9</v>
      </c>
      <c r="M25" s="1562">
        <f>R.HN!D16</f>
        <v>0</v>
      </c>
      <c r="N25" s="1560">
        <f>M25*10</f>
        <v>0</v>
      </c>
      <c r="O25" s="1560">
        <f>($F$25-N25)*2330/1000</f>
        <v>93.2</v>
      </c>
      <c r="P25" s="1561" t="s">
        <v>8</v>
      </c>
      <c r="Q25" s="1544">
        <f>IF(N25=0,0,IF(O25&lt;0,0,O25))</f>
        <v>0</v>
      </c>
      <c r="R25" s="1561" t="s">
        <v>9</v>
      </c>
      <c r="S25" s="1562">
        <f>R.HN!E16</f>
        <v>0</v>
      </c>
      <c r="T25" s="1560">
        <f>S25*10</f>
        <v>0</v>
      </c>
      <c r="U25" s="1560">
        <f>($F$25-T25)*2330/1000</f>
        <v>93.2</v>
      </c>
      <c r="V25" s="1561" t="s">
        <v>8</v>
      </c>
      <c r="W25" s="1544">
        <f>IF(T25=0,0,IF(U25&lt;0,0,U25))</f>
        <v>0</v>
      </c>
      <c r="X25" s="1561" t="s">
        <v>9</v>
      </c>
      <c r="Y25" s="1562">
        <f>R.HN!F16</f>
        <v>0</v>
      </c>
      <c r="Z25" s="1560">
        <f>Y25*10</f>
        <v>0</v>
      </c>
      <c r="AA25" s="1560">
        <f>($F$25-Z25)*2330/1000</f>
        <v>93.2</v>
      </c>
      <c r="AB25" s="1561" t="s">
        <v>8</v>
      </c>
      <c r="AC25" s="1544">
        <f>IF(Z25=0,0,IF(AA25&lt;0,0,AA25))</f>
        <v>0</v>
      </c>
      <c r="AD25" s="1561" t="s">
        <v>9</v>
      </c>
      <c r="AE25" s="1562">
        <f>R.HN!G16</f>
        <v>0</v>
      </c>
      <c r="AF25" s="1560">
        <f>AE25*10</f>
        <v>0</v>
      </c>
      <c r="AG25" s="1560">
        <f>($F$25-AF25)*2330/1000</f>
        <v>93.2</v>
      </c>
      <c r="AH25" s="1561" t="s">
        <v>8</v>
      </c>
      <c r="AI25" s="1544">
        <f>IF(AF25=0,0,IF(AG25&lt;0,0,AG25))</f>
        <v>0</v>
      </c>
      <c r="AJ25" s="1561" t="s">
        <v>9</v>
      </c>
      <c r="AK25" s="1562">
        <f>R.HN!H16</f>
        <v>0</v>
      </c>
      <c r="AL25" s="1560">
        <f>AK25*10</f>
        <v>0</v>
      </c>
      <c r="AM25" s="1560">
        <f>($F$25-AL25)*2330/1000</f>
        <v>93.2</v>
      </c>
      <c r="AN25" s="1561" t="s">
        <v>8</v>
      </c>
      <c r="AO25" s="1544">
        <f>IF(AL25=0,0,IF(AM25&lt;0,0,AM25))</f>
        <v>0</v>
      </c>
      <c r="AP25" s="282" t="s">
        <v>9</v>
      </c>
      <c r="AQ25" s="12" t="s">
        <v>452</v>
      </c>
      <c r="AS25" s="1142" t="s">
        <v>1023</v>
      </c>
    </row>
    <row r="26" spans="1:45" ht="30" customHeight="1">
      <c r="A26" s="1141" t="s">
        <v>1081</v>
      </c>
      <c r="B26" s="2954" t="s">
        <v>839</v>
      </c>
      <c r="C26" s="2956"/>
      <c r="D26" s="49" t="s">
        <v>3</v>
      </c>
      <c r="E26" s="50" t="s">
        <v>427</v>
      </c>
      <c r="F26" s="426">
        <v>12.5</v>
      </c>
      <c r="G26" s="427">
        <f>R.HN!C17</f>
        <v>0</v>
      </c>
      <c r="H26" s="1560">
        <f>(1*G26*36.5)/(1*10)</f>
        <v>0</v>
      </c>
      <c r="I26" s="1560">
        <f>($F$26-H26)*2605/32</f>
        <v>1017.578125</v>
      </c>
      <c r="J26" s="1561" t="s">
        <v>8</v>
      </c>
      <c r="K26" s="1544">
        <f>IF(H26=0,0,IF(I26&lt;0,0,I26))</f>
        <v>0</v>
      </c>
      <c r="L26" s="1561" t="s">
        <v>10</v>
      </c>
      <c r="M26" s="1562">
        <f>R.HN!D17</f>
        <v>0</v>
      </c>
      <c r="N26" s="1560">
        <f>(1*M26*36.5)/(1*10)</f>
        <v>0</v>
      </c>
      <c r="O26" s="1560">
        <f>($F$26-N26)*2605/32</f>
        <v>1017.578125</v>
      </c>
      <c r="P26" s="1561" t="s">
        <v>8</v>
      </c>
      <c r="Q26" s="1544">
        <f>IF(N26=0,0,IF(O26&lt;0,0,O26))</f>
        <v>0</v>
      </c>
      <c r="R26" s="1561" t="s">
        <v>10</v>
      </c>
      <c r="S26" s="1562">
        <f>R.HN!E17</f>
        <v>0</v>
      </c>
      <c r="T26" s="1560">
        <f>(1*S26*36.5)/(1*10)</f>
        <v>0</v>
      </c>
      <c r="U26" s="1560">
        <f>($F$26-T26)*2605/32</f>
        <v>1017.578125</v>
      </c>
      <c r="V26" s="1561" t="s">
        <v>8</v>
      </c>
      <c r="W26" s="1544">
        <f>IF(T26=0,0,IF(U26&lt;0,0,U26))</f>
        <v>0</v>
      </c>
      <c r="X26" s="1561" t="s">
        <v>10</v>
      </c>
      <c r="Y26" s="1562">
        <f>R.HN!F17</f>
        <v>0</v>
      </c>
      <c r="Z26" s="1560">
        <f>(1*Y26*36.5)/(1*10)</f>
        <v>0</v>
      </c>
      <c r="AA26" s="1560">
        <f>($F$26-Z26)*2605/32</f>
        <v>1017.578125</v>
      </c>
      <c r="AB26" s="1561" t="s">
        <v>8</v>
      </c>
      <c r="AC26" s="1544">
        <f>IF(Z26=0,0,IF(AA26&lt;0,0,AA26))</f>
        <v>0</v>
      </c>
      <c r="AD26" s="1561" t="s">
        <v>10</v>
      </c>
      <c r="AE26" s="1562">
        <f>R.HN!G17</f>
        <v>0</v>
      </c>
      <c r="AF26" s="1560">
        <f>(1*AE26*36.5)/(1*10)</f>
        <v>0</v>
      </c>
      <c r="AG26" s="1560">
        <f>($F$26-AF26)*2605/32</f>
        <v>1017.578125</v>
      </c>
      <c r="AH26" s="1561" t="s">
        <v>8</v>
      </c>
      <c r="AI26" s="1544">
        <f>IF(AF26=0,0,IF(AG26&lt;0,0,AG26))</f>
        <v>0</v>
      </c>
      <c r="AJ26" s="1561" t="s">
        <v>10</v>
      </c>
      <c r="AK26" s="1562">
        <f>R.HN!H17</f>
        <v>0</v>
      </c>
      <c r="AL26" s="1560">
        <f>(1*AK26*36.5)/(1*10)</f>
        <v>0</v>
      </c>
      <c r="AM26" s="1560">
        <f>($F$26-AL26)*2605/32</f>
        <v>1017.578125</v>
      </c>
      <c r="AN26" s="1561" t="s">
        <v>8</v>
      </c>
      <c r="AO26" s="1544">
        <f>IF(AL26=0,0,IF(AM26&lt;0,0,AM26))</f>
        <v>0</v>
      </c>
      <c r="AP26" s="282" t="s">
        <v>10</v>
      </c>
      <c r="AQ26" s="12" t="s">
        <v>452</v>
      </c>
      <c r="AS26" s="1142" t="s">
        <v>1022</v>
      </c>
    </row>
    <row r="27" spans="1:45" ht="30" customHeight="1">
      <c r="A27" s="1141" t="s">
        <v>1082</v>
      </c>
      <c r="B27" s="1145" t="s">
        <v>786</v>
      </c>
      <c r="C27" s="1157"/>
      <c r="D27" s="1146" t="s">
        <v>432</v>
      </c>
      <c r="E27" s="50" t="s">
        <v>1432</v>
      </c>
      <c r="F27" s="441">
        <v>50</v>
      </c>
      <c r="G27" s="427">
        <f>R.HN!C18</f>
        <v>0</v>
      </c>
      <c r="H27" s="1560">
        <f>G27*10</f>
        <v>0</v>
      </c>
      <c r="I27" s="1560">
        <f>($F$43-H27)*4935/1000</f>
        <v>246.75</v>
      </c>
      <c r="J27" s="1561" t="s">
        <v>8</v>
      </c>
      <c r="K27" s="1544">
        <f>IF(H27=0,0,IF(I27&lt;0,0,I27))</f>
        <v>0</v>
      </c>
      <c r="L27" s="1561" t="s">
        <v>9</v>
      </c>
      <c r="M27" s="1562">
        <f>R.HN!D18</f>
        <v>0</v>
      </c>
      <c r="N27" s="1560">
        <f>M27*10</f>
        <v>0</v>
      </c>
      <c r="O27" s="1560">
        <f>($F$43-N27)*4935/1000</f>
        <v>246.75</v>
      </c>
      <c r="P27" s="1561" t="s">
        <v>8</v>
      </c>
      <c r="Q27" s="1544">
        <f>IF(N27=0,0,IF(O27&lt;0,0,O27))</f>
        <v>0</v>
      </c>
      <c r="R27" s="1561" t="s">
        <v>9</v>
      </c>
      <c r="S27" s="1562">
        <f>R.HN!E18</f>
        <v>0</v>
      </c>
      <c r="T27" s="1560">
        <f>S27*10</f>
        <v>0</v>
      </c>
      <c r="U27" s="1560">
        <f>($F$43-T27)*4935/1000</f>
        <v>246.75</v>
      </c>
      <c r="V27" s="1561" t="s">
        <v>8</v>
      </c>
      <c r="W27" s="1544">
        <f>IF(T27=0,0,IF(U27&lt;0,0,U27))</f>
        <v>0</v>
      </c>
      <c r="X27" s="1561" t="s">
        <v>9</v>
      </c>
      <c r="Y27" s="1562">
        <f>R.HN!F18</f>
        <v>0</v>
      </c>
      <c r="Z27" s="1560">
        <f>Y27*10</f>
        <v>0</v>
      </c>
      <c r="AA27" s="1560">
        <f>($F$43-Z27)*4935/1000</f>
        <v>246.75</v>
      </c>
      <c r="AB27" s="1561" t="s">
        <v>8</v>
      </c>
      <c r="AC27" s="1544">
        <f>IF(Z27=0,0,IF(AA27&lt;0,0,AA27))</f>
        <v>0</v>
      </c>
      <c r="AD27" s="1561" t="s">
        <v>9</v>
      </c>
      <c r="AE27" s="1562">
        <f>R.HN!G18</f>
        <v>0</v>
      </c>
      <c r="AF27" s="1560">
        <f>AE27*10</f>
        <v>0</v>
      </c>
      <c r="AG27" s="1560">
        <f>($F$43-AF27)*4935/1000</f>
        <v>246.75</v>
      </c>
      <c r="AH27" s="1561" t="s">
        <v>8</v>
      </c>
      <c r="AI27" s="1544">
        <f>IF(AF27=0,0,IF(AG27&lt;0,0,AG27))</f>
        <v>0</v>
      </c>
      <c r="AJ27" s="1561" t="s">
        <v>9</v>
      </c>
      <c r="AK27" s="1562">
        <f>R.HN!H18</f>
        <v>0</v>
      </c>
      <c r="AL27" s="1560">
        <f>AK27*10</f>
        <v>0</v>
      </c>
      <c r="AM27" s="1560">
        <f>($F$43-AL27)*4935/1000</f>
        <v>246.75</v>
      </c>
      <c r="AN27" s="1561" t="s">
        <v>8</v>
      </c>
      <c r="AO27" s="1544">
        <f>IF(AL27=0,0,IF(AM27&lt;0,0,AM27))</f>
        <v>0</v>
      </c>
      <c r="AP27" s="282" t="s">
        <v>9</v>
      </c>
      <c r="AQ27" s="12" t="s">
        <v>452</v>
      </c>
      <c r="AS27" s="1142" t="s">
        <v>1024</v>
      </c>
    </row>
    <row r="28" spans="1:45" ht="30" customHeight="1">
      <c r="A28" s="1141" t="s">
        <v>1083</v>
      </c>
      <c r="B28" s="1147" t="s">
        <v>787</v>
      </c>
      <c r="C28" s="1158"/>
      <c r="D28" s="1146" t="s">
        <v>432</v>
      </c>
      <c r="E28" s="50" t="s">
        <v>1075</v>
      </c>
      <c r="F28" s="427">
        <v>6.5</v>
      </c>
      <c r="G28" s="427">
        <f>R.HN!C19</f>
        <v>0</v>
      </c>
      <c r="H28" s="1560">
        <f>IFERROR(H27/G28,0)</f>
        <v>0</v>
      </c>
      <c r="I28" s="1560">
        <f>($F$44-H28)*4935/1000</f>
        <v>32.077500000000001</v>
      </c>
      <c r="J28" s="1561"/>
      <c r="K28" s="1544">
        <f>IF(H28=0,0,IF(I28&lt;0,0,I28))</f>
        <v>0</v>
      </c>
      <c r="L28" s="1561" t="s">
        <v>9</v>
      </c>
      <c r="M28" s="1563">
        <f>R.HN!D19</f>
        <v>0</v>
      </c>
      <c r="N28" s="1560">
        <f>IFERROR(N27/M28,0)</f>
        <v>0</v>
      </c>
      <c r="O28" s="1560">
        <f>($F$44-N28)*4935/1000</f>
        <v>32.077500000000001</v>
      </c>
      <c r="P28" s="1561"/>
      <c r="Q28" s="1544">
        <f>IF(N28=0,0,IF(O28&lt;0,0,O28))</f>
        <v>0</v>
      </c>
      <c r="R28" s="1561" t="s">
        <v>9</v>
      </c>
      <c r="S28" s="1564">
        <f>R.HN!E19</f>
        <v>0</v>
      </c>
      <c r="T28" s="1560">
        <f>IFERROR(T27/S28,0)</f>
        <v>0</v>
      </c>
      <c r="U28" s="1560">
        <f>($F$44-T28)*4935/1000</f>
        <v>32.077500000000001</v>
      </c>
      <c r="V28" s="1561"/>
      <c r="W28" s="1544">
        <f>IF(T28=0,0,IF(U28&lt;0,0,U28))</f>
        <v>0</v>
      </c>
      <c r="X28" s="1561" t="s">
        <v>9</v>
      </c>
      <c r="Y28" s="1564">
        <f>R.HN!F19</f>
        <v>0</v>
      </c>
      <c r="Z28" s="1560">
        <f>IFERROR(Z27/Y28,0)</f>
        <v>0</v>
      </c>
      <c r="AA28" s="1560">
        <f>($F$44-Z28)*4935/1000</f>
        <v>32.077500000000001</v>
      </c>
      <c r="AB28" s="1561"/>
      <c r="AC28" s="1544">
        <f>IF(Z28=0,0,IF(AA28&lt;0,0,AA28))</f>
        <v>0</v>
      </c>
      <c r="AD28" s="1561" t="s">
        <v>9</v>
      </c>
      <c r="AE28" s="1562">
        <f>R.HN!G19</f>
        <v>0</v>
      </c>
      <c r="AF28" s="1560">
        <f>IFERROR(AF27/AE28,0)</f>
        <v>0</v>
      </c>
      <c r="AG28" s="1560">
        <f>($F$44-AF28)*4935/1000</f>
        <v>32.077500000000001</v>
      </c>
      <c r="AH28" s="1561"/>
      <c r="AI28" s="1544">
        <f>IF(AF28=0,0,IF(AG28&lt;0,0,AG28))</f>
        <v>0</v>
      </c>
      <c r="AJ28" s="1561" t="s">
        <v>9</v>
      </c>
      <c r="AK28" s="1562">
        <f>R.HN!H19</f>
        <v>0</v>
      </c>
      <c r="AL28" s="1560">
        <f>IFERROR(AL27/AK28,0)</f>
        <v>0</v>
      </c>
      <c r="AM28" s="1560">
        <f>($F$44-AL28)*4935/1000</f>
        <v>32.077500000000001</v>
      </c>
      <c r="AN28" s="1561"/>
      <c r="AO28" s="1544">
        <f>IF(AL28=0,0,IF(AM28&lt;0,0,AM28))</f>
        <v>0</v>
      </c>
      <c r="AP28" s="282" t="s">
        <v>9</v>
      </c>
      <c r="AQ28" s="12" t="s">
        <v>452</v>
      </c>
      <c r="AS28" s="1142" t="s">
        <v>1025</v>
      </c>
    </row>
    <row r="29" spans="1:45" ht="30" customHeight="1">
      <c r="A29" s="1141" t="s">
        <v>1084</v>
      </c>
      <c r="B29" s="1148" t="s">
        <v>788</v>
      </c>
      <c r="C29" s="1159"/>
      <c r="D29" s="1146" t="s">
        <v>432</v>
      </c>
      <c r="E29" s="50" t="s">
        <v>1076</v>
      </c>
      <c r="F29" s="443">
        <v>0.4</v>
      </c>
      <c r="G29" s="427">
        <f>R.HN!C20</f>
        <v>0</v>
      </c>
      <c r="H29" s="1555">
        <f>G29</f>
        <v>0</v>
      </c>
      <c r="I29" s="1555"/>
      <c r="J29" s="1556"/>
      <c r="K29" s="1557"/>
      <c r="L29" s="1556"/>
      <c r="M29" s="1557">
        <f>R.HN!D20</f>
        <v>0</v>
      </c>
      <c r="N29" s="1555">
        <f>M29</f>
        <v>0</v>
      </c>
      <c r="O29" s="1555"/>
      <c r="P29" s="1556"/>
      <c r="Q29" s="1557"/>
      <c r="R29" s="1556"/>
      <c r="S29" s="1557">
        <f>R.HN!E20</f>
        <v>0</v>
      </c>
      <c r="T29" s="1555">
        <f>S29</f>
        <v>0</v>
      </c>
      <c r="U29" s="1555"/>
      <c r="V29" s="1556"/>
      <c r="W29" s="1557"/>
      <c r="X29" s="1556"/>
      <c r="Y29" s="1557">
        <f>R.HN!F20</f>
        <v>0</v>
      </c>
      <c r="Z29" s="1555">
        <f>Y29</f>
        <v>0</v>
      </c>
      <c r="AA29" s="1555"/>
      <c r="AB29" s="1556"/>
      <c r="AC29" s="1557"/>
      <c r="AD29" s="1556"/>
      <c r="AE29" s="1557">
        <f>R.HN!G20</f>
        <v>0</v>
      </c>
      <c r="AF29" s="1555">
        <f>AE29</f>
        <v>0</v>
      </c>
      <c r="AG29" s="1555"/>
      <c r="AH29" s="1556"/>
      <c r="AI29" s="1557"/>
      <c r="AJ29" s="1556"/>
      <c r="AK29" s="1557">
        <f>R.HN!H20</f>
        <v>0</v>
      </c>
      <c r="AL29" s="1555">
        <f>AK29</f>
        <v>0</v>
      </c>
      <c r="AM29" s="311"/>
      <c r="AN29" s="308"/>
      <c r="AO29" s="1557"/>
      <c r="AP29" s="282"/>
      <c r="AQ29" s="12" t="s">
        <v>452</v>
      </c>
      <c r="AS29" s="1142" t="s">
        <v>1026</v>
      </c>
    </row>
    <row r="30" spans="1:45" ht="30" customHeight="1">
      <c r="A30" s="1141" t="s">
        <v>1085</v>
      </c>
      <c r="B30" s="1149" t="s">
        <v>441</v>
      </c>
      <c r="C30" s="1150"/>
      <c r="D30" s="1109" t="s">
        <v>432</v>
      </c>
      <c r="E30" s="50" t="s">
        <v>442</v>
      </c>
      <c r="F30" s="431">
        <v>1</v>
      </c>
      <c r="G30" s="427">
        <f>R.HN!C21</f>
        <v>0</v>
      </c>
      <c r="H30" s="1560">
        <f>G30</f>
        <v>0</v>
      </c>
      <c r="I30" s="1560">
        <f>($F$30-H30)*1234/1000</f>
        <v>1.234</v>
      </c>
      <c r="J30" s="1561" t="s">
        <v>8</v>
      </c>
      <c r="K30" s="1543">
        <f>IF(H30=0,0,IF(I30&lt;0,0,I30))</f>
        <v>0</v>
      </c>
      <c r="L30" s="1561" t="s">
        <v>9</v>
      </c>
      <c r="M30" s="1562">
        <f>R.HN!D21</f>
        <v>0</v>
      </c>
      <c r="N30" s="1560">
        <f>M30</f>
        <v>0</v>
      </c>
      <c r="O30" s="1560">
        <f>($F$30-N30)*1234/1000</f>
        <v>1.234</v>
      </c>
      <c r="P30" s="1561" t="s">
        <v>8</v>
      </c>
      <c r="Q30" s="1543">
        <f>IF(N30=0,0,IF(O30&lt;0,0,O30))</f>
        <v>0</v>
      </c>
      <c r="R30" s="1561" t="s">
        <v>9</v>
      </c>
      <c r="S30" s="1562">
        <f>R.HN!E21</f>
        <v>0</v>
      </c>
      <c r="T30" s="1560">
        <f>S30</f>
        <v>0</v>
      </c>
      <c r="U30" s="1560">
        <f>($F$30-T30)*1234/1000</f>
        <v>1.234</v>
      </c>
      <c r="V30" s="1561" t="s">
        <v>8</v>
      </c>
      <c r="W30" s="1543">
        <f>IF(T30=0,0,IF(U30&lt;0,0,U30))</f>
        <v>0</v>
      </c>
      <c r="X30" s="1561" t="s">
        <v>9</v>
      </c>
      <c r="Y30" s="1562">
        <f>R.HN!F21</f>
        <v>0</v>
      </c>
      <c r="Z30" s="1560">
        <f>Y30</f>
        <v>0</v>
      </c>
      <c r="AA30" s="1560">
        <f>($F$30-Z30)*1234/1000</f>
        <v>1.234</v>
      </c>
      <c r="AB30" s="1561" t="s">
        <v>8</v>
      </c>
      <c r="AC30" s="1543">
        <f>IF(Z30=0,0,IF(AA30&lt;0,0,AA30))</f>
        <v>0</v>
      </c>
      <c r="AD30" s="1561" t="s">
        <v>9</v>
      </c>
      <c r="AE30" s="1562">
        <f>R.HN!G21</f>
        <v>0</v>
      </c>
      <c r="AF30" s="1560">
        <f>AE30</f>
        <v>0</v>
      </c>
      <c r="AG30" s="1560">
        <f>($F$30-AF30)*1234/1000</f>
        <v>1.234</v>
      </c>
      <c r="AH30" s="1561" t="s">
        <v>8</v>
      </c>
      <c r="AI30" s="1543">
        <f>IF(AF30=0,0,IF(AG30&lt;0,0,AG30))</f>
        <v>0</v>
      </c>
      <c r="AJ30" s="1561" t="s">
        <v>9</v>
      </c>
      <c r="AK30" s="1562">
        <f>R.HN!H21</f>
        <v>0</v>
      </c>
      <c r="AL30" s="1560">
        <f>AK30</f>
        <v>0</v>
      </c>
      <c r="AM30" s="1560">
        <f>($F$30-AL30)*1234/1000</f>
        <v>1.234</v>
      </c>
      <c r="AN30" s="1561" t="s">
        <v>8</v>
      </c>
      <c r="AO30" s="1543">
        <f>IF(AL30=0,0,IF(AM30&lt;0,0,AM30))</f>
        <v>0</v>
      </c>
      <c r="AP30" s="1560" t="s">
        <v>9</v>
      </c>
      <c r="AQ30" s="12" t="s">
        <v>452</v>
      </c>
    </row>
    <row r="31" spans="1:45" ht="30" customHeight="1">
      <c r="A31" s="1141" t="s">
        <v>1086</v>
      </c>
      <c r="B31" s="1151" t="s">
        <v>5</v>
      </c>
      <c r="C31" s="1152"/>
      <c r="D31" s="1109" t="s">
        <v>5</v>
      </c>
      <c r="E31" s="50" t="s">
        <v>444</v>
      </c>
      <c r="F31" s="433">
        <v>9.5</v>
      </c>
      <c r="G31" s="427">
        <f>R.HN!C22</f>
        <v>0</v>
      </c>
      <c r="H31" s="1560">
        <f>G31</f>
        <v>0</v>
      </c>
      <c r="I31" s="1560"/>
      <c r="J31" s="1561"/>
      <c r="K31" s="1562"/>
      <c r="L31" s="1561"/>
      <c r="M31" s="1562">
        <f>R.HN!D22</f>
        <v>0</v>
      </c>
      <c r="N31" s="1560">
        <f>M31</f>
        <v>0</v>
      </c>
      <c r="O31" s="1560"/>
      <c r="P31" s="1561"/>
      <c r="Q31" s="1562"/>
      <c r="R31" s="1561"/>
      <c r="S31" s="1562">
        <f>R.HN!E22</f>
        <v>0</v>
      </c>
      <c r="T31" s="1560">
        <f>S31</f>
        <v>0</v>
      </c>
      <c r="U31" s="1560"/>
      <c r="V31" s="1561"/>
      <c r="W31" s="1562"/>
      <c r="X31" s="1561"/>
      <c r="Y31" s="1562">
        <f>R.HN!F22</f>
        <v>0</v>
      </c>
      <c r="Z31" s="1560">
        <f>Y31</f>
        <v>0</v>
      </c>
      <c r="AA31" s="1560"/>
      <c r="AB31" s="1561"/>
      <c r="AC31" s="1562"/>
      <c r="AD31" s="1561"/>
      <c r="AE31" s="1562">
        <f>R.HN!G22</f>
        <v>0</v>
      </c>
      <c r="AF31" s="1560">
        <f>AE31</f>
        <v>0</v>
      </c>
      <c r="AG31" s="1560"/>
      <c r="AH31" s="1561"/>
      <c r="AI31" s="1562"/>
      <c r="AJ31" s="1561"/>
      <c r="AK31" s="1562">
        <f>R.HN!H22</f>
        <v>0</v>
      </c>
      <c r="AL31" s="1560">
        <f>AK31</f>
        <v>0</v>
      </c>
      <c r="AM31" s="1560"/>
      <c r="AN31" s="1561"/>
      <c r="AO31" s="1562"/>
      <c r="AP31" s="1560"/>
      <c r="AQ31" s="12" t="s">
        <v>452</v>
      </c>
    </row>
    <row r="32" spans="1:45" ht="33" customHeight="1">
      <c r="A32" s="1153" t="s">
        <v>74</v>
      </c>
      <c r="B32" s="314"/>
      <c r="C32" s="314"/>
      <c r="D32" s="314"/>
      <c r="E32" s="306"/>
      <c r="F32" s="314"/>
      <c r="G32" s="314"/>
      <c r="H32" s="314"/>
      <c r="I32" s="314"/>
      <c r="J32" s="314"/>
      <c r="K32" s="314"/>
      <c r="L32" s="314"/>
      <c r="M32" s="314"/>
      <c r="N32" s="320"/>
      <c r="O32" s="314"/>
      <c r="P32" s="314"/>
      <c r="Q32" s="314"/>
      <c r="R32" s="320"/>
      <c r="S32" s="314"/>
      <c r="T32" s="320"/>
      <c r="U32" s="314"/>
      <c r="V32" s="314"/>
      <c r="W32" s="314"/>
      <c r="X32" s="314"/>
      <c r="Y32" s="314"/>
      <c r="Z32" s="314"/>
      <c r="AA32" s="314"/>
      <c r="AB32" s="314"/>
      <c r="AC32" s="314"/>
      <c r="AD32" s="314"/>
      <c r="AE32" s="320"/>
      <c r="AF32" s="320"/>
      <c r="AG32" s="320"/>
      <c r="AH32" s="320"/>
      <c r="AI32" s="320"/>
      <c r="AJ32" s="320"/>
      <c r="AK32" s="320"/>
      <c r="AL32" s="320"/>
      <c r="AM32" s="320"/>
      <c r="AN32" s="320"/>
      <c r="AO32" s="320"/>
      <c r="AP32" s="1154"/>
    </row>
    <row r="33" spans="1:45" ht="33.75" customHeight="1">
      <c r="A33" s="49" t="s">
        <v>239</v>
      </c>
      <c r="B33" s="2874" t="s">
        <v>62</v>
      </c>
      <c r="C33" s="2876"/>
      <c r="D33" s="287" t="s">
        <v>64</v>
      </c>
      <c r="E33" s="287" t="s">
        <v>65</v>
      </c>
      <c r="F33" s="434"/>
      <c r="G33" s="434"/>
      <c r="H33" s="315" t="s">
        <v>46</v>
      </c>
      <c r="I33" s="316"/>
      <c r="J33" s="316"/>
      <c r="K33" s="315" t="s">
        <v>63</v>
      </c>
      <c r="L33" s="317"/>
      <c r="M33" s="287"/>
      <c r="N33" s="315" t="s">
        <v>46</v>
      </c>
      <c r="O33" s="316"/>
      <c r="P33" s="316"/>
      <c r="Q33" s="315" t="s">
        <v>63</v>
      </c>
      <c r="R33" s="317"/>
      <c r="S33" s="1155"/>
      <c r="T33" s="315" t="s">
        <v>46</v>
      </c>
      <c r="U33" s="316"/>
      <c r="V33" s="316"/>
      <c r="W33" s="315" t="s">
        <v>63</v>
      </c>
      <c r="X33" s="317"/>
      <c r="Y33" s="1156"/>
      <c r="Z33" s="315" t="s">
        <v>46</v>
      </c>
      <c r="AA33" s="316"/>
      <c r="AB33" s="316"/>
      <c r="AC33" s="315" t="s">
        <v>63</v>
      </c>
      <c r="AD33" s="317"/>
      <c r="AE33" s="1156"/>
      <c r="AF33" s="315" t="s">
        <v>46</v>
      </c>
      <c r="AG33" s="316"/>
      <c r="AH33" s="316"/>
      <c r="AI33" s="315" t="s">
        <v>63</v>
      </c>
      <c r="AJ33" s="317"/>
      <c r="AK33" s="1156"/>
      <c r="AL33" s="315" t="s">
        <v>46</v>
      </c>
      <c r="AM33" s="316"/>
      <c r="AN33" s="316"/>
      <c r="AO33" s="315" t="s">
        <v>63</v>
      </c>
      <c r="AP33" s="317"/>
    </row>
    <row r="34" spans="1:45" ht="30" customHeight="1">
      <c r="A34" s="1141" t="s">
        <v>1087</v>
      </c>
      <c r="B34" s="2874" t="s">
        <v>455</v>
      </c>
      <c r="C34" s="2876"/>
      <c r="D34" s="256" t="s">
        <v>196</v>
      </c>
      <c r="E34" s="50" t="s">
        <v>1088</v>
      </c>
      <c r="F34" s="435"/>
      <c r="G34" s="435"/>
      <c r="H34" s="3523">
        <f>'R.FILE GOC'!H34</f>
        <v>0</v>
      </c>
      <c r="I34" s="3524"/>
      <c r="J34" s="3524"/>
      <c r="K34" s="3523">
        <f>'R.FILE GOC'!K34</f>
        <v>0</v>
      </c>
      <c r="L34" s="3524"/>
      <c r="M34" s="1553"/>
      <c r="N34" s="3523">
        <f>'R.FILE GOC'!N34</f>
        <v>0</v>
      </c>
      <c r="O34" s="3524"/>
      <c r="P34" s="3524"/>
      <c r="Q34" s="3523">
        <f>'R.FILE GOC'!Q34</f>
        <v>0</v>
      </c>
      <c r="R34" s="3524"/>
      <c r="S34" s="1553"/>
      <c r="T34" s="3523">
        <f>'R.FILE GOC'!T34</f>
        <v>0</v>
      </c>
      <c r="U34" s="3524"/>
      <c r="V34" s="3524"/>
      <c r="W34" s="3523">
        <f>'R.FILE GOC'!W34</f>
        <v>0</v>
      </c>
      <c r="X34" s="3524"/>
      <c r="Y34" s="1553"/>
      <c r="Z34" s="3523">
        <f>'R.FILE GOC'!Z34</f>
        <v>0</v>
      </c>
      <c r="AA34" s="3524"/>
      <c r="AB34" s="3524"/>
      <c r="AC34" s="3523">
        <f>'R.FILE GOC'!AC34</f>
        <v>0</v>
      </c>
      <c r="AD34" s="3524"/>
      <c r="AE34" s="1553"/>
      <c r="AF34" s="3523">
        <f>'R.FILE GOC'!AF34</f>
        <v>0</v>
      </c>
      <c r="AG34" s="3524"/>
      <c r="AH34" s="3524"/>
      <c r="AI34" s="3523">
        <f>'R.FILE GOC'!AI34</f>
        <v>0</v>
      </c>
      <c r="AJ34" s="3524"/>
      <c r="AK34" s="1553"/>
      <c r="AL34" s="3523">
        <f>'R.FILE GOC'!AL34</f>
        <v>0</v>
      </c>
      <c r="AM34" s="3524"/>
      <c r="AN34" s="3524"/>
      <c r="AO34" s="3522">
        <f>'R.FILE GOC'!AO34</f>
        <v>0</v>
      </c>
      <c r="AP34" s="3522"/>
      <c r="AQ34" s="12" t="s">
        <v>452</v>
      </c>
    </row>
    <row r="35" spans="1:45" ht="30" customHeight="1">
      <c r="A35" s="1141" t="s">
        <v>1089</v>
      </c>
      <c r="B35" s="2874" t="s">
        <v>733</v>
      </c>
      <c r="C35" s="2876"/>
      <c r="D35" s="256" t="s">
        <v>196</v>
      </c>
      <c r="E35" s="50" t="s">
        <v>1077</v>
      </c>
      <c r="F35" s="435"/>
      <c r="G35" s="435"/>
      <c r="H35" s="3523">
        <f>'R.FILE GOC'!H35</f>
        <v>0</v>
      </c>
      <c r="I35" s="3524"/>
      <c r="J35" s="3524"/>
      <c r="K35" s="3523">
        <f>'R.FILE GOC'!K35</f>
        <v>0</v>
      </c>
      <c r="L35" s="3524"/>
      <c r="M35" s="1553"/>
      <c r="N35" s="3523">
        <f>'R.FILE GOC'!N35</f>
        <v>0</v>
      </c>
      <c r="O35" s="3524"/>
      <c r="P35" s="3524"/>
      <c r="Q35" s="3523">
        <f>'R.FILE GOC'!Q35</f>
        <v>0</v>
      </c>
      <c r="R35" s="3524"/>
      <c r="S35" s="1553"/>
      <c r="T35" s="3523">
        <f>'R.FILE GOC'!T35</f>
        <v>0</v>
      </c>
      <c r="U35" s="3524"/>
      <c r="V35" s="3524"/>
      <c r="W35" s="3523">
        <f>'R.FILE GOC'!W35</f>
        <v>0</v>
      </c>
      <c r="X35" s="3524"/>
      <c r="Y35" s="1553"/>
      <c r="Z35" s="3523">
        <f>'R.FILE GOC'!Z35</f>
        <v>0</v>
      </c>
      <c r="AA35" s="3524"/>
      <c r="AB35" s="3524"/>
      <c r="AC35" s="3523">
        <f>'R.FILE GOC'!AC35</f>
        <v>0</v>
      </c>
      <c r="AD35" s="3524"/>
      <c r="AE35" s="1553"/>
      <c r="AF35" s="3523">
        <f>'R.FILE GOC'!AF35</f>
        <v>0</v>
      </c>
      <c r="AG35" s="3524"/>
      <c r="AH35" s="3524"/>
      <c r="AI35" s="3523">
        <f>'R.FILE GOC'!AI35</f>
        <v>0</v>
      </c>
      <c r="AJ35" s="3524"/>
      <c r="AK35" s="1553"/>
      <c r="AL35" s="3523">
        <f>'R.FILE GOC'!AL35</f>
        <v>0</v>
      </c>
      <c r="AM35" s="3524"/>
      <c r="AN35" s="3524"/>
      <c r="AO35" s="3522">
        <f>'R.FILE GOC'!AO35</f>
        <v>0</v>
      </c>
      <c r="AP35" s="3522"/>
      <c r="AQ35" s="12" t="s">
        <v>452</v>
      </c>
    </row>
    <row r="36" spans="1:45" ht="30" customHeight="1">
      <c r="A36" s="1141" t="s">
        <v>1090</v>
      </c>
      <c r="B36" s="2874" t="s">
        <v>734</v>
      </c>
      <c r="C36" s="2876"/>
      <c r="D36" s="256" t="s">
        <v>196</v>
      </c>
      <c r="E36" s="50" t="s">
        <v>1078</v>
      </c>
      <c r="F36" s="444"/>
      <c r="G36" s="444"/>
      <c r="H36" s="3523">
        <f>'R.FILE GOC'!H36</f>
        <v>0</v>
      </c>
      <c r="I36" s="3524"/>
      <c r="J36" s="3524"/>
      <c r="K36" s="3523">
        <f>'R.FILE GOC'!K36</f>
        <v>0</v>
      </c>
      <c r="L36" s="3524"/>
      <c r="M36" s="1553"/>
      <c r="N36" s="3523">
        <f>'R.FILE GOC'!N36</f>
        <v>0</v>
      </c>
      <c r="O36" s="3524"/>
      <c r="P36" s="3524"/>
      <c r="Q36" s="3523">
        <f>'R.FILE GOC'!Q36</f>
        <v>0</v>
      </c>
      <c r="R36" s="3524"/>
      <c r="S36" s="1553"/>
      <c r="T36" s="3523">
        <f>'R.FILE GOC'!T36</f>
        <v>0</v>
      </c>
      <c r="U36" s="3524"/>
      <c r="V36" s="3524"/>
      <c r="W36" s="3523">
        <f>'R.FILE GOC'!W36</f>
        <v>0</v>
      </c>
      <c r="X36" s="3524"/>
      <c r="Y36" s="1553"/>
      <c r="Z36" s="3523">
        <f>'R.FILE GOC'!Z36</f>
        <v>0</v>
      </c>
      <c r="AA36" s="3524"/>
      <c r="AB36" s="3524"/>
      <c r="AC36" s="3523">
        <f>'R.FILE GOC'!AC36</f>
        <v>0</v>
      </c>
      <c r="AD36" s="3524"/>
      <c r="AE36" s="1553"/>
      <c r="AF36" s="3523">
        <f>'R.FILE GOC'!AF36</f>
        <v>0</v>
      </c>
      <c r="AG36" s="3524"/>
      <c r="AH36" s="3524"/>
      <c r="AI36" s="3523">
        <f>'R.FILE GOC'!AI36</f>
        <v>0</v>
      </c>
      <c r="AJ36" s="3524"/>
      <c r="AK36" s="1553"/>
      <c r="AL36" s="3523">
        <f>'R.FILE GOC'!AL36</f>
        <v>0</v>
      </c>
      <c r="AM36" s="3524"/>
      <c r="AN36" s="3524"/>
      <c r="AO36" s="3522">
        <f>'R.FILE GOC'!AO36</f>
        <v>0</v>
      </c>
      <c r="AP36" s="3522"/>
      <c r="AQ36" s="12" t="s">
        <v>452</v>
      </c>
    </row>
    <row r="37" spans="1:45" ht="25.5" customHeight="1">
      <c r="A37" s="445"/>
      <c r="B37" s="445"/>
      <c r="C37" s="445"/>
      <c r="D37" s="445"/>
      <c r="E37" s="445"/>
      <c r="F37" s="445"/>
      <c r="G37" s="445"/>
      <c r="H37" s="445"/>
      <c r="I37" s="445"/>
      <c r="J37" s="445"/>
      <c r="K37" s="445"/>
      <c r="L37" s="445"/>
      <c r="M37" s="445"/>
      <c r="N37" s="445"/>
      <c r="O37" s="445"/>
      <c r="P37" s="445"/>
      <c r="Q37" s="445"/>
      <c r="R37" s="445"/>
      <c r="S37" s="445"/>
      <c r="T37" s="445"/>
      <c r="U37" s="445"/>
      <c r="V37" s="445"/>
      <c r="W37" s="445"/>
      <c r="X37" s="445"/>
      <c r="Y37" s="445"/>
      <c r="Z37" s="445"/>
      <c r="AA37" s="445"/>
      <c r="AB37" s="445"/>
      <c r="AC37" s="445"/>
      <c r="AD37" s="445"/>
      <c r="AP37" s="12"/>
    </row>
    <row r="38" spans="1:45" ht="41.25" customHeight="1">
      <c r="A38" s="2116" t="s">
        <v>1091</v>
      </c>
      <c r="B38" s="2117"/>
      <c r="C38" s="2118"/>
      <c r="D38" s="2118"/>
      <c r="E38" s="2250"/>
      <c r="F38" s="2119" t="s">
        <v>73</v>
      </c>
      <c r="G38" s="2120"/>
      <c r="H38" s="2121" t="s">
        <v>73</v>
      </c>
      <c r="I38" s="2121"/>
      <c r="J38" s="2121"/>
      <c r="K38" s="2121"/>
      <c r="L38" s="2121"/>
      <c r="M38" s="2121"/>
      <c r="N38" s="2121"/>
      <c r="O38" s="2121"/>
      <c r="P38" s="2121"/>
      <c r="Q38" s="2121"/>
      <c r="R38" s="2121"/>
      <c r="S38" s="2121"/>
      <c r="T38" s="2121"/>
      <c r="U38" s="2121"/>
      <c r="V38" s="2121"/>
      <c r="W38" s="2121"/>
      <c r="X38" s="2121"/>
      <c r="Y38" s="2121"/>
      <c r="Z38" s="2121"/>
      <c r="AA38" s="2121"/>
      <c r="AB38" s="2121"/>
      <c r="AC38" s="2121"/>
      <c r="AD38" s="2121"/>
      <c r="AE38" s="2121"/>
      <c r="AF38" s="2121"/>
      <c r="AG38" s="2121"/>
      <c r="AH38" s="2121"/>
      <c r="AI38" s="2122"/>
      <c r="AJ38" s="2121"/>
      <c r="AK38" s="2121"/>
      <c r="AL38" s="2121"/>
      <c r="AM38" s="2121"/>
      <c r="AN38" s="2121"/>
      <c r="AO38" s="2121"/>
      <c r="AP38" s="2121"/>
    </row>
    <row r="39" spans="1:45" ht="31.5" customHeight="1">
      <c r="A39" s="419"/>
      <c r="B39" s="3535" t="s">
        <v>77</v>
      </c>
      <c r="C39" s="3536"/>
      <c r="D39" s="2852" t="s">
        <v>125</v>
      </c>
      <c r="E39" s="3527" t="s">
        <v>65</v>
      </c>
      <c r="F39" s="438"/>
      <c r="G39" s="439"/>
      <c r="H39" s="3301" t="s">
        <v>473</v>
      </c>
      <c r="I39" s="3301"/>
      <c r="J39" s="3301"/>
      <c r="K39" s="3301"/>
      <c r="L39" s="3301"/>
      <c r="M39" s="1276"/>
      <c r="N39" s="3294" t="s">
        <v>1484</v>
      </c>
      <c r="O39" s="3294"/>
      <c r="P39" s="3294"/>
      <c r="Q39" s="3294"/>
      <c r="R39" s="3294"/>
      <c r="S39" s="1276"/>
      <c r="T39" s="3301" t="s">
        <v>1485</v>
      </c>
      <c r="U39" s="3301"/>
      <c r="V39" s="3301"/>
      <c r="W39" s="3301"/>
      <c r="X39" s="3301"/>
      <c r="Y39" s="1276"/>
      <c r="Z39" s="3301" t="s">
        <v>1486</v>
      </c>
      <c r="AA39" s="3301"/>
      <c r="AB39" s="3301"/>
      <c r="AC39" s="3301"/>
      <c r="AD39" s="3301"/>
      <c r="AE39" s="1276"/>
      <c r="AF39" s="3301" t="s">
        <v>1487</v>
      </c>
      <c r="AG39" s="3301"/>
      <c r="AH39" s="3301"/>
      <c r="AI39" s="3301"/>
      <c r="AJ39" s="3301"/>
      <c r="AK39" s="1276"/>
      <c r="AL39" s="3301" t="s">
        <v>1488</v>
      </c>
      <c r="AM39" s="3301"/>
      <c r="AN39" s="3301"/>
      <c r="AO39" s="3301"/>
      <c r="AP39" s="3301"/>
    </row>
    <row r="40" spans="1:45" ht="31.5" customHeight="1">
      <c r="A40" s="457" t="s">
        <v>239</v>
      </c>
      <c r="B40" s="3537"/>
      <c r="C40" s="3538"/>
      <c r="D40" s="3526"/>
      <c r="E40" s="3528"/>
      <c r="F40" s="424" t="s">
        <v>423</v>
      </c>
      <c r="G40" s="425"/>
      <c r="H40" s="1107" t="s">
        <v>732</v>
      </c>
      <c r="I40" s="305" t="s">
        <v>1</v>
      </c>
      <c r="J40" s="3529" t="s">
        <v>1</v>
      </c>
      <c r="K40" s="3529"/>
      <c r="L40" s="3530"/>
      <c r="M40" s="1139"/>
      <c r="N40" s="1107" t="s">
        <v>732</v>
      </c>
      <c r="O40" s="305" t="s">
        <v>1</v>
      </c>
      <c r="P40" s="3529" t="s">
        <v>1</v>
      </c>
      <c r="Q40" s="3529"/>
      <c r="R40" s="3530"/>
      <c r="S40" s="425"/>
      <c r="T40" s="1107" t="s">
        <v>732</v>
      </c>
      <c r="U40" s="305" t="s">
        <v>1</v>
      </c>
      <c r="V40" s="3529" t="s">
        <v>1</v>
      </c>
      <c r="W40" s="3529"/>
      <c r="X40" s="3530"/>
      <c r="Y40" s="1139"/>
      <c r="Z40" s="1107" t="s">
        <v>732</v>
      </c>
      <c r="AA40" s="305" t="s">
        <v>1</v>
      </c>
      <c r="AB40" s="3531" t="s">
        <v>1</v>
      </c>
      <c r="AC40" s="3531"/>
      <c r="AD40" s="3531"/>
      <c r="AE40" s="425"/>
      <c r="AF40" s="1107" t="s">
        <v>732</v>
      </c>
      <c r="AG40" s="305" t="s">
        <v>1</v>
      </c>
      <c r="AH40" s="3529" t="s">
        <v>1</v>
      </c>
      <c r="AI40" s="3529"/>
      <c r="AJ40" s="3530"/>
      <c r="AK40" s="1139"/>
      <c r="AL40" s="1107" t="s">
        <v>732</v>
      </c>
      <c r="AM40" s="305" t="s">
        <v>1</v>
      </c>
      <c r="AN40" s="3531" t="s">
        <v>1</v>
      </c>
      <c r="AO40" s="3531"/>
      <c r="AP40" s="3531"/>
      <c r="AS40" s="1140" t="s">
        <v>1092</v>
      </c>
    </row>
    <row r="41" spans="1:45" ht="31.5" customHeight="1">
      <c r="A41" s="1141" t="s">
        <v>1093</v>
      </c>
      <c r="B41" s="2954" t="s">
        <v>450</v>
      </c>
      <c r="C41" s="2956"/>
      <c r="D41" s="440" t="s">
        <v>432</v>
      </c>
      <c r="E41" s="50" t="s">
        <v>451</v>
      </c>
      <c r="F41" s="430">
        <v>40</v>
      </c>
      <c r="G41" s="427">
        <f>R.HN!C25</f>
        <v>4.8</v>
      </c>
      <c r="H41" s="1560">
        <f>G41*10</f>
        <v>48</v>
      </c>
      <c r="I41" s="1560">
        <f>($F$25-H41)*2330/1000</f>
        <v>-18.64</v>
      </c>
      <c r="J41" s="1561" t="s">
        <v>8</v>
      </c>
      <c r="K41" s="1544">
        <f>IF(H41=0,0,IF(I41&lt;0,0,I41))</f>
        <v>0</v>
      </c>
      <c r="L41" s="1561" t="s">
        <v>9</v>
      </c>
      <c r="M41" s="1562">
        <f>R.HN!D25</f>
        <v>4.8</v>
      </c>
      <c r="N41" s="1560">
        <f>M41*10</f>
        <v>48</v>
      </c>
      <c r="O41" s="1560">
        <f>($F$25-N41)*2330/1000</f>
        <v>-18.64</v>
      </c>
      <c r="P41" s="1561" t="s">
        <v>8</v>
      </c>
      <c r="Q41" s="1544">
        <f>IF(N41=0,0,IF(O41&lt;0,0,O41))</f>
        <v>0</v>
      </c>
      <c r="R41" s="1561" t="s">
        <v>9</v>
      </c>
      <c r="S41" s="1562">
        <f>R.HN!E25</f>
        <v>4.5999999999999996</v>
      </c>
      <c r="T41" s="1560">
        <f>S41*10</f>
        <v>46</v>
      </c>
      <c r="U41" s="1560">
        <f>($F$25-T41)*2330/1000</f>
        <v>-13.98</v>
      </c>
      <c r="V41" s="1561" t="s">
        <v>8</v>
      </c>
      <c r="W41" s="1544">
        <f>IF(T41=0,0,IF(U41&lt;0,0,U41))</f>
        <v>0</v>
      </c>
      <c r="X41" s="1561" t="s">
        <v>9</v>
      </c>
      <c r="Y41" s="1562">
        <f>R.HN!F25</f>
        <v>4.5</v>
      </c>
      <c r="Z41" s="1560">
        <f>Y41*10</f>
        <v>45</v>
      </c>
      <c r="AA41" s="1560">
        <f>($F$25-Z41)*2330/1000</f>
        <v>-11.65</v>
      </c>
      <c r="AB41" s="1561" t="s">
        <v>8</v>
      </c>
      <c r="AC41" s="1544">
        <f>IF(Z41=0,0,IF(AA41&lt;0,0,AA41))</f>
        <v>0</v>
      </c>
      <c r="AD41" s="1561" t="s">
        <v>9</v>
      </c>
      <c r="AE41" s="1562">
        <f>R.HN!G25</f>
        <v>4</v>
      </c>
      <c r="AF41" s="1560">
        <f>AE41*10</f>
        <v>40</v>
      </c>
      <c r="AG41" s="1560">
        <f>($F$25-AF41)*2330/1000</f>
        <v>0</v>
      </c>
      <c r="AH41" s="1561" t="s">
        <v>8</v>
      </c>
      <c r="AI41" s="1544">
        <f>IF(AF41=0,0,IF(AG41&lt;0,0,AG41))</f>
        <v>0</v>
      </c>
      <c r="AJ41" s="1561" t="s">
        <v>9</v>
      </c>
      <c r="AK41" s="1562">
        <f>R.HN!H25</f>
        <v>3.7</v>
      </c>
      <c r="AL41" s="1560">
        <f>AK41*10</f>
        <v>37</v>
      </c>
      <c r="AM41" s="1560">
        <f>($F$25-AL41)*2330/1000</f>
        <v>6.99</v>
      </c>
      <c r="AN41" s="1561" t="s">
        <v>8</v>
      </c>
      <c r="AO41" s="1544">
        <f>IF(AL41=0,0,IF(AM41&lt;0,0,AM41))</f>
        <v>6.99</v>
      </c>
      <c r="AP41" s="1560" t="s">
        <v>9</v>
      </c>
      <c r="AQ41" s="12" t="s">
        <v>459</v>
      </c>
      <c r="AS41" s="1142" t="s">
        <v>1023</v>
      </c>
    </row>
    <row r="42" spans="1:45" ht="31.5" customHeight="1">
      <c r="A42" s="1141" t="s">
        <v>1094</v>
      </c>
      <c r="B42" s="2954" t="s">
        <v>838</v>
      </c>
      <c r="C42" s="2956"/>
      <c r="D42" s="49" t="s">
        <v>3</v>
      </c>
      <c r="E42" s="50" t="s">
        <v>427</v>
      </c>
      <c r="F42" s="426">
        <v>12.5</v>
      </c>
      <c r="G42" s="427">
        <f>R.HN!C26</f>
        <v>3</v>
      </c>
      <c r="H42" s="1560">
        <f>(1*G42*36.5)/(1*10)</f>
        <v>10.95</v>
      </c>
      <c r="I42" s="1560">
        <f>($F$26-H42)*2605/32</f>
        <v>126.17968750000006</v>
      </c>
      <c r="J42" s="1561" t="s">
        <v>8</v>
      </c>
      <c r="K42" s="1544">
        <f>IF(H42=0,0,IF(I42&lt;0,0,I42))</f>
        <v>126.17968750000006</v>
      </c>
      <c r="L42" s="1561" t="s">
        <v>10</v>
      </c>
      <c r="M42" s="1563">
        <f>R.HN!D26</f>
        <v>3.1</v>
      </c>
      <c r="N42" s="1560">
        <f>(1*M42*36.5)/(1*10)</f>
        <v>11.315000000000001</v>
      </c>
      <c r="O42" s="1560">
        <f>($F$26-N42)*2605/32</f>
        <v>96.466406249999892</v>
      </c>
      <c r="P42" s="1561" t="s">
        <v>8</v>
      </c>
      <c r="Q42" s="1544">
        <f>IF(N42=0,0,IF(O42&lt;0,0,O42))</f>
        <v>96.466406249999892</v>
      </c>
      <c r="R42" s="1561" t="s">
        <v>10</v>
      </c>
      <c r="S42" s="1564">
        <f>R.HN!E26</f>
        <v>2.8</v>
      </c>
      <c r="T42" s="1560">
        <f>(1*S42*36.5)/(1*10)</f>
        <v>10.219999999999999</v>
      </c>
      <c r="U42" s="1560">
        <f>($F$26-T42)*2605/32</f>
        <v>185.6062500000001</v>
      </c>
      <c r="V42" s="1561" t="s">
        <v>8</v>
      </c>
      <c r="W42" s="1544">
        <f>IF(T42=0,0,IF(U42&lt;0,0,U42))</f>
        <v>185.6062500000001</v>
      </c>
      <c r="X42" s="1561" t="s">
        <v>10</v>
      </c>
      <c r="Y42" s="1564">
        <f>R.HN!F26</f>
        <v>2.9</v>
      </c>
      <c r="Z42" s="1560">
        <f>(1*Y42*36.5)/(1*10)</f>
        <v>10.584999999999999</v>
      </c>
      <c r="AA42" s="1560">
        <f>($F$26-Z42)*2605/32</f>
        <v>155.89296875000008</v>
      </c>
      <c r="AB42" s="1561" t="s">
        <v>8</v>
      </c>
      <c r="AC42" s="1544">
        <f>IF(Z42=0,0,IF(AA42&lt;0,0,AA42))</f>
        <v>155.89296875000008</v>
      </c>
      <c r="AD42" s="1561" t="s">
        <v>10</v>
      </c>
      <c r="AE42" s="1564">
        <f>R.HN!G26</f>
        <v>2.5</v>
      </c>
      <c r="AF42" s="1560">
        <f>(1*AE42*36.5)/(1*10)</f>
        <v>9.125</v>
      </c>
      <c r="AG42" s="1560">
        <f>($F$26-AF42)*2605/32</f>
        <v>274.74609375</v>
      </c>
      <c r="AH42" s="1561" t="s">
        <v>8</v>
      </c>
      <c r="AI42" s="1544">
        <f>IF(AF42=0,0,IF(AG42&lt;0,0,AG42))</f>
        <v>274.74609375</v>
      </c>
      <c r="AJ42" s="1561" t="s">
        <v>10</v>
      </c>
      <c r="AK42" s="1564">
        <f>R.HN!H26</f>
        <v>2.9</v>
      </c>
      <c r="AL42" s="1560">
        <f>(1*AK42*36.5)/(1*10)</f>
        <v>10.584999999999999</v>
      </c>
      <c r="AM42" s="1560">
        <f>($F$26-AL42)*2605/32</f>
        <v>155.89296875000008</v>
      </c>
      <c r="AN42" s="1561" t="s">
        <v>8</v>
      </c>
      <c r="AO42" s="1544">
        <f>IF(AL42=0,0,IF(AM42&lt;0,0,AM42))</f>
        <v>155.89296875000008</v>
      </c>
      <c r="AP42" s="1560" t="s">
        <v>10</v>
      </c>
      <c r="AQ42" s="12" t="s">
        <v>459</v>
      </c>
      <c r="AS42" s="1142" t="s">
        <v>1022</v>
      </c>
    </row>
    <row r="43" spans="1:45" ht="42" customHeight="1">
      <c r="A43" s="1141" t="s">
        <v>1095</v>
      </c>
      <c r="B43" s="1145" t="s">
        <v>786</v>
      </c>
      <c r="C43" s="3532"/>
      <c r="D43" s="1146" t="s">
        <v>432</v>
      </c>
      <c r="E43" s="50" t="s">
        <v>1432</v>
      </c>
      <c r="F43" s="441">
        <v>50</v>
      </c>
      <c r="G43" s="427">
        <f>R.HN!C27</f>
        <v>5.5</v>
      </c>
      <c r="H43" s="1560">
        <f>G43*10</f>
        <v>55</v>
      </c>
      <c r="I43" s="1560">
        <f>($F$43-H43)*4935/1000</f>
        <v>-24.675000000000001</v>
      </c>
      <c r="J43" s="1561" t="s">
        <v>8</v>
      </c>
      <c r="K43" s="1544">
        <f>IF(H43=0,0,IF(I43&lt;0,0,I43))</f>
        <v>0</v>
      </c>
      <c r="L43" s="1561" t="s">
        <v>9</v>
      </c>
      <c r="M43" s="1562">
        <f>R.HN!D27</f>
        <v>4.9000000000000004</v>
      </c>
      <c r="N43" s="1560">
        <f>M43*10</f>
        <v>49</v>
      </c>
      <c r="O43" s="1560">
        <f>($F$43-N43)*4935/1000</f>
        <v>4.9349999999999996</v>
      </c>
      <c r="P43" s="1561" t="s">
        <v>8</v>
      </c>
      <c r="Q43" s="1544">
        <f>IF(N43=0,0,IF(O43&lt;0,0,O43))</f>
        <v>4.9349999999999996</v>
      </c>
      <c r="R43" s="1561" t="s">
        <v>9</v>
      </c>
      <c r="S43" s="1562">
        <f>R.HN!E27</f>
        <v>5.0999999999999996</v>
      </c>
      <c r="T43" s="1560">
        <f>S43*10</f>
        <v>51</v>
      </c>
      <c r="U43" s="1560">
        <f>($F$43-T43)*4935/1000</f>
        <v>-4.9349999999999996</v>
      </c>
      <c r="V43" s="1561" t="s">
        <v>8</v>
      </c>
      <c r="W43" s="1544">
        <f>IF(T43=0,0,IF(U43&lt;0,0,U43))</f>
        <v>0</v>
      </c>
      <c r="X43" s="1561" t="s">
        <v>9</v>
      </c>
      <c r="Y43" s="1562">
        <f>R.HN!F27</f>
        <v>5</v>
      </c>
      <c r="Z43" s="1560">
        <f>Y43*10</f>
        <v>50</v>
      </c>
      <c r="AA43" s="1560">
        <f>($F$43-Z43)*4935/1000</f>
        <v>0</v>
      </c>
      <c r="AB43" s="1561" t="s">
        <v>8</v>
      </c>
      <c r="AC43" s="1544">
        <f>IF(Z43=0,0,IF(AA43&lt;0,0,AA43))</f>
        <v>0</v>
      </c>
      <c r="AD43" s="1561" t="s">
        <v>9</v>
      </c>
      <c r="AE43" s="1562">
        <f>R.HN!G27</f>
        <v>4.5</v>
      </c>
      <c r="AF43" s="1560">
        <f>AE43*10</f>
        <v>45</v>
      </c>
      <c r="AG43" s="1560">
        <f>($F$43-AF43)*4935/1000</f>
        <v>24.675000000000001</v>
      </c>
      <c r="AH43" s="1561" t="s">
        <v>8</v>
      </c>
      <c r="AI43" s="1544">
        <f>IF(AF43=0,0,IF(AG43&lt;0,0,AG43))</f>
        <v>24.675000000000001</v>
      </c>
      <c r="AJ43" s="1561" t="s">
        <v>9</v>
      </c>
      <c r="AK43" s="1562">
        <f>R.HN!H27</f>
        <v>4.5</v>
      </c>
      <c r="AL43" s="1560">
        <f>AK43*10</f>
        <v>45</v>
      </c>
      <c r="AM43" s="1560">
        <f>($F$43-AL43)*4935/1000</f>
        <v>24.675000000000001</v>
      </c>
      <c r="AN43" s="1561" t="s">
        <v>8</v>
      </c>
      <c r="AO43" s="1544">
        <f>IF(AL43=0,0,IF(AM43&lt;0,0,AM43))</f>
        <v>24.675000000000001</v>
      </c>
      <c r="AP43" s="1560" t="s">
        <v>9</v>
      </c>
      <c r="AQ43" s="12" t="s">
        <v>459</v>
      </c>
      <c r="AS43" s="1142" t="s">
        <v>1024</v>
      </c>
    </row>
    <row r="44" spans="1:45" ht="31.5" customHeight="1">
      <c r="A44" s="1141" t="s">
        <v>1096</v>
      </c>
      <c r="B44" s="1147" t="s">
        <v>787</v>
      </c>
      <c r="C44" s="3533"/>
      <c r="D44" s="1146" t="s">
        <v>432</v>
      </c>
      <c r="E44" s="50" t="s">
        <v>1075</v>
      </c>
      <c r="F44" s="427">
        <v>6.5</v>
      </c>
      <c r="G44" s="427">
        <f>R.HN!C28</f>
        <v>6.1</v>
      </c>
      <c r="H44" s="1560">
        <f>IFERROR(H43/G44,0)</f>
        <v>9.0163934426229506</v>
      </c>
      <c r="I44" s="1560">
        <f>($F$44-H44)*4935/1000</f>
        <v>-12.418401639344262</v>
      </c>
      <c r="J44" s="1561"/>
      <c r="K44" s="1544">
        <f>IF(H44=0,0,IF(I44&lt;0,0,I44))</f>
        <v>0</v>
      </c>
      <c r="L44" s="1561" t="s">
        <v>9</v>
      </c>
      <c r="M44" s="1564">
        <f>R.HN!D28</f>
        <v>5</v>
      </c>
      <c r="N44" s="1560">
        <f>IFERROR(N43/M44,0)</f>
        <v>9.8000000000000007</v>
      </c>
      <c r="O44" s="1560">
        <f>($F$44-N44)*4935/1000</f>
        <v>-16.285500000000003</v>
      </c>
      <c r="P44" s="1561"/>
      <c r="Q44" s="1544">
        <f>IF(N44=0,0,IF(O44&lt;0,0,O44))</f>
        <v>0</v>
      </c>
      <c r="R44" s="1561" t="s">
        <v>9</v>
      </c>
      <c r="S44" s="1564">
        <f>R.HN!E28</f>
        <v>5</v>
      </c>
      <c r="T44" s="1560">
        <f>IFERROR(T43/S44,0)</f>
        <v>10.199999999999999</v>
      </c>
      <c r="U44" s="1560">
        <f>($F$44-T44)*4935/1000</f>
        <v>-18.259499999999996</v>
      </c>
      <c r="V44" s="1561"/>
      <c r="W44" s="1544">
        <f>IF(T44=0,0,IF(U44&lt;0,0,U44))</f>
        <v>0</v>
      </c>
      <c r="X44" s="1561" t="s">
        <v>9</v>
      </c>
      <c r="Y44" s="1564">
        <f>R.HN!F28</f>
        <v>5.2</v>
      </c>
      <c r="Z44" s="1560">
        <f>IFERROR(Z43/Y44,0)</f>
        <v>9.615384615384615</v>
      </c>
      <c r="AA44" s="1560">
        <f>($F$44-Z44)*4935/1000</f>
        <v>-15.374423076923074</v>
      </c>
      <c r="AB44" s="1561"/>
      <c r="AC44" s="1544">
        <f>IF(Z44=0,0,IF(AA44&lt;0,0,AA44))</f>
        <v>0</v>
      </c>
      <c r="AD44" s="1561" t="s">
        <v>9</v>
      </c>
      <c r="AE44" s="1562">
        <f>R.HN!G28</f>
        <v>5.2</v>
      </c>
      <c r="AF44" s="1560">
        <f>IFERROR(AF43/AE44,0)</f>
        <v>8.6538461538461533</v>
      </c>
      <c r="AG44" s="1560">
        <f>($F$44-AF44)*4935/1000</f>
        <v>-10.629230769230766</v>
      </c>
      <c r="AH44" s="1561"/>
      <c r="AI44" s="1544">
        <f>IF(AF44=0,0,IF(AG44&lt;0,0,AG44))</f>
        <v>0</v>
      </c>
      <c r="AJ44" s="1561" t="s">
        <v>9</v>
      </c>
      <c r="AK44" s="1562">
        <f>R.HN!H28</f>
        <v>5.3</v>
      </c>
      <c r="AL44" s="1560">
        <f>IFERROR(AL43/AK44,0)</f>
        <v>8.4905660377358494</v>
      </c>
      <c r="AM44" s="1560">
        <f>($F$44-AL44)*4935/1000</f>
        <v>-9.823443396226418</v>
      </c>
      <c r="AN44" s="1561"/>
      <c r="AO44" s="1544">
        <f>IF(AL44=0,0,IF(AM44&lt;0,0,AM44))</f>
        <v>0</v>
      </c>
      <c r="AP44" s="1560" t="s">
        <v>9</v>
      </c>
      <c r="AQ44" s="12" t="s">
        <v>459</v>
      </c>
      <c r="AS44" s="1142" t="s">
        <v>1025</v>
      </c>
    </row>
    <row r="45" spans="1:45" ht="42.75" customHeight="1">
      <c r="A45" s="1141" t="s">
        <v>1097</v>
      </c>
      <c r="B45" s="1148" t="s">
        <v>788</v>
      </c>
      <c r="C45" s="3534"/>
      <c r="D45" s="1146" t="s">
        <v>432</v>
      </c>
      <c r="E45" s="50" t="s">
        <v>1076</v>
      </c>
      <c r="F45" s="443">
        <v>0.4</v>
      </c>
      <c r="G45" s="427">
        <f>R.HN!C29</f>
        <v>0.4</v>
      </c>
      <c r="H45" s="1555">
        <f>G45</f>
        <v>0.4</v>
      </c>
      <c r="I45" s="1555"/>
      <c r="J45" s="1556"/>
      <c r="K45" s="1557"/>
      <c r="L45" s="1556"/>
      <c r="M45" s="1557">
        <f>R.HN!D29</f>
        <v>0.42</v>
      </c>
      <c r="N45" s="1555">
        <f>M45</f>
        <v>0.42</v>
      </c>
      <c r="O45" s="1555"/>
      <c r="P45" s="1556"/>
      <c r="Q45" s="1557"/>
      <c r="R45" s="1556"/>
      <c r="S45" s="1557">
        <f>R.HN!E29</f>
        <v>0.72</v>
      </c>
      <c r="T45" s="1555">
        <f>S45</f>
        <v>0.72</v>
      </c>
      <c r="U45" s="1555"/>
      <c r="V45" s="1556"/>
      <c r="W45" s="1557"/>
      <c r="X45" s="1556"/>
      <c r="Y45" s="1557">
        <f>R.HN!F29</f>
        <v>0.56000000000000005</v>
      </c>
      <c r="Z45" s="1555">
        <f>Y45</f>
        <v>0.56000000000000005</v>
      </c>
      <c r="AA45" s="1555"/>
      <c r="AB45" s="1556"/>
      <c r="AC45" s="1557"/>
      <c r="AD45" s="1556"/>
      <c r="AE45" s="1557">
        <f>R.HN!G29</f>
        <v>0.8</v>
      </c>
      <c r="AF45" s="1555">
        <f>AE45</f>
        <v>0.8</v>
      </c>
      <c r="AG45" s="1555"/>
      <c r="AH45" s="1556"/>
      <c r="AI45" s="1557"/>
      <c r="AJ45" s="1556"/>
      <c r="AK45" s="1557">
        <f>R.HN!H29</f>
        <v>0.64</v>
      </c>
      <c r="AL45" s="1555">
        <f>AK45</f>
        <v>0.64</v>
      </c>
      <c r="AM45" s="1555"/>
      <c r="AN45" s="1556"/>
      <c r="AO45" s="1557"/>
      <c r="AP45" s="282"/>
      <c r="AQ45" s="12" t="s">
        <v>459</v>
      </c>
      <c r="AS45" s="1142" t="s">
        <v>1026</v>
      </c>
    </row>
    <row r="46" spans="1:45" ht="31.5" customHeight="1">
      <c r="A46" s="1141" t="s">
        <v>1098</v>
      </c>
      <c r="B46" s="1149" t="s">
        <v>441</v>
      </c>
      <c r="C46" s="1150"/>
      <c r="D46" s="1109" t="s">
        <v>432</v>
      </c>
      <c r="E46" s="50" t="s">
        <v>442</v>
      </c>
      <c r="F46" s="431">
        <v>1</v>
      </c>
      <c r="G46" s="427">
        <f>R.HN!C33</f>
        <v>0.9</v>
      </c>
      <c r="H46" s="1560">
        <f>G46</f>
        <v>0.9</v>
      </c>
      <c r="I46" s="1560">
        <f>($F$30-H46)*1234/1000</f>
        <v>0.12339999999999998</v>
      </c>
      <c r="J46" s="1561" t="s">
        <v>8</v>
      </c>
      <c r="K46" s="1543">
        <f>IF(H46=0,0,IF(I46&lt;0,0,I46))</f>
        <v>0.12339999999999998</v>
      </c>
      <c r="L46" s="1561" t="s">
        <v>9</v>
      </c>
      <c r="M46" s="1562">
        <f>R.HN!D33</f>
        <v>0.95</v>
      </c>
      <c r="N46" s="1560">
        <f>M46</f>
        <v>0.95</v>
      </c>
      <c r="O46" s="1560">
        <f>($F$30-N46)*1234/1000</f>
        <v>6.1700000000000053E-2</v>
      </c>
      <c r="P46" s="1561" t="s">
        <v>8</v>
      </c>
      <c r="Q46" s="1543">
        <f>IF(N46=0,0,IF(O46&lt;0,0,O46))</f>
        <v>6.1700000000000053E-2</v>
      </c>
      <c r="R46" s="1561" t="s">
        <v>9</v>
      </c>
      <c r="S46" s="1562">
        <f>R.HN!E33</f>
        <v>0.9</v>
      </c>
      <c r="T46" s="1560">
        <f>S46</f>
        <v>0.9</v>
      </c>
      <c r="U46" s="1560">
        <f>($F$30-T46)*1234/1000</f>
        <v>0.12339999999999998</v>
      </c>
      <c r="V46" s="1561" t="s">
        <v>8</v>
      </c>
      <c r="W46" s="1543">
        <f>IF(T46=0,0,IF(U46&lt;0,0,U46))</f>
        <v>0.12339999999999998</v>
      </c>
      <c r="X46" s="1561" t="s">
        <v>9</v>
      </c>
      <c r="Y46" s="1562">
        <f>R.HN!F33</f>
        <v>0.95</v>
      </c>
      <c r="Z46" s="1560">
        <f>Y46</f>
        <v>0.95</v>
      </c>
      <c r="AA46" s="1560">
        <f>($F$30-Z46)*1234/1000</f>
        <v>6.1700000000000053E-2</v>
      </c>
      <c r="AB46" s="1561" t="s">
        <v>8</v>
      </c>
      <c r="AC46" s="1543">
        <f>IF(Z46=0,0,IF(AA46&lt;0,0,AA46))</f>
        <v>6.1700000000000053E-2</v>
      </c>
      <c r="AD46" s="1561" t="s">
        <v>9</v>
      </c>
      <c r="AE46" s="1562">
        <f>R.HN!G33</f>
        <v>0.95</v>
      </c>
      <c r="AF46" s="1560">
        <f>AE46</f>
        <v>0.95</v>
      </c>
      <c r="AG46" s="1560">
        <f>($F$30-AF46)*1234/1000</f>
        <v>6.1700000000000053E-2</v>
      </c>
      <c r="AH46" s="1561" t="s">
        <v>8</v>
      </c>
      <c r="AI46" s="1543">
        <f>IF(AF46=0,0,IF(AG46&lt;0,0,AG46))</f>
        <v>6.1700000000000053E-2</v>
      </c>
      <c r="AJ46" s="1561" t="s">
        <v>9</v>
      </c>
      <c r="AK46" s="1562">
        <f>R.HN!H33</f>
        <v>0.9</v>
      </c>
      <c r="AL46" s="1560">
        <f>AK46</f>
        <v>0.9</v>
      </c>
      <c r="AM46" s="1560">
        <f>($F$30-AL46)*1234/1000</f>
        <v>0.12339999999999998</v>
      </c>
      <c r="AN46" s="1561" t="s">
        <v>8</v>
      </c>
      <c r="AO46" s="1543">
        <f>IF(AL46=0,0,IF(AM46&lt;0,0,AM46))</f>
        <v>0.12339999999999998</v>
      </c>
      <c r="AP46" s="1560" t="s">
        <v>9</v>
      </c>
      <c r="AQ46" s="12" t="s">
        <v>459</v>
      </c>
    </row>
    <row r="47" spans="1:45" ht="31.5" customHeight="1">
      <c r="A47" s="1141" t="s">
        <v>1099</v>
      </c>
      <c r="B47" s="1151" t="s">
        <v>5</v>
      </c>
      <c r="C47" s="1152"/>
      <c r="D47" s="1109" t="s">
        <v>5</v>
      </c>
      <c r="E47" s="50" t="s">
        <v>444</v>
      </c>
      <c r="F47" s="433">
        <v>9.5</v>
      </c>
      <c r="G47" s="427">
        <f>R.HN!C34</f>
        <v>9</v>
      </c>
      <c r="H47" s="1560">
        <f>G47</f>
        <v>9</v>
      </c>
      <c r="I47" s="1560"/>
      <c r="J47" s="1561"/>
      <c r="K47" s="1562"/>
      <c r="L47" s="1561"/>
      <c r="M47" s="1562">
        <f>R.HN!D34</f>
        <v>10</v>
      </c>
      <c r="N47" s="1560">
        <f>M47</f>
        <v>10</v>
      </c>
      <c r="O47" s="1560"/>
      <c r="P47" s="1561"/>
      <c r="Q47" s="1562"/>
      <c r="R47" s="1561"/>
      <c r="S47" s="1562">
        <f>R.HN!E34</f>
        <v>10</v>
      </c>
      <c r="T47" s="1560">
        <f>S47</f>
        <v>10</v>
      </c>
      <c r="U47" s="1560"/>
      <c r="V47" s="1561"/>
      <c r="W47" s="1562"/>
      <c r="X47" s="1561"/>
      <c r="Y47" s="1562">
        <f>R.HN!F34</f>
        <v>9.5</v>
      </c>
      <c r="Z47" s="1560">
        <f>Y47</f>
        <v>9.5</v>
      </c>
      <c r="AA47" s="1560"/>
      <c r="AB47" s="1561"/>
      <c r="AC47" s="1562"/>
      <c r="AD47" s="1561"/>
      <c r="AE47" s="1562">
        <f>R.HN!G34</f>
        <v>10</v>
      </c>
      <c r="AF47" s="1560">
        <f>AE47</f>
        <v>10</v>
      </c>
      <c r="AG47" s="1560"/>
      <c r="AH47" s="1561"/>
      <c r="AI47" s="1562"/>
      <c r="AJ47" s="1561"/>
      <c r="AK47" s="1562">
        <f>R.HN!H34</f>
        <v>9</v>
      </c>
      <c r="AL47" s="1560">
        <f>AK47</f>
        <v>9</v>
      </c>
      <c r="AM47" s="1560"/>
      <c r="AN47" s="1561"/>
      <c r="AO47" s="1562"/>
      <c r="AP47" s="1560"/>
      <c r="AQ47" s="12" t="s">
        <v>459</v>
      </c>
    </row>
    <row r="48" spans="1:45" ht="33" customHeight="1">
      <c r="A48" s="1153" t="s">
        <v>74</v>
      </c>
      <c r="B48" s="314"/>
      <c r="C48" s="314"/>
      <c r="D48" s="314"/>
      <c r="E48" s="306"/>
      <c r="F48" s="314"/>
      <c r="G48" s="314"/>
      <c r="H48" s="314"/>
      <c r="I48" s="314"/>
      <c r="J48" s="314"/>
      <c r="K48" s="314"/>
      <c r="L48" s="314"/>
      <c r="M48" s="314"/>
      <c r="N48" s="320"/>
      <c r="O48" s="314"/>
      <c r="P48" s="314"/>
      <c r="Q48" s="314"/>
      <c r="R48" s="320"/>
      <c r="S48" s="314"/>
      <c r="T48" s="320"/>
      <c r="U48" s="314"/>
      <c r="V48" s="314"/>
      <c r="W48" s="314"/>
      <c r="X48" s="314"/>
      <c r="Y48" s="314"/>
      <c r="Z48" s="314"/>
      <c r="AA48" s="314"/>
      <c r="AB48" s="314"/>
      <c r="AC48" s="314"/>
      <c r="AD48" s="314"/>
      <c r="AE48" s="320"/>
      <c r="AF48" s="320"/>
      <c r="AG48" s="320"/>
      <c r="AH48" s="320"/>
      <c r="AI48" s="320"/>
      <c r="AJ48" s="320"/>
      <c r="AK48" s="320"/>
      <c r="AL48" s="320"/>
      <c r="AM48" s="320"/>
      <c r="AN48" s="320"/>
      <c r="AO48" s="320"/>
      <c r="AP48" s="1154"/>
    </row>
    <row r="49" spans="1:45" ht="52.5" customHeight="1">
      <c r="A49" s="1141" t="s">
        <v>239</v>
      </c>
      <c r="B49" s="2874" t="s">
        <v>62</v>
      </c>
      <c r="C49" s="2876"/>
      <c r="D49" s="287" t="s">
        <v>64</v>
      </c>
      <c r="E49" s="287" t="s">
        <v>65</v>
      </c>
      <c r="F49" s="434"/>
      <c r="G49" s="434"/>
      <c r="H49" s="315" t="s">
        <v>46</v>
      </c>
      <c r="I49" s="316"/>
      <c r="J49" s="316"/>
      <c r="K49" s="315" t="s">
        <v>63</v>
      </c>
      <c r="L49" s="317"/>
      <c r="M49" s="287"/>
      <c r="N49" s="315" t="s">
        <v>46</v>
      </c>
      <c r="O49" s="316"/>
      <c r="P49" s="316"/>
      <c r="Q49" s="315" t="s">
        <v>63</v>
      </c>
      <c r="R49" s="317"/>
      <c r="S49" s="1155"/>
      <c r="T49" s="315" t="s">
        <v>46</v>
      </c>
      <c r="U49" s="316"/>
      <c r="V49" s="316"/>
      <c r="W49" s="315" t="s">
        <v>63</v>
      </c>
      <c r="X49" s="317"/>
      <c r="Y49" s="1156"/>
      <c r="Z49" s="315" t="s">
        <v>46</v>
      </c>
      <c r="AA49" s="316"/>
      <c r="AB49" s="316"/>
      <c r="AC49" s="315" t="s">
        <v>63</v>
      </c>
      <c r="AD49" s="317"/>
      <c r="AE49" s="1156"/>
      <c r="AF49" s="315" t="s">
        <v>46</v>
      </c>
      <c r="AG49" s="316"/>
      <c r="AH49" s="316"/>
      <c r="AI49" s="315" t="s">
        <v>63</v>
      </c>
      <c r="AJ49" s="317"/>
      <c r="AK49" s="1156"/>
      <c r="AL49" s="315" t="s">
        <v>46</v>
      </c>
      <c r="AM49" s="316"/>
      <c r="AN49" s="316"/>
      <c r="AO49" s="315" t="s">
        <v>63</v>
      </c>
      <c r="AP49" s="317"/>
    </row>
    <row r="50" spans="1:45" ht="30" customHeight="1">
      <c r="A50" s="1141" t="s">
        <v>1100</v>
      </c>
      <c r="B50" s="2874" t="s">
        <v>455</v>
      </c>
      <c r="C50" s="2876"/>
      <c r="D50" s="256" t="s">
        <v>196</v>
      </c>
      <c r="E50" s="50" t="s">
        <v>1088</v>
      </c>
      <c r="F50" s="435"/>
      <c r="G50" s="435"/>
      <c r="H50" s="3522">
        <f>'R.FILE GOC'!H50</f>
        <v>0</v>
      </c>
      <c r="I50" s="3522"/>
      <c r="J50" s="3522"/>
      <c r="K50" s="3522">
        <f>'R.FILE GOC'!K50</f>
        <v>60</v>
      </c>
      <c r="L50" s="3522"/>
      <c r="M50" s="1552"/>
      <c r="N50" s="3522">
        <f>'R.FILE GOC'!N50</f>
        <v>0</v>
      </c>
      <c r="O50" s="3522"/>
      <c r="P50" s="3522"/>
      <c r="Q50" s="3522">
        <f>'R.FILE GOC'!Q50</f>
        <v>60</v>
      </c>
      <c r="R50" s="3522"/>
      <c r="S50" s="1552"/>
      <c r="T50" s="3522">
        <f>'R.FILE GOC'!T50</f>
        <v>0</v>
      </c>
      <c r="U50" s="3522"/>
      <c r="V50" s="3522"/>
      <c r="W50" s="3522">
        <f>'R.FILE GOC'!W50</f>
        <v>59</v>
      </c>
      <c r="X50" s="3522"/>
      <c r="Y50" s="1552"/>
      <c r="Z50" s="3522">
        <f>'R.FILE GOC'!Z50</f>
        <v>0</v>
      </c>
      <c r="AA50" s="3522"/>
      <c r="AB50" s="3522"/>
      <c r="AC50" s="3522">
        <f>'R.FILE GOC'!AC50</f>
        <v>60</v>
      </c>
      <c r="AD50" s="3522"/>
      <c r="AE50" s="1552"/>
      <c r="AF50" s="3522">
        <f>'R.FILE GOC'!AF50</f>
        <v>0</v>
      </c>
      <c r="AG50" s="3522"/>
      <c r="AH50" s="3522"/>
      <c r="AI50" s="3522">
        <f>'R.FILE GOC'!AI50</f>
        <v>58</v>
      </c>
      <c r="AJ50" s="3522"/>
      <c r="AK50" s="1552"/>
      <c r="AL50" s="3522">
        <f>'R.FILE GOC'!AL50</f>
        <v>0</v>
      </c>
      <c r="AM50" s="3522"/>
      <c r="AN50" s="3522"/>
      <c r="AO50" s="3522">
        <f>'R.FILE GOC'!AO50</f>
        <v>60</v>
      </c>
      <c r="AP50" s="3522"/>
      <c r="AQ50" s="12" t="s">
        <v>459</v>
      </c>
    </row>
    <row r="51" spans="1:45" ht="30" customHeight="1">
      <c r="A51" s="1141" t="s">
        <v>1101</v>
      </c>
      <c r="B51" s="2874" t="s">
        <v>448</v>
      </c>
      <c r="C51" s="2876"/>
      <c r="D51" s="256" t="s">
        <v>196</v>
      </c>
      <c r="E51" s="50" t="s">
        <v>1077</v>
      </c>
      <c r="F51" s="435"/>
      <c r="G51" s="435"/>
      <c r="H51" s="3522">
        <f>'R.FILE GOC'!H51</f>
        <v>0</v>
      </c>
      <c r="I51" s="3522"/>
      <c r="J51" s="3522"/>
      <c r="K51" s="3522">
        <f>'R.FILE GOC'!K51</f>
        <v>69</v>
      </c>
      <c r="L51" s="3522"/>
      <c r="M51" s="1552"/>
      <c r="N51" s="3522">
        <f>'R.FILE GOC'!N51</f>
        <v>0</v>
      </c>
      <c r="O51" s="3522"/>
      <c r="P51" s="3522"/>
      <c r="Q51" s="3522">
        <f>'R.FILE GOC'!Q51</f>
        <v>69</v>
      </c>
      <c r="R51" s="3522"/>
      <c r="S51" s="1552"/>
      <c r="T51" s="3522">
        <f>'R.FILE GOC'!T51</f>
        <v>0</v>
      </c>
      <c r="U51" s="3522"/>
      <c r="V51" s="3522"/>
      <c r="W51" s="3522">
        <f>'R.FILE GOC'!W51</f>
        <v>70</v>
      </c>
      <c r="X51" s="3522"/>
      <c r="Y51" s="1552"/>
      <c r="Z51" s="3522">
        <f>'R.FILE GOC'!Z51</f>
        <v>0</v>
      </c>
      <c r="AA51" s="3522"/>
      <c r="AB51" s="3522"/>
      <c r="AC51" s="3522">
        <f>'R.FILE GOC'!AC51</f>
        <v>70</v>
      </c>
      <c r="AD51" s="3522"/>
      <c r="AE51" s="1552"/>
      <c r="AF51" s="3522">
        <f>'R.FILE GOC'!AF51</f>
        <v>0</v>
      </c>
      <c r="AG51" s="3522"/>
      <c r="AH51" s="3522"/>
      <c r="AI51" s="3522">
        <f>'R.FILE GOC'!AI51</f>
        <v>70</v>
      </c>
      <c r="AJ51" s="3522"/>
      <c r="AK51" s="1552"/>
      <c r="AL51" s="3522">
        <f>'R.FILE GOC'!AL51</f>
        <v>0</v>
      </c>
      <c r="AM51" s="3522"/>
      <c r="AN51" s="3522"/>
      <c r="AO51" s="3522">
        <f>'R.FILE GOC'!AO51</f>
        <v>70</v>
      </c>
      <c r="AP51" s="3522"/>
      <c r="AQ51" s="12" t="s">
        <v>459</v>
      </c>
    </row>
    <row r="52" spans="1:45" ht="30" customHeight="1">
      <c r="A52" s="1141" t="s">
        <v>1102</v>
      </c>
      <c r="B52" s="2874" t="s">
        <v>734</v>
      </c>
      <c r="C52" s="2876"/>
      <c r="D52" s="256" t="s">
        <v>196</v>
      </c>
      <c r="E52" s="50" t="s">
        <v>1078</v>
      </c>
      <c r="F52" s="14"/>
      <c r="G52" s="14"/>
      <c r="H52" s="3522">
        <f>'R.FILE GOC'!H52</f>
        <v>0</v>
      </c>
      <c r="I52" s="3522"/>
      <c r="J52" s="3522"/>
      <c r="K52" s="3522">
        <f>'R.FILE GOC'!K52</f>
        <v>84</v>
      </c>
      <c r="L52" s="3522"/>
      <c r="M52" s="1552"/>
      <c r="N52" s="3522">
        <f>'R.FILE GOC'!N52</f>
        <v>0</v>
      </c>
      <c r="O52" s="3522"/>
      <c r="P52" s="3522"/>
      <c r="Q52" s="3522">
        <f>'R.FILE GOC'!Q52</f>
        <v>79</v>
      </c>
      <c r="R52" s="3522"/>
      <c r="S52" s="1552"/>
      <c r="T52" s="3522">
        <f>'R.FILE GOC'!T52</f>
        <v>0</v>
      </c>
      <c r="U52" s="3522"/>
      <c r="V52" s="3522"/>
      <c r="W52" s="3522">
        <f>'R.FILE GOC'!W52</f>
        <v>85</v>
      </c>
      <c r="X52" s="3522"/>
      <c r="Y52" s="1552"/>
      <c r="Z52" s="3522">
        <f>'R.FILE GOC'!Z52</f>
        <v>0</v>
      </c>
      <c r="AA52" s="3522"/>
      <c r="AB52" s="3522"/>
      <c r="AC52" s="3522">
        <f>'R.FILE GOC'!AC52</f>
        <v>81</v>
      </c>
      <c r="AD52" s="3522"/>
      <c r="AE52" s="1552"/>
      <c r="AF52" s="3522">
        <f>'R.FILE GOC'!AF52</f>
        <v>0</v>
      </c>
      <c r="AG52" s="3522"/>
      <c r="AH52" s="3522"/>
      <c r="AI52" s="3522">
        <f>'R.FILE GOC'!AI52</f>
        <v>79</v>
      </c>
      <c r="AJ52" s="3522"/>
      <c r="AK52" s="1552"/>
      <c r="AL52" s="3522">
        <f>'R.FILE GOC'!AL52</f>
        <v>0</v>
      </c>
      <c r="AM52" s="3522"/>
      <c r="AN52" s="3522"/>
      <c r="AO52" s="3522">
        <f>'R.FILE GOC'!AO52</f>
        <v>79</v>
      </c>
      <c r="AP52" s="3522"/>
      <c r="AQ52" s="12" t="s">
        <v>459</v>
      </c>
    </row>
    <row r="53" spans="1:45" ht="18.75" customHeight="1">
      <c r="A53" s="319"/>
      <c r="B53" s="319"/>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19"/>
      <c r="AB53" s="319"/>
      <c r="AC53" s="319"/>
      <c r="AP53" s="12"/>
    </row>
    <row r="54" spans="1:45" ht="35.25" customHeight="1">
      <c r="A54" s="2116" t="s">
        <v>1521</v>
      </c>
      <c r="B54" s="2123"/>
      <c r="C54" s="2124"/>
      <c r="D54" s="2125"/>
      <c r="E54" s="2249"/>
      <c r="F54" s="2127" t="s">
        <v>73</v>
      </c>
      <c r="G54" s="2128"/>
      <c r="H54" s="2129" t="s">
        <v>73</v>
      </c>
      <c r="I54" s="2130"/>
      <c r="J54" s="2130"/>
      <c r="K54" s="2130"/>
      <c r="L54" s="2130"/>
      <c r="M54" s="2130"/>
      <c r="N54" s="2130"/>
      <c r="O54" s="2130"/>
      <c r="P54" s="2130"/>
      <c r="Q54" s="2130"/>
      <c r="R54" s="2131"/>
      <c r="S54" s="1160"/>
      <c r="AD54" s="12"/>
      <c r="AP54" s="12"/>
    </row>
    <row r="55" spans="1:45" ht="30" customHeight="1">
      <c r="A55" s="419"/>
      <c r="B55" s="3535" t="s">
        <v>77</v>
      </c>
      <c r="C55" s="3536"/>
      <c r="D55" s="2852" t="s">
        <v>125</v>
      </c>
      <c r="E55" s="3527" t="s">
        <v>65</v>
      </c>
      <c r="F55" s="420"/>
      <c r="G55" s="421"/>
      <c r="H55" s="3539" t="s">
        <v>473</v>
      </c>
      <c r="I55" s="3539"/>
      <c r="J55" s="3539"/>
      <c r="K55" s="3539"/>
      <c r="L55" s="3539"/>
      <c r="M55" s="439"/>
      <c r="N55" s="3540" t="s">
        <v>1490</v>
      </c>
      <c r="O55" s="3540"/>
      <c r="P55" s="3540"/>
      <c r="Q55" s="3540"/>
      <c r="R55" s="3540"/>
      <c r="S55" s="439"/>
      <c r="T55" s="786"/>
      <c r="U55" s="786"/>
      <c r="V55" s="786"/>
      <c r="W55" s="786"/>
      <c r="X55" s="786"/>
      <c r="Y55" s="1161"/>
      <c r="Z55" s="786"/>
      <c r="AA55" s="786"/>
      <c r="AB55" s="786"/>
      <c r="AC55" s="786"/>
      <c r="AD55" s="786"/>
      <c r="AE55" s="1161"/>
      <c r="AF55" s="786"/>
      <c r="AG55" s="786"/>
      <c r="AH55" s="786"/>
      <c r="AI55" s="786"/>
      <c r="AJ55" s="786"/>
      <c r="AK55" s="1161"/>
      <c r="AL55" s="786"/>
      <c r="AM55" s="786"/>
      <c r="AN55" s="786"/>
      <c r="AO55" s="786"/>
      <c r="AP55" s="786"/>
    </row>
    <row r="56" spans="1:45" ht="30" customHeight="1">
      <c r="A56" s="457" t="s">
        <v>239</v>
      </c>
      <c r="B56" s="3537"/>
      <c r="C56" s="3538"/>
      <c r="D56" s="3526"/>
      <c r="E56" s="3528"/>
      <c r="F56" s="424" t="s">
        <v>423</v>
      </c>
      <c r="G56" s="425"/>
      <c r="H56" s="1107" t="s">
        <v>732</v>
      </c>
      <c r="I56" s="305" t="s">
        <v>1</v>
      </c>
      <c r="J56" s="3529" t="s">
        <v>1</v>
      </c>
      <c r="K56" s="3529"/>
      <c r="L56" s="3529"/>
      <c r="M56" s="1139"/>
      <c r="N56" s="1107" t="s">
        <v>732</v>
      </c>
      <c r="O56" s="305" t="s">
        <v>1</v>
      </c>
      <c r="P56" s="3529" t="s">
        <v>1</v>
      </c>
      <c r="Q56" s="3529"/>
      <c r="R56" s="3530"/>
      <c r="S56" s="458"/>
      <c r="T56" s="787"/>
      <c r="U56" s="787"/>
      <c r="V56" s="787"/>
      <c r="W56" s="786"/>
      <c r="X56" s="786"/>
      <c r="Y56" s="1161"/>
      <c r="Z56" s="786"/>
      <c r="AA56" s="786"/>
      <c r="AB56" s="786"/>
      <c r="AC56" s="786"/>
      <c r="AD56" s="786"/>
      <c r="AE56" s="1161"/>
      <c r="AF56" s="786"/>
      <c r="AG56" s="787"/>
      <c r="AH56" s="787"/>
      <c r="AI56" s="787"/>
      <c r="AJ56" s="787"/>
      <c r="AK56" s="446"/>
      <c r="AL56" s="787"/>
      <c r="AM56" s="787"/>
      <c r="AN56" s="787"/>
      <c r="AO56" s="787"/>
      <c r="AP56" s="787"/>
      <c r="AS56" s="1659" t="s">
        <v>1092</v>
      </c>
    </row>
    <row r="57" spans="1:45" ht="48.75" customHeight="1">
      <c r="A57" s="1141" t="s">
        <v>474</v>
      </c>
      <c r="B57" s="2954" t="s">
        <v>475</v>
      </c>
      <c r="C57" s="2956"/>
      <c r="D57" s="1109" t="s">
        <v>4</v>
      </c>
      <c r="E57" s="107" t="s">
        <v>476</v>
      </c>
      <c r="F57" s="1281">
        <v>15</v>
      </c>
      <c r="G57" s="427">
        <f>R.HN!C39</f>
        <v>19</v>
      </c>
      <c r="H57" s="1560">
        <f t="shared" ref="H57" si="0">G57</f>
        <v>19</v>
      </c>
      <c r="I57" s="1560">
        <f>($F$57-H57)*2160*3.34/1000</f>
        <v>-28.857599999999998</v>
      </c>
      <c r="J57" s="1561" t="s">
        <v>8</v>
      </c>
      <c r="K57" s="1544">
        <f>IF(H57=0,0,IF(I57&lt;0,0,I57))</f>
        <v>0</v>
      </c>
      <c r="L57" s="1560" t="s">
        <v>9</v>
      </c>
      <c r="M57" s="1564">
        <f>R.HN!D39</f>
        <v>19</v>
      </c>
      <c r="N57" s="1560">
        <f t="shared" ref="N57" si="1">M57</f>
        <v>19</v>
      </c>
      <c r="O57" s="1560">
        <f>($F$57-N57)*2160*3.34/1000</f>
        <v>-28.857599999999998</v>
      </c>
      <c r="P57" s="1561" t="s">
        <v>8</v>
      </c>
      <c r="Q57" s="1544">
        <f>IF(N57=0,0,IF(O57&lt;0,0,O57))</f>
        <v>0</v>
      </c>
      <c r="R57" s="282" t="s">
        <v>9</v>
      </c>
      <c r="S57" s="461">
        <f>R.HN!E39</f>
        <v>0</v>
      </c>
      <c r="T57" s="787"/>
      <c r="U57" s="788"/>
      <c r="V57" s="789"/>
      <c r="W57" s="786"/>
      <c r="X57" s="786"/>
      <c r="Y57" s="1161"/>
      <c r="Z57" s="786"/>
      <c r="AA57" s="786"/>
      <c r="AB57" s="786"/>
      <c r="AC57" s="786"/>
      <c r="AD57" s="786"/>
      <c r="AE57" s="1161"/>
      <c r="AF57" s="786"/>
      <c r="AG57" s="788"/>
      <c r="AH57" s="789"/>
      <c r="AI57" s="790"/>
      <c r="AJ57" s="791"/>
      <c r="AK57" s="1162"/>
      <c r="AL57" s="788"/>
      <c r="AM57" s="788"/>
      <c r="AN57" s="789"/>
      <c r="AO57" s="790"/>
      <c r="AP57" s="791"/>
      <c r="AQ57" s="12" t="s">
        <v>477</v>
      </c>
      <c r="AS57" s="790"/>
    </row>
    <row r="58" spans="1:45" ht="48.75" customHeight="1">
      <c r="A58" s="1141" t="s">
        <v>478</v>
      </c>
      <c r="B58" s="2954" t="s">
        <v>479</v>
      </c>
      <c r="C58" s="2956"/>
      <c r="D58" s="1109" t="s">
        <v>4</v>
      </c>
      <c r="E58" s="1949" t="s">
        <v>1533</v>
      </c>
      <c r="F58" s="1281">
        <v>50</v>
      </c>
      <c r="G58" s="427">
        <f>R.HN!C40</f>
        <v>9.3000000000000007</v>
      </c>
      <c r="H58" s="1473">
        <f>G58*6.49</f>
        <v>60.357000000000006</v>
      </c>
      <c r="I58" s="1566">
        <f>($F$58-H58)*2160*3.34/1000</f>
        <v>-74.719540800000047</v>
      </c>
      <c r="J58" s="1561" t="s">
        <v>8</v>
      </c>
      <c r="K58" s="1544">
        <f>IF(H58=0,0,IF(I58&lt;0,0,I58))</f>
        <v>0</v>
      </c>
      <c r="L58" s="1560" t="s">
        <v>9</v>
      </c>
      <c r="M58" s="1567">
        <f>R.HN!D40</f>
        <v>9.4</v>
      </c>
      <c r="N58" s="1473">
        <f>M58*6.49</f>
        <v>61.006000000000007</v>
      </c>
      <c r="O58" s="1560">
        <f>($F$58-N58)*2160*3.34/1000</f>
        <v>-79.401686400000045</v>
      </c>
      <c r="P58" s="1561" t="s">
        <v>8</v>
      </c>
      <c r="Q58" s="1544">
        <f>IF(N58=0,0,IF(O58&lt;0,0,O58))</f>
        <v>0</v>
      </c>
      <c r="R58" s="282" t="s">
        <v>9</v>
      </c>
      <c r="S58" s="461">
        <f>R.HN!E40</f>
        <v>0</v>
      </c>
      <c r="T58" s="1201"/>
      <c r="U58" s="788"/>
      <c r="V58" s="1201"/>
      <c r="W58" s="786"/>
      <c r="X58" s="786"/>
      <c r="Y58" s="1161"/>
      <c r="Z58" s="786"/>
      <c r="AA58" s="786"/>
      <c r="AB58" s="786"/>
      <c r="AC58" s="786"/>
      <c r="AD58" s="786"/>
      <c r="AE58" s="1161"/>
      <c r="AF58" s="786"/>
      <c r="AG58" s="788"/>
      <c r="AH58" s="789"/>
      <c r="AI58" s="790"/>
      <c r="AJ58" s="791"/>
      <c r="AK58" s="1162"/>
      <c r="AL58" s="788"/>
      <c r="AM58" s="788"/>
      <c r="AN58" s="789"/>
      <c r="AO58" s="790"/>
      <c r="AP58" s="791"/>
      <c r="AQ58" s="12" t="s">
        <v>477</v>
      </c>
      <c r="AS58" s="3520"/>
    </row>
    <row r="59" spans="1:45" ht="48.75" customHeight="1">
      <c r="A59" s="1141" t="s">
        <v>480</v>
      </c>
      <c r="B59" s="2954" t="s">
        <v>481</v>
      </c>
      <c r="C59" s="2956"/>
      <c r="D59" s="1109" t="s">
        <v>4</v>
      </c>
      <c r="E59" s="1949" t="s">
        <v>1533</v>
      </c>
      <c r="F59" s="1281">
        <v>50</v>
      </c>
      <c r="G59" s="427">
        <f>R.HN!C41</f>
        <v>9.6</v>
      </c>
      <c r="H59" s="1473">
        <f>G59*6.49</f>
        <v>62.304000000000002</v>
      </c>
      <c r="I59" s="1566">
        <f>($F$59-H59)*2700*3.33/1000</f>
        <v>-110.62526400000002</v>
      </c>
      <c r="J59" s="1561" t="s">
        <v>8</v>
      </c>
      <c r="K59" s="1544">
        <f>IF(H59=0,0,IF(I59&lt;0,0,I59))</f>
        <v>0</v>
      </c>
      <c r="L59" s="1560" t="s">
        <v>9</v>
      </c>
      <c r="M59" s="1567">
        <f>R.HN!D41</f>
        <v>9.6999999999999993</v>
      </c>
      <c r="N59" s="1473">
        <f>M59*6.49</f>
        <v>62.952999999999996</v>
      </c>
      <c r="O59" s="1560">
        <f>($F$59-N59)*2700*3.33/1000</f>
        <v>-116.46042299999998</v>
      </c>
      <c r="P59" s="1561" t="s">
        <v>8</v>
      </c>
      <c r="Q59" s="1544">
        <f>IF(N59=0,0,IF(O59&lt;0,0,O59))</f>
        <v>0</v>
      </c>
      <c r="R59" s="282" t="s">
        <v>9</v>
      </c>
      <c r="S59" s="461">
        <f>R.HN!E41</f>
        <v>0</v>
      </c>
      <c r="T59" s="1201"/>
      <c r="U59" s="788"/>
      <c r="V59" s="1201"/>
      <c r="W59" s="786"/>
      <c r="X59" s="786"/>
      <c r="Y59" s="1161"/>
      <c r="Z59" s="786"/>
      <c r="AA59" s="786"/>
      <c r="AB59" s="786"/>
      <c r="AC59" s="786"/>
      <c r="AD59" s="786"/>
      <c r="AE59" s="1161"/>
      <c r="AF59" s="786"/>
      <c r="AG59" s="788"/>
      <c r="AH59" s="789"/>
      <c r="AI59" s="790"/>
      <c r="AJ59" s="791"/>
      <c r="AK59" s="1162"/>
      <c r="AL59" s="788"/>
      <c r="AM59" s="788"/>
      <c r="AN59" s="789"/>
      <c r="AO59" s="790"/>
      <c r="AP59" s="791"/>
      <c r="AQ59" s="12" t="s">
        <v>477</v>
      </c>
      <c r="AS59" s="3520"/>
    </row>
    <row r="60" spans="1:45" ht="48.75" hidden="1" customHeight="1">
      <c r="A60" s="1141" t="s">
        <v>482</v>
      </c>
      <c r="B60" s="2954" t="s">
        <v>483</v>
      </c>
      <c r="C60" s="2956"/>
      <c r="D60" s="1109" t="s">
        <v>432</v>
      </c>
      <c r="E60" s="50" t="s">
        <v>1103</v>
      </c>
      <c r="F60" s="431">
        <v>10</v>
      </c>
      <c r="G60" s="427">
        <f>R.HN!C42</f>
        <v>0</v>
      </c>
      <c r="H60" s="1560">
        <f t="shared" ref="H60:H62" si="2">G60</f>
        <v>0</v>
      </c>
      <c r="I60" s="1560">
        <f>($F$60-H60)*2160*5.77/1000</f>
        <v>124.63199999999999</v>
      </c>
      <c r="J60" s="1561" t="s">
        <v>8</v>
      </c>
      <c r="K60" s="1562">
        <f t="shared" ref="K60" si="3">IF(I60&lt;0,0,I60)</f>
        <v>124.63199999999999</v>
      </c>
      <c r="L60" s="1561" t="s">
        <v>10</v>
      </c>
      <c r="M60" s="1563">
        <f>R.HN!D42</f>
        <v>0</v>
      </c>
      <c r="N60" s="1560">
        <f t="shared" ref="N60:N62" si="4">M60</f>
        <v>0</v>
      </c>
      <c r="O60" s="1560">
        <f>($F$60-N60)*2160*5.77/1000</f>
        <v>124.63199999999999</v>
      </c>
      <c r="P60" s="1561" t="s">
        <v>8</v>
      </c>
      <c r="Q60" s="1562">
        <f t="shared" ref="Q60" si="5">IF(O60&lt;0,0,O60)</f>
        <v>124.63199999999999</v>
      </c>
      <c r="R60" s="282" t="s">
        <v>10</v>
      </c>
      <c r="S60" s="461">
        <f>R.HN!E42</f>
        <v>0</v>
      </c>
      <c r="T60" s="787"/>
      <c r="U60" s="788"/>
      <c r="V60" s="789"/>
      <c r="W60" s="786"/>
      <c r="X60" s="786"/>
      <c r="Y60" s="1161"/>
      <c r="Z60" s="786"/>
      <c r="AA60" s="786"/>
      <c r="AB60" s="786"/>
      <c r="AC60" s="786"/>
      <c r="AD60" s="786"/>
      <c r="AE60" s="1161"/>
      <c r="AF60" s="786"/>
      <c r="AG60" s="788"/>
      <c r="AH60" s="789"/>
      <c r="AI60" s="790"/>
      <c r="AJ60" s="791"/>
      <c r="AK60" s="1162"/>
      <c r="AL60" s="788"/>
      <c r="AM60" s="788"/>
      <c r="AN60" s="789"/>
      <c r="AO60" s="790"/>
      <c r="AP60" s="791"/>
      <c r="AQ60" s="12" t="s">
        <v>477</v>
      </c>
    </row>
    <row r="61" spans="1:45" ht="48.75" customHeight="1">
      <c r="A61" s="1141" t="s">
        <v>484</v>
      </c>
      <c r="B61" s="2954" t="s">
        <v>485</v>
      </c>
      <c r="C61" s="2956"/>
      <c r="D61" s="1109" t="s">
        <v>432</v>
      </c>
      <c r="E61" s="50" t="s">
        <v>486</v>
      </c>
      <c r="F61" s="426">
        <v>1.5</v>
      </c>
      <c r="G61" s="427">
        <f>R.HN!C43</f>
        <v>1.2</v>
      </c>
      <c r="H61" s="1555">
        <f t="shared" si="2"/>
        <v>1.2</v>
      </c>
      <c r="I61" s="1560">
        <f>(H61-$F$61)*2430*3.3/1000</f>
        <v>-2.4057000000000004</v>
      </c>
      <c r="J61" s="1561" t="s">
        <v>8</v>
      </c>
      <c r="K61" s="1543">
        <f>IF(H61=0,0,IF(I61&lt;0,0,I61))</f>
        <v>0</v>
      </c>
      <c r="L61" s="1561" t="s">
        <v>9</v>
      </c>
      <c r="M61" s="1563">
        <f>R.HN!D43</f>
        <v>0.96</v>
      </c>
      <c r="N61" s="1555">
        <f t="shared" si="4"/>
        <v>0.96</v>
      </c>
      <c r="O61" s="1560">
        <f>(N61-$F$61)*2430*3.3/1000</f>
        <v>-4.33026</v>
      </c>
      <c r="P61" s="1561" t="s">
        <v>8</v>
      </c>
      <c r="Q61" s="1543">
        <f>IF(N61=0,0,IF(O61&lt;0,0,O61))</f>
        <v>0</v>
      </c>
      <c r="R61" s="282" t="s">
        <v>9</v>
      </c>
      <c r="S61" s="461">
        <f>R.HN!E43</f>
        <v>0</v>
      </c>
      <c r="T61" s="787"/>
      <c r="U61" s="788"/>
      <c r="V61" s="789"/>
      <c r="W61" s="786"/>
      <c r="X61" s="786"/>
      <c r="Y61" s="1161"/>
      <c r="Z61" s="786"/>
      <c r="AA61" s="786"/>
      <c r="AB61" s="786"/>
      <c r="AC61" s="786"/>
      <c r="AD61" s="786"/>
      <c r="AE61" s="1161"/>
      <c r="AF61" s="786"/>
      <c r="AG61" s="788"/>
      <c r="AH61" s="789"/>
      <c r="AI61" s="792"/>
      <c r="AJ61" s="791"/>
      <c r="AK61" s="1162"/>
      <c r="AL61" s="788"/>
      <c r="AM61" s="788"/>
      <c r="AN61" s="789"/>
      <c r="AO61" s="792"/>
      <c r="AP61" s="791"/>
      <c r="AQ61" s="12" t="s">
        <v>477</v>
      </c>
    </row>
    <row r="62" spans="1:45" ht="48.75" customHeight="1">
      <c r="A62" s="1141" t="s">
        <v>487</v>
      </c>
      <c r="B62" s="2954" t="s">
        <v>488</v>
      </c>
      <c r="C62" s="2956"/>
      <c r="D62" s="1109" t="s">
        <v>432</v>
      </c>
      <c r="E62" s="50" t="s">
        <v>489</v>
      </c>
      <c r="F62" s="431">
        <v>22.5</v>
      </c>
      <c r="G62" s="427">
        <f>R.HN!C44</f>
        <v>24.7</v>
      </c>
      <c r="H62" s="1560">
        <f t="shared" si="2"/>
        <v>24.7</v>
      </c>
      <c r="I62" s="1560">
        <f>($F$62-H62)*2430*4/1000</f>
        <v>-21.383999999999993</v>
      </c>
      <c r="J62" s="1561" t="s">
        <v>8</v>
      </c>
      <c r="K62" s="1544">
        <f>IF(H62=0,0,IF(I62&lt;0,0,I62))</f>
        <v>0</v>
      </c>
      <c r="L62" s="1561" t="s">
        <v>9</v>
      </c>
      <c r="M62" s="1563">
        <f>R.HN!D44</f>
        <v>24.2</v>
      </c>
      <c r="N62" s="1560">
        <f t="shared" si="4"/>
        <v>24.2</v>
      </c>
      <c r="O62" s="1560">
        <f>($F$62-N62)*2430*4/1000</f>
        <v>-16.523999999999994</v>
      </c>
      <c r="P62" s="1561" t="s">
        <v>8</v>
      </c>
      <c r="Q62" s="1544">
        <f>IF(N62=0,0,IF(O62&lt;0,0,O62))</f>
        <v>0</v>
      </c>
      <c r="R62" s="282" t="s">
        <v>9</v>
      </c>
      <c r="S62" s="461">
        <f>R.HN!E44</f>
        <v>0</v>
      </c>
      <c r="T62" s="787"/>
      <c r="U62" s="788"/>
      <c r="V62" s="789"/>
      <c r="W62" s="790"/>
      <c r="X62" s="791"/>
      <c r="Y62" s="1162"/>
      <c r="Z62" s="788"/>
      <c r="AA62" s="788"/>
      <c r="AB62" s="789"/>
      <c r="AC62" s="790"/>
      <c r="AD62" s="791"/>
      <c r="AE62" s="1162"/>
      <c r="AF62" s="788"/>
      <c r="AG62" s="788"/>
      <c r="AH62" s="789"/>
      <c r="AI62" s="790"/>
      <c r="AJ62" s="791"/>
      <c r="AK62" s="1162"/>
      <c r="AL62" s="788"/>
      <c r="AM62" s="788"/>
      <c r="AN62" s="789"/>
      <c r="AO62" s="790"/>
      <c r="AP62" s="791"/>
      <c r="AQ62" s="12" t="s">
        <v>477</v>
      </c>
    </row>
    <row r="63" spans="1:45" ht="48.75" customHeight="1">
      <c r="A63" s="1141" t="s">
        <v>490</v>
      </c>
      <c r="B63" s="2954" t="s">
        <v>491</v>
      </c>
      <c r="C63" s="2956"/>
      <c r="D63" s="1109" t="s">
        <v>432</v>
      </c>
      <c r="E63" s="618" t="s">
        <v>492</v>
      </c>
      <c r="F63" s="426">
        <v>7.5</v>
      </c>
      <c r="G63" s="427">
        <f>R.HN!C45</f>
        <v>8.8000000000000007</v>
      </c>
      <c r="H63" s="1560">
        <f>R.HN!C45</f>
        <v>8.8000000000000007</v>
      </c>
      <c r="I63" s="1560">
        <f>($F$63-H63)*2430*0.43/1000</f>
        <v>-1.3583700000000007</v>
      </c>
      <c r="J63" s="1561" t="s">
        <v>8</v>
      </c>
      <c r="K63" s="1543">
        <f>IF(H63=0,0,IF(I63&lt;0,0,I63))</f>
        <v>0</v>
      </c>
      <c r="L63" s="1561" t="s">
        <v>9</v>
      </c>
      <c r="M63" s="1563">
        <f>R.HN!D45</f>
        <v>9</v>
      </c>
      <c r="N63" s="1560">
        <f>R.HN!D45</f>
        <v>9</v>
      </c>
      <c r="O63" s="1560">
        <f>($F$63-N63)*2430*0.43/1000</f>
        <v>-1.5673499999999998</v>
      </c>
      <c r="P63" s="1561" t="s">
        <v>8</v>
      </c>
      <c r="Q63" s="1543">
        <f>IF(N63=0,0,IF(O63&lt;0,0,O63))</f>
        <v>0</v>
      </c>
      <c r="R63" s="282" t="s">
        <v>9</v>
      </c>
      <c r="S63" s="461">
        <f>R.HN!E45</f>
        <v>0</v>
      </c>
      <c r="T63" s="787"/>
      <c r="U63" s="788"/>
      <c r="V63" s="789"/>
      <c r="W63" s="792"/>
      <c r="X63" s="791"/>
      <c r="Y63" s="1162"/>
      <c r="Z63" s="788"/>
      <c r="AA63" s="788"/>
      <c r="AB63" s="789"/>
      <c r="AC63" s="792"/>
      <c r="AD63" s="791"/>
      <c r="AE63" s="1162"/>
      <c r="AF63" s="788"/>
      <c r="AG63" s="788"/>
      <c r="AH63" s="789"/>
      <c r="AI63" s="792"/>
      <c r="AJ63" s="791"/>
      <c r="AK63" s="1162"/>
      <c r="AL63" s="788"/>
      <c r="AM63" s="788"/>
      <c r="AN63" s="789"/>
      <c r="AO63" s="792"/>
      <c r="AP63" s="791"/>
      <c r="AQ63" s="12" t="s">
        <v>477</v>
      </c>
    </row>
    <row r="64" spans="1:45" ht="48.75" customHeight="1">
      <c r="A64" s="1141" t="s">
        <v>493</v>
      </c>
      <c r="B64" s="2954" t="s">
        <v>494</v>
      </c>
      <c r="C64" s="2956"/>
      <c r="D64" s="1109" t="s">
        <v>5</v>
      </c>
      <c r="E64" s="50" t="s">
        <v>495</v>
      </c>
      <c r="F64" s="1163"/>
      <c r="G64" s="427" t="e">
        <f>R.HN!#REF!</f>
        <v>#REF!</v>
      </c>
      <c r="H64" s="1560">
        <f>R.HN!C46</f>
        <v>7.5</v>
      </c>
      <c r="I64" s="1560"/>
      <c r="J64" s="1561"/>
      <c r="K64" s="1562"/>
      <c r="L64" s="1561"/>
      <c r="M64" s="1563" t="e">
        <f>R.HN!#REF!</f>
        <v>#REF!</v>
      </c>
      <c r="N64" s="1560">
        <f>R.HN!D46</f>
        <v>7.8</v>
      </c>
      <c r="O64" s="1560"/>
      <c r="P64" s="1561"/>
      <c r="Q64" s="1562"/>
      <c r="R64" s="282"/>
      <c r="S64" s="461"/>
      <c r="T64" s="787"/>
      <c r="U64" s="788"/>
      <c r="V64" s="789"/>
      <c r="W64" s="792"/>
      <c r="X64" s="791"/>
      <c r="Y64" s="1162"/>
      <c r="Z64" s="788"/>
      <c r="AA64" s="788"/>
      <c r="AB64" s="789"/>
      <c r="AC64" s="792"/>
      <c r="AD64" s="791"/>
      <c r="AE64" s="1162"/>
      <c r="AF64" s="788"/>
      <c r="AG64" s="788"/>
      <c r="AH64" s="789"/>
      <c r="AI64" s="792"/>
      <c r="AJ64" s="791"/>
      <c r="AK64" s="1162"/>
      <c r="AL64" s="788"/>
      <c r="AM64" s="788"/>
      <c r="AN64" s="789"/>
      <c r="AO64" s="792"/>
      <c r="AP64" s="791"/>
      <c r="AQ64" s="12" t="s">
        <v>477</v>
      </c>
    </row>
    <row r="65" spans="1:43" ht="42" customHeight="1">
      <c r="A65" s="1141" t="s">
        <v>496</v>
      </c>
      <c r="B65" s="2954" t="s">
        <v>497</v>
      </c>
      <c r="C65" s="2956"/>
      <c r="D65" s="1109" t="s">
        <v>5</v>
      </c>
      <c r="E65" s="618" t="s">
        <v>498</v>
      </c>
      <c r="F65" s="426"/>
      <c r="G65" s="427">
        <f>R.HN!C44</f>
        <v>24.7</v>
      </c>
      <c r="H65" s="1560">
        <f>R.HN!C47</f>
        <v>5.6</v>
      </c>
      <c r="I65" s="1560">
        <f>($F$63-H65)*2430*0.43/1000</f>
        <v>1.9853100000000004</v>
      </c>
      <c r="J65" s="1561"/>
      <c r="K65" s="1562"/>
      <c r="L65" s="1561"/>
      <c r="M65" s="1563">
        <f>R.HN!D44</f>
        <v>24.2</v>
      </c>
      <c r="N65" s="1560">
        <f>R.HN!D47</f>
        <v>5.5</v>
      </c>
      <c r="O65" s="1560">
        <f>($F$63-N65)*2430*0.43/1000</f>
        <v>2.0898000000000003</v>
      </c>
      <c r="P65" s="1561"/>
      <c r="Q65" s="1562"/>
      <c r="R65" s="282"/>
      <c r="S65" s="461">
        <f>R.HN!E44</f>
        <v>0</v>
      </c>
      <c r="T65" s="787">
        <f>H65</f>
        <v>5.6</v>
      </c>
      <c r="U65" s="788"/>
      <c r="V65" s="789"/>
      <c r="W65" s="792"/>
      <c r="X65" s="791"/>
      <c r="Y65" s="1162"/>
      <c r="Z65" s="788"/>
      <c r="AA65" s="788"/>
      <c r="AB65" s="789"/>
      <c r="AC65" s="792"/>
      <c r="AD65" s="791"/>
      <c r="AE65" s="1162"/>
      <c r="AF65" s="788"/>
      <c r="AG65" s="788"/>
      <c r="AH65" s="789"/>
      <c r="AI65" s="792"/>
      <c r="AJ65" s="791"/>
      <c r="AK65" s="1162"/>
      <c r="AL65" s="788"/>
      <c r="AM65" s="788"/>
      <c r="AN65" s="789"/>
      <c r="AO65" s="792"/>
      <c r="AP65" s="791"/>
      <c r="AQ65" s="12" t="s">
        <v>477</v>
      </c>
    </row>
    <row r="66" spans="1:43" ht="42" hidden="1" customHeight="1">
      <c r="A66" s="1141" t="s">
        <v>499</v>
      </c>
      <c r="B66" s="2954" t="s">
        <v>500</v>
      </c>
      <c r="C66" s="2956"/>
      <c r="D66" s="1109" t="s">
        <v>5</v>
      </c>
      <c r="E66" s="618" t="s">
        <v>498</v>
      </c>
      <c r="F66" s="426"/>
      <c r="G66" s="427"/>
      <c r="H66" s="311">
        <f>R.HN!C48</f>
        <v>0</v>
      </c>
      <c r="I66" s="311"/>
      <c r="J66" s="308"/>
      <c r="K66" s="313"/>
      <c r="L66" s="318"/>
      <c r="M66" s="428"/>
      <c r="N66" s="311">
        <f>R.HN!D48</f>
        <v>0</v>
      </c>
      <c r="O66" s="311"/>
      <c r="P66" s="308"/>
      <c r="Q66" s="313"/>
      <c r="R66" s="282"/>
      <c r="S66" s="461"/>
      <c r="T66" s="787">
        <f>H66</f>
        <v>0</v>
      </c>
      <c r="U66" s="788"/>
      <c r="V66" s="789"/>
      <c r="W66" s="792"/>
      <c r="X66" s="791"/>
      <c r="Y66" s="1162"/>
      <c r="Z66" s="788"/>
      <c r="AA66" s="788"/>
      <c r="AB66" s="789"/>
      <c r="AC66" s="792"/>
      <c r="AD66" s="791"/>
      <c r="AE66" s="1162"/>
      <c r="AF66" s="788"/>
      <c r="AG66" s="788"/>
      <c r="AH66" s="789"/>
      <c r="AI66" s="792"/>
      <c r="AJ66" s="791"/>
      <c r="AK66" s="1162"/>
      <c r="AL66" s="788"/>
      <c r="AM66" s="788"/>
      <c r="AN66" s="789"/>
      <c r="AO66" s="792"/>
      <c r="AP66" s="791"/>
      <c r="AQ66" s="12" t="s">
        <v>477</v>
      </c>
    </row>
    <row r="67" spans="1:43" ht="42" customHeight="1">
      <c r="A67" s="1141" t="s">
        <v>501</v>
      </c>
      <c r="B67" s="2954" t="s">
        <v>374</v>
      </c>
      <c r="C67" s="2956"/>
      <c r="D67" s="1109" t="s">
        <v>3</v>
      </c>
      <c r="E67" s="618" t="s">
        <v>375</v>
      </c>
      <c r="F67" s="1164">
        <v>15</v>
      </c>
      <c r="G67" s="427"/>
      <c r="H67" s="432" t="str">
        <f>IFERROR('ED-XI DEN'!L15*100,"")</f>
        <v/>
      </c>
      <c r="I67" s="311" t="e">
        <f>($F$67-H67)*2295/100</f>
        <v>#VALUE!</v>
      </c>
      <c r="J67" s="308" t="s">
        <v>8</v>
      </c>
      <c r="K67" s="313" t="str">
        <f>IFERROR(IF(I67&lt;0,0,I67),"")</f>
        <v/>
      </c>
      <c r="L67" s="318" t="s">
        <v>10</v>
      </c>
      <c r="M67" s="428"/>
      <c r="N67" s="282" t="s">
        <v>1104</v>
      </c>
      <c r="O67" s="311"/>
      <c r="P67" s="308"/>
      <c r="Q67" s="313"/>
      <c r="R67" s="282"/>
      <c r="S67" s="461"/>
      <c r="T67" s="787" t="str">
        <f>H67</f>
        <v/>
      </c>
      <c r="U67" s="788"/>
      <c r="V67" s="789"/>
      <c r="W67" s="792"/>
      <c r="X67" s="791"/>
      <c r="Y67" s="1162"/>
      <c r="Z67" s="788"/>
      <c r="AA67" s="788"/>
      <c r="AB67" s="789"/>
      <c r="AC67" s="792"/>
      <c r="AD67" s="791"/>
      <c r="AE67" s="1162"/>
      <c r="AF67" s="788"/>
      <c r="AG67" s="788"/>
      <c r="AH67" s="789"/>
      <c r="AI67" s="792"/>
      <c r="AJ67" s="791"/>
      <c r="AK67" s="1162"/>
      <c r="AL67" s="788"/>
      <c r="AM67" s="788"/>
      <c r="AN67" s="789"/>
      <c r="AO67" s="792"/>
      <c r="AP67" s="791"/>
      <c r="AQ67" s="12" t="s">
        <v>477</v>
      </c>
    </row>
    <row r="68" spans="1:43" ht="42" customHeight="1">
      <c r="A68" s="1141" t="s">
        <v>502</v>
      </c>
      <c r="B68" s="2954" t="s">
        <v>376</v>
      </c>
      <c r="C68" s="2956"/>
      <c r="D68" s="1109" t="s">
        <v>3</v>
      </c>
      <c r="E68" s="618" t="s">
        <v>377</v>
      </c>
      <c r="F68" s="1164">
        <v>12</v>
      </c>
      <c r="G68" s="427"/>
      <c r="H68" s="432" t="str">
        <f>IFERROR('ED-XI DEN'!L16*100,"")</f>
        <v/>
      </c>
      <c r="I68" s="311" t="e">
        <f>($F$68-H68)*2295/100</f>
        <v>#VALUE!</v>
      </c>
      <c r="J68" s="308" t="s">
        <v>8</v>
      </c>
      <c r="K68" s="313" t="str">
        <f t="shared" ref="K68:K70" si="6">IFERROR(IF(I68&lt;0,0,I68),"")</f>
        <v/>
      </c>
      <c r="L68" s="318" t="s">
        <v>10</v>
      </c>
      <c r="M68" s="428"/>
      <c r="N68" s="282" t="s">
        <v>1104</v>
      </c>
      <c r="O68" s="311"/>
      <c r="P68" s="308"/>
      <c r="Q68" s="313"/>
      <c r="R68" s="282"/>
      <c r="S68" s="461"/>
      <c r="T68" s="787" t="str">
        <f t="shared" ref="T68:T72" si="7">H68</f>
        <v/>
      </c>
      <c r="U68" s="788"/>
      <c r="V68" s="789"/>
      <c r="W68" s="792"/>
      <c r="X68" s="791"/>
      <c r="Y68" s="1162"/>
      <c r="Z68" s="788"/>
      <c r="AA68" s="788"/>
      <c r="AB68" s="789"/>
      <c r="AC68" s="792"/>
      <c r="AD68" s="791"/>
      <c r="AE68" s="1162"/>
      <c r="AF68" s="788"/>
      <c r="AG68" s="788"/>
      <c r="AH68" s="789"/>
      <c r="AI68" s="792"/>
      <c r="AJ68" s="791"/>
      <c r="AK68" s="1162"/>
      <c r="AL68" s="788"/>
      <c r="AM68" s="788"/>
      <c r="AN68" s="789"/>
      <c r="AO68" s="792"/>
      <c r="AP68" s="791"/>
      <c r="AQ68" s="12" t="s">
        <v>477</v>
      </c>
    </row>
    <row r="69" spans="1:43" ht="34.5" hidden="1" customHeight="1">
      <c r="A69" s="1141" t="s">
        <v>503</v>
      </c>
      <c r="B69" s="2954" t="s">
        <v>378</v>
      </c>
      <c r="C69" s="2956"/>
      <c r="D69" s="1109" t="s">
        <v>3</v>
      </c>
      <c r="E69" s="618" t="s">
        <v>375</v>
      </c>
      <c r="F69" s="1164">
        <v>15</v>
      </c>
      <c r="G69" s="427"/>
      <c r="H69" s="432" t="str">
        <f>IFERROR('ED-XI DEN'!L17*100,"")</f>
        <v/>
      </c>
      <c r="I69" s="311" t="e">
        <f>($F$69-H69)*2295/100</f>
        <v>#VALUE!</v>
      </c>
      <c r="J69" s="308" t="s">
        <v>8</v>
      </c>
      <c r="K69" s="313" t="str">
        <f t="shared" si="6"/>
        <v/>
      </c>
      <c r="L69" s="318" t="s">
        <v>10</v>
      </c>
      <c r="M69" s="428"/>
      <c r="N69" s="282" t="s">
        <v>1104</v>
      </c>
      <c r="O69" s="311"/>
      <c r="P69" s="308"/>
      <c r="Q69" s="313"/>
      <c r="R69" s="282"/>
      <c r="S69" s="461"/>
      <c r="T69" s="787" t="str">
        <f t="shared" si="7"/>
        <v/>
      </c>
      <c r="U69" s="788"/>
      <c r="V69" s="789"/>
      <c r="W69" s="792"/>
      <c r="X69" s="791"/>
      <c r="Y69" s="1162"/>
      <c r="Z69" s="788"/>
      <c r="AA69" s="788"/>
      <c r="AB69" s="789"/>
      <c r="AC69" s="792"/>
      <c r="AD69" s="791"/>
      <c r="AE69" s="1162"/>
      <c r="AF69" s="788"/>
      <c r="AG69" s="788"/>
      <c r="AH69" s="789"/>
      <c r="AI69" s="792"/>
      <c r="AJ69" s="791"/>
      <c r="AK69" s="1162"/>
      <c r="AL69" s="788"/>
      <c r="AM69" s="788"/>
      <c r="AN69" s="789"/>
      <c r="AO69" s="792"/>
      <c r="AP69" s="791"/>
      <c r="AQ69" s="12" t="s">
        <v>477</v>
      </c>
    </row>
    <row r="70" spans="1:43" ht="34.5" hidden="1" customHeight="1">
      <c r="A70" s="1141" t="s">
        <v>504</v>
      </c>
      <c r="B70" s="2954" t="s">
        <v>379</v>
      </c>
      <c r="C70" s="2956"/>
      <c r="D70" s="1109" t="s">
        <v>3</v>
      </c>
      <c r="E70" s="618" t="s">
        <v>377</v>
      </c>
      <c r="F70" s="1164">
        <v>12</v>
      </c>
      <c r="G70" s="427"/>
      <c r="H70" s="432" t="str">
        <f>IFERROR('ED-XI DEN'!L18*100,"")</f>
        <v/>
      </c>
      <c r="I70" s="311" t="e">
        <f>($F$70-H70)*2295/100</f>
        <v>#VALUE!</v>
      </c>
      <c r="J70" s="308" t="s">
        <v>8</v>
      </c>
      <c r="K70" s="313" t="str">
        <f t="shared" si="6"/>
        <v/>
      </c>
      <c r="L70" s="318" t="s">
        <v>10</v>
      </c>
      <c r="M70" s="428"/>
      <c r="N70" s="282" t="s">
        <v>1104</v>
      </c>
      <c r="O70" s="311"/>
      <c r="P70" s="308"/>
      <c r="Q70" s="313"/>
      <c r="R70" s="282"/>
      <c r="S70" s="461"/>
      <c r="T70" s="787" t="str">
        <f t="shared" si="7"/>
        <v/>
      </c>
      <c r="U70" s="788"/>
      <c r="V70" s="789"/>
      <c r="W70" s="792"/>
      <c r="X70" s="791"/>
      <c r="Y70" s="1162"/>
      <c r="Z70" s="788"/>
      <c r="AA70" s="788"/>
      <c r="AB70" s="789"/>
      <c r="AC70" s="792"/>
      <c r="AD70" s="791"/>
      <c r="AE70" s="1162"/>
      <c r="AF70" s="788"/>
      <c r="AG70" s="788"/>
      <c r="AH70" s="789"/>
      <c r="AI70" s="792"/>
      <c r="AJ70" s="791"/>
      <c r="AK70" s="1162"/>
      <c r="AL70" s="788"/>
      <c r="AM70" s="788"/>
      <c r="AN70" s="789"/>
      <c r="AO70" s="792"/>
      <c r="AP70" s="791"/>
      <c r="AQ70" s="12" t="s">
        <v>477</v>
      </c>
    </row>
    <row r="71" spans="1:43" ht="34.5" customHeight="1">
      <c r="A71" s="1141" t="s">
        <v>505</v>
      </c>
      <c r="B71" s="2954" t="s">
        <v>380</v>
      </c>
      <c r="C71" s="2956"/>
      <c r="D71" s="1109" t="s">
        <v>3</v>
      </c>
      <c r="E71" s="50" t="s">
        <v>381</v>
      </c>
      <c r="F71" s="1165"/>
      <c r="G71" s="1166"/>
      <c r="H71" s="1167" t="str">
        <f>IFERROR('ED-XI DEN'!L19*100,"")</f>
        <v/>
      </c>
      <c r="I71" s="785"/>
      <c r="J71" s="308"/>
      <c r="K71" s="313"/>
      <c r="L71" s="318"/>
      <c r="M71" s="428">
        <f>R.HN!D49</f>
        <v>0</v>
      </c>
      <c r="N71" s="282" t="s">
        <v>1105</v>
      </c>
      <c r="O71" s="311"/>
      <c r="P71" s="308"/>
      <c r="Q71" s="313"/>
      <c r="R71" s="282"/>
      <c r="S71" s="461"/>
      <c r="T71" s="787" t="str">
        <f t="shared" si="7"/>
        <v/>
      </c>
      <c r="U71" s="788"/>
      <c r="V71" s="789"/>
      <c r="W71" s="792"/>
      <c r="X71" s="791"/>
      <c r="Y71" s="1162"/>
      <c r="Z71" s="788"/>
      <c r="AA71" s="788"/>
      <c r="AB71" s="789"/>
      <c r="AC71" s="792"/>
      <c r="AD71" s="791"/>
      <c r="AE71" s="1162"/>
      <c r="AF71" s="788"/>
      <c r="AG71" s="788"/>
      <c r="AH71" s="789"/>
      <c r="AI71" s="792"/>
      <c r="AJ71" s="791"/>
      <c r="AK71" s="1162"/>
      <c r="AL71" s="788"/>
      <c r="AM71" s="788"/>
      <c r="AN71" s="789"/>
      <c r="AO71" s="792"/>
      <c r="AP71" s="791"/>
      <c r="AQ71" s="12" t="s">
        <v>477</v>
      </c>
    </row>
    <row r="72" spans="1:43" ht="34.5" customHeight="1">
      <c r="A72" s="1141" t="s">
        <v>506</v>
      </c>
      <c r="B72" s="2954" t="s">
        <v>383</v>
      </c>
      <c r="C72" s="2956"/>
      <c r="D72" s="1109" t="s">
        <v>3</v>
      </c>
      <c r="E72" s="50" t="s">
        <v>384</v>
      </c>
      <c r="F72" s="1165"/>
      <c r="G72" s="1166"/>
      <c r="H72" s="1167" t="str">
        <f>IFERROR('ED-XI DEN'!L20*100,"")</f>
        <v/>
      </c>
      <c r="I72" s="785"/>
      <c r="J72" s="308"/>
      <c r="K72" s="313"/>
      <c r="L72" s="318"/>
      <c r="M72" s="428">
        <f>R.HN!D50</f>
        <v>0.875</v>
      </c>
      <c r="N72" s="282" t="s">
        <v>1105</v>
      </c>
      <c r="O72" s="311"/>
      <c r="P72" s="308"/>
      <c r="Q72" s="313"/>
      <c r="R72" s="282"/>
      <c r="S72" s="461"/>
      <c r="T72" s="787" t="str">
        <f t="shared" si="7"/>
        <v/>
      </c>
      <c r="U72" s="788"/>
      <c r="V72" s="789"/>
      <c r="W72" s="792"/>
      <c r="X72" s="791"/>
      <c r="Y72" s="1162"/>
      <c r="Z72" s="788"/>
      <c r="AA72" s="788"/>
      <c r="AB72" s="789"/>
      <c r="AC72" s="792"/>
      <c r="AD72" s="791"/>
      <c r="AE72" s="1162"/>
      <c r="AF72" s="788"/>
      <c r="AG72" s="788"/>
      <c r="AH72" s="789"/>
      <c r="AI72" s="792"/>
      <c r="AJ72" s="791"/>
      <c r="AK72" s="1162"/>
      <c r="AL72" s="788"/>
      <c r="AM72" s="788"/>
      <c r="AN72" s="789"/>
      <c r="AO72" s="792"/>
      <c r="AP72" s="791"/>
      <c r="AQ72" s="12" t="s">
        <v>477</v>
      </c>
    </row>
    <row r="73" spans="1:43" ht="48" customHeight="1">
      <c r="A73" s="1153" t="s">
        <v>74</v>
      </c>
      <c r="B73" s="314"/>
      <c r="C73" s="314"/>
      <c r="D73" s="314"/>
      <c r="E73" s="306"/>
      <c r="F73" s="314"/>
      <c r="G73" s="314"/>
      <c r="H73" s="314"/>
      <c r="I73" s="314"/>
      <c r="J73" s="314"/>
      <c r="K73" s="314"/>
      <c r="L73" s="314"/>
      <c r="M73" s="314"/>
      <c r="N73" s="320"/>
      <c r="O73" s="314"/>
      <c r="P73" s="314"/>
      <c r="Q73" s="314"/>
      <c r="R73" s="320"/>
      <c r="S73" s="314"/>
      <c r="T73" s="788"/>
      <c r="U73" s="788"/>
      <c r="V73" s="789"/>
      <c r="W73" s="792"/>
      <c r="X73" s="791"/>
      <c r="Y73" s="1162"/>
      <c r="Z73" s="788"/>
      <c r="AA73" s="788"/>
      <c r="AB73" s="789"/>
      <c r="AC73" s="792"/>
      <c r="AD73" s="791"/>
      <c r="AE73" s="1162"/>
      <c r="AF73" s="788"/>
      <c r="AG73" s="788"/>
      <c r="AH73" s="789"/>
      <c r="AI73" s="792"/>
      <c r="AJ73" s="791"/>
      <c r="AK73" s="1162"/>
      <c r="AL73" s="788"/>
      <c r="AM73" s="788"/>
      <c r="AN73" s="789"/>
      <c r="AO73" s="792"/>
      <c r="AP73" s="791"/>
    </row>
    <row r="74" spans="1:43" ht="33.75" customHeight="1">
      <c r="A74" s="1141" t="s">
        <v>239</v>
      </c>
      <c r="B74" s="2954" t="s">
        <v>62</v>
      </c>
      <c r="C74" s="2956"/>
      <c r="D74" s="287" t="s">
        <v>64</v>
      </c>
      <c r="E74" s="287" t="s">
        <v>65</v>
      </c>
      <c r="F74" s="434"/>
      <c r="G74" s="434"/>
      <c r="H74" s="315" t="s">
        <v>46</v>
      </c>
      <c r="I74" s="316"/>
      <c r="J74" s="316"/>
      <c r="K74" s="315" t="s">
        <v>63</v>
      </c>
      <c r="L74" s="317"/>
      <c r="M74" s="287"/>
      <c r="N74" s="315" t="s">
        <v>46</v>
      </c>
      <c r="O74" s="316"/>
      <c r="P74" s="316"/>
      <c r="Q74" s="315" t="s">
        <v>63</v>
      </c>
      <c r="R74" s="317"/>
      <c r="S74" s="1106"/>
      <c r="T74" s="794"/>
      <c r="U74" s="794"/>
      <c r="V74" s="794"/>
      <c r="W74" s="794"/>
      <c r="X74" s="1168"/>
      <c r="Y74" s="447"/>
      <c r="Z74" s="794"/>
      <c r="AA74" s="794"/>
      <c r="AB74" s="794"/>
      <c r="AC74" s="794"/>
      <c r="AD74" s="1168"/>
      <c r="AE74" s="447"/>
      <c r="AF74" s="794"/>
      <c r="AG74" s="794"/>
      <c r="AH74" s="794"/>
      <c r="AI74" s="794"/>
      <c r="AJ74" s="1168"/>
      <c r="AK74" s="447"/>
      <c r="AL74" s="794"/>
      <c r="AM74" s="794"/>
      <c r="AN74" s="794"/>
      <c r="AO74" s="794"/>
      <c r="AP74" s="1168"/>
    </row>
    <row r="75" spans="1:43" ht="44.25" customHeight="1">
      <c r="A75" s="1141" t="s">
        <v>507</v>
      </c>
      <c r="B75" s="2954" t="s">
        <v>475</v>
      </c>
      <c r="C75" s="2956"/>
      <c r="D75" s="256" t="s">
        <v>196</v>
      </c>
      <c r="E75" s="50" t="s">
        <v>721</v>
      </c>
      <c r="F75" s="435"/>
      <c r="G75" s="435"/>
      <c r="H75" s="3523">
        <f>'R.FILE GOC'!H75</f>
        <v>56</v>
      </c>
      <c r="I75" s="3524"/>
      <c r="J75" s="3525"/>
      <c r="K75" s="3523">
        <f>'R.FILE GOC'!K75</f>
        <v>59</v>
      </c>
      <c r="L75" s="3524"/>
      <c r="M75" s="1169"/>
      <c r="N75" s="3523">
        <f>'R.FILE GOC'!N75</f>
        <v>58</v>
      </c>
      <c r="O75" s="3524"/>
      <c r="P75" s="3525"/>
      <c r="Q75" s="3523">
        <f>'R.FILE GOC'!Q75</f>
        <v>60</v>
      </c>
      <c r="R75" s="3525"/>
      <c r="S75" s="1105"/>
      <c r="T75" s="793"/>
      <c r="U75" s="793"/>
      <c r="V75" s="793"/>
      <c r="W75" s="793"/>
      <c r="X75" s="1108"/>
      <c r="Y75" s="1108"/>
      <c r="Z75" s="793"/>
      <c r="AA75" s="793"/>
      <c r="AB75" s="793"/>
      <c r="AC75" s="793"/>
      <c r="AD75" s="1108"/>
      <c r="AE75" s="1108"/>
      <c r="AF75" s="793"/>
      <c r="AG75" s="793"/>
      <c r="AH75" s="793"/>
      <c r="AI75" s="793"/>
      <c r="AJ75" s="1108"/>
      <c r="AK75" s="1108"/>
      <c r="AL75" s="793"/>
      <c r="AM75" s="793"/>
      <c r="AN75" s="793"/>
      <c r="AO75" s="793"/>
      <c r="AP75" s="1108"/>
      <c r="AQ75" s="12" t="s">
        <v>477</v>
      </c>
    </row>
    <row r="76" spans="1:43" ht="44.25" customHeight="1">
      <c r="A76" s="1141" t="s">
        <v>509</v>
      </c>
      <c r="B76" s="2954" t="s">
        <v>479</v>
      </c>
      <c r="C76" s="2956"/>
      <c r="D76" s="256" t="s">
        <v>196</v>
      </c>
      <c r="E76" s="50" t="s">
        <v>721</v>
      </c>
      <c r="F76" s="435"/>
      <c r="G76" s="435"/>
      <c r="H76" s="3523">
        <f>'R.FILE GOC'!H76</f>
        <v>61</v>
      </c>
      <c r="I76" s="3524"/>
      <c r="J76" s="3525"/>
      <c r="K76" s="3523">
        <f>'R.FILE GOC'!K76</f>
        <v>59</v>
      </c>
      <c r="L76" s="3524"/>
      <c r="M76" s="1169"/>
      <c r="N76" s="3523">
        <f>'R.FILE GOC'!N76</f>
        <v>61</v>
      </c>
      <c r="O76" s="3524"/>
      <c r="P76" s="3525"/>
      <c r="Q76" s="3523">
        <f>'R.FILE GOC'!Q76</f>
        <v>59</v>
      </c>
      <c r="R76" s="3525"/>
      <c r="S76" s="1105"/>
      <c r="T76" s="793"/>
      <c r="U76" s="793"/>
      <c r="V76" s="793"/>
      <c r="W76" s="793"/>
      <c r="X76" s="1108"/>
      <c r="Y76" s="1108"/>
      <c r="Z76" s="793"/>
      <c r="AA76" s="793"/>
      <c r="AB76" s="793"/>
      <c r="AC76" s="793"/>
      <c r="AD76" s="1108"/>
      <c r="AE76" s="1108"/>
      <c r="AF76" s="793"/>
      <c r="AG76" s="793"/>
      <c r="AH76" s="793"/>
      <c r="AI76" s="793"/>
      <c r="AJ76" s="1108"/>
      <c r="AK76" s="1108"/>
      <c r="AL76" s="793"/>
      <c r="AM76" s="793"/>
      <c r="AN76" s="793"/>
      <c r="AO76" s="793"/>
      <c r="AP76" s="1108"/>
      <c r="AQ76" s="12" t="s">
        <v>477</v>
      </c>
    </row>
    <row r="77" spans="1:43" ht="44.25" customHeight="1">
      <c r="A77" s="1141" t="s">
        <v>510</v>
      </c>
      <c r="B77" s="2954" t="s">
        <v>575</v>
      </c>
      <c r="C77" s="2956"/>
      <c r="D77" s="256" t="s">
        <v>196</v>
      </c>
      <c r="E77" s="50" t="s">
        <v>721</v>
      </c>
      <c r="F77" s="444"/>
      <c r="G77" s="444"/>
      <c r="H77" s="3523">
        <f>'R.FILE GOC'!H77</f>
        <v>58</v>
      </c>
      <c r="I77" s="3524"/>
      <c r="J77" s="3525"/>
      <c r="K77" s="3523">
        <f>'R.FILE GOC'!K77</f>
        <v>59</v>
      </c>
      <c r="L77" s="3524"/>
      <c r="M77" s="1169"/>
      <c r="N77" s="3523">
        <f>'R.FILE GOC'!N77</f>
        <v>58</v>
      </c>
      <c r="O77" s="3524"/>
      <c r="P77" s="3525"/>
      <c r="Q77" s="3523">
        <f>'R.FILE GOC'!Q77</f>
        <v>59</v>
      </c>
      <c r="R77" s="3525"/>
      <c r="S77" s="1105"/>
      <c r="T77" s="793"/>
      <c r="U77" s="793"/>
      <c r="V77" s="793"/>
      <c r="W77" s="793"/>
      <c r="X77" s="1108"/>
      <c r="Y77" s="1108"/>
      <c r="Z77" s="793"/>
      <c r="AA77" s="793"/>
      <c r="AB77" s="793"/>
      <c r="AC77" s="793"/>
      <c r="AD77" s="1108"/>
      <c r="AE77" s="1108"/>
      <c r="AF77" s="793"/>
      <c r="AG77" s="793"/>
      <c r="AH77" s="793"/>
      <c r="AI77" s="793"/>
      <c r="AJ77" s="1108"/>
      <c r="AK77" s="1108"/>
      <c r="AL77" s="793"/>
      <c r="AM77" s="793"/>
      <c r="AN77" s="793"/>
      <c r="AO77" s="793"/>
      <c r="AP77" s="1108"/>
      <c r="AQ77" s="12" t="s">
        <v>477</v>
      </c>
    </row>
    <row r="78" spans="1:43" ht="44.25" customHeight="1">
      <c r="A78" s="1141" t="s">
        <v>511</v>
      </c>
      <c r="B78" s="2954" t="s">
        <v>512</v>
      </c>
      <c r="C78" s="2956"/>
      <c r="D78" s="256" t="s">
        <v>196</v>
      </c>
      <c r="E78" s="50" t="s">
        <v>722</v>
      </c>
      <c r="F78" s="444"/>
      <c r="G78" s="444"/>
      <c r="H78" s="3523">
        <f>'R.FILE GOC'!H78</f>
        <v>40</v>
      </c>
      <c r="I78" s="3524"/>
      <c r="J78" s="3525"/>
      <c r="K78" s="3523">
        <f>'R.FILE GOC'!K78</f>
        <v>38</v>
      </c>
      <c r="L78" s="3524"/>
      <c r="M78" s="1169"/>
      <c r="N78" s="3523">
        <f>'R.FILE GOC'!N78</f>
        <v>42</v>
      </c>
      <c r="O78" s="3524"/>
      <c r="P78" s="3525"/>
      <c r="Q78" s="3523">
        <f>'R.FILE GOC'!Q78</f>
        <v>41</v>
      </c>
      <c r="R78" s="3525"/>
      <c r="S78" s="1108"/>
      <c r="T78" s="793"/>
      <c r="U78" s="793"/>
      <c r="V78" s="793"/>
      <c r="W78" s="793"/>
      <c r="X78" s="1108"/>
      <c r="Y78" s="1108"/>
      <c r="Z78" s="793"/>
      <c r="AA78" s="793"/>
      <c r="AB78" s="793"/>
      <c r="AC78" s="793"/>
      <c r="AD78" s="1108"/>
      <c r="AE78" s="1108"/>
      <c r="AF78" s="793"/>
      <c r="AG78" s="793"/>
      <c r="AH78" s="793"/>
      <c r="AI78" s="793"/>
      <c r="AJ78" s="1108"/>
      <c r="AK78" s="1108"/>
      <c r="AL78" s="793"/>
      <c r="AM78" s="793"/>
      <c r="AN78" s="793"/>
      <c r="AO78" s="793"/>
      <c r="AP78" s="1108"/>
      <c r="AQ78" s="12" t="s">
        <v>477</v>
      </c>
    </row>
    <row r="79" spans="1:43" ht="44.25" customHeight="1">
      <c r="A79" s="1141" t="s">
        <v>514</v>
      </c>
      <c r="B79" s="2954" t="s">
        <v>515</v>
      </c>
      <c r="C79" s="2956"/>
      <c r="D79" s="256" t="s">
        <v>196</v>
      </c>
      <c r="E79" s="50" t="s">
        <v>723</v>
      </c>
      <c r="F79" s="50" t="s">
        <v>723</v>
      </c>
      <c r="G79" s="444"/>
      <c r="H79" s="3523">
        <f>'R.FILE GOC'!H79</f>
        <v>30</v>
      </c>
      <c r="I79" s="3524"/>
      <c r="J79" s="3525"/>
      <c r="K79" s="3523">
        <f>'R.FILE GOC'!K79</f>
        <v>26</v>
      </c>
      <c r="L79" s="3524"/>
      <c r="M79" s="1169"/>
      <c r="N79" s="3523">
        <f>'R.FILE GOC'!N79</f>
        <v>29</v>
      </c>
      <c r="O79" s="3524"/>
      <c r="P79" s="3525"/>
      <c r="Q79" s="3523">
        <f>'R.FILE GOC'!Q79</f>
        <v>25</v>
      </c>
      <c r="R79" s="3525"/>
      <c r="S79" s="1108"/>
      <c r="T79" s="793"/>
      <c r="U79" s="793"/>
      <c r="V79" s="793"/>
      <c r="W79" s="793"/>
      <c r="X79" s="1108"/>
      <c r="Y79" s="1108"/>
      <c r="Z79" s="793"/>
      <c r="AA79" s="793"/>
      <c r="AB79" s="793"/>
      <c r="AC79" s="793"/>
      <c r="AD79" s="1108"/>
      <c r="AE79" s="1108"/>
      <c r="AF79" s="793"/>
      <c r="AG79" s="793"/>
      <c r="AH79" s="793"/>
      <c r="AI79" s="793"/>
      <c r="AJ79" s="1108"/>
      <c r="AK79" s="1108"/>
      <c r="AL79" s="793"/>
      <c r="AM79" s="793"/>
      <c r="AN79" s="793"/>
      <c r="AO79" s="793"/>
      <c r="AP79" s="1108"/>
      <c r="AQ79" s="12" t="s">
        <v>477</v>
      </c>
    </row>
    <row r="80" spans="1:43" ht="44.25" hidden="1" customHeight="1">
      <c r="A80" s="1141" t="s">
        <v>517</v>
      </c>
      <c r="B80" s="2954" t="s">
        <v>518</v>
      </c>
      <c r="C80" s="2956"/>
      <c r="D80" s="256" t="s">
        <v>196</v>
      </c>
      <c r="E80" s="50" t="s">
        <v>723</v>
      </c>
      <c r="F80" s="447"/>
      <c r="G80" s="444"/>
      <c r="H80" s="3523">
        <f>'R.FILE GOC'!H80</f>
        <v>0</v>
      </c>
      <c r="I80" s="3524"/>
      <c r="J80" s="3525"/>
      <c r="K80" s="3523">
        <f>'R.FILE GOC'!K80</f>
        <v>0</v>
      </c>
      <c r="L80" s="3524"/>
      <c r="M80" s="1169"/>
      <c r="N80" s="3523">
        <f>'R.FILE GOC'!N80</f>
        <v>0</v>
      </c>
      <c r="O80" s="3524"/>
      <c r="P80" s="3525"/>
      <c r="Q80" s="3523">
        <f>'R.FILE GOC'!Q80</f>
        <v>0</v>
      </c>
      <c r="R80" s="3525"/>
      <c r="S80" s="1108"/>
      <c r="T80" s="793"/>
      <c r="U80" s="793"/>
      <c r="V80" s="793"/>
      <c r="W80" s="793"/>
      <c r="X80" s="1108"/>
      <c r="Y80" s="1108"/>
      <c r="Z80" s="793"/>
      <c r="AA80" s="793"/>
      <c r="AB80" s="793"/>
      <c r="AC80" s="793"/>
      <c r="AD80" s="1108"/>
      <c r="AE80" s="1108"/>
      <c r="AF80" s="793"/>
      <c r="AG80" s="793"/>
      <c r="AH80" s="793"/>
      <c r="AI80" s="793"/>
      <c r="AJ80" s="1108"/>
      <c r="AK80" s="1108"/>
      <c r="AL80" s="793"/>
      <c r="AM80" s="793"/>
      <c r="AN80" s="793"/>
      <c r="AO80" s="793"/>
      <c r="AP80" s="1108"/>
      <c r="AQ80" s="12" t="s">
        <v>477</v>
      </c>
    </row>
    <row r="81" spans="1:51" ht="44.25" customHeight="1">
      <c r="A81" s="1141" t="s">
        <v>519</v>
      </c>
      <c r="B81" s="2954" t="s">
        <v>520</v>
      </c>
      <c r="C81" s="2956"/>
      <c r="D81" s="256" t="s">
        <v>196</v>
      </c>
      <c r="E81" s="50" t="s">
        <v>724</v>
      </c>
      <c r="F81" s="444"/>
      <c r="G81" s="444"/>
      <c r="H81" s="2874"/>
      <c r="I81" s="2875"/>
      <c r="J81" s="2876"/>
      <c r="K81" s="3523">
        <f>'R.FILE GOC'!K81</f>
        <v>171</v>
      </c>
      <c r="L81" s="3524"/>
      <c r="M81" s="1170"/>
      <c r="N81" s="2874"/>
      <c r="O81" s="2875"/>
      <c r="P81" s="2876"/>
      <c r="Q81" s="3522">
        <f>'R.FILE GOC'!Q81</f>
        <v>178</v>
      </c>
      <c r="R81" s="3522"/>
      <c r="S81" s="1108"/>
      <c r="T81" s="793"/>
      <c r="U81" s="793"/>
      <c r="V81" s="793"/>
      <c r="W81" s="793"/>
      <c r="X81" s="1108"/>
      <c r="Y81" s="1108"/>
      <c r="Z81" s="793"/>
      <c r="AA81" s="793"/>
      <c r="AB81" s="793"/>
      <c r="AC81" s="793"/>
      <c r="AD81" s="1108"/>
      <c r="AE81" s="1108"/>
      <c r="AF81" s="793"/>
      <c r="AG81" s="793"/>
      <c r="AH81" s="793"/>
      <c r="AI81" s="793"/>
      <c r="AJ81" s="1108"/>
      <c r="AK81" s="1108"/>
      <c r="AL81" s="793"/>
      <c r="AM81" s="793"/>
      <c r="AN81" s="793"/>
      <c r="AO81" s="793"/>
      <c r="AP81" s="1108"/>
      <c r="AQ81" s="12" t="s">
        <v>477</v>
      </c>
    </row>
    <row r="82" spans="1:51" s="253" customFormat="1" ht="47.25" hidden="1" customHeight="1">
      <c r="A82" s="1171"/>
      <c r="B82" s="452"/>
      <c r="C82" s="453"/>
      <c r="D82" s="453"/>
      <c r="E82" s="453"/>
      <c r="F82" s="453"/>
      <c r="G82" s="453"/>
      <c r="H82" s="454" t="s">
        <v>522</v>
      </c>
      <c r="I82" s="453"/>
      <c r="J82" s="453"/>
      <c r="K82" s="453"/>
      <c r="L82" s="453"/>
      <c r="M82" s="453"/>
      <c r="N82" s="453"/>
      <c r="O82" s="453"/>
      <c r="P82" s="453"/>
      <c r="Q82" s="453"/>
      <c r="R82" s="453"/>
      <c r="S82" s="453"/>
      <c r="T82" s="455"/>
      <c r="U82" s="455"/>
      <c r="V82" s="455"/>
      <c r="W82" s="455"/>
      <c r="X82" s="455"/>
      <c r="Y82" s="455"/>
      <c r="Z82" s="455"/>
      <c r="AA82" s="455"/>
      <c r="AB82" s="455"/>
      <c r="AC82" s="455"/>
      <c r="AD82" s="455"/>
      <c r="AE82" s="455"/>
      <c r="AF82" s="455"/>
      <c r="AG82" s="455"/>
      <c r="AH82" s="455"/>
      <c r="AI82" s="455"/>
      <c r="AJ82" s="455"/>
      <c r="AK82" s="455"/>
      <c r="AL82" s="455"/>
      <c r="AM82" s="455"/>
      <c r="AN82" s="455"/>
      <c r="AO82" s="455"/>
      <c r="AP82" s="455"/>
      <c r="AQ82" s="12" t="s">
        <v>477</v>
      </c>
    </row>
    <row r="83" spans="1:51" s="253" customFormat="1" ht="47.25" hidden="1" customHeight="1">
      <c r="A83" s="1172"/>
      <c r="B83" s="2954" t="s">
        <v>522</v>
      </c>
      <c r="C83" s="2956"/>
      <c r="D83" s="1109" t="s">
        <v>523</v>
      </c>
      <c r="E83" s="50" t="s">
        <v>524</v>
      </c>
      <c r="F83" s="435"/>
      <c r="G83" s="435" t="s">
        <v>523</v>
      </c>
      <c r="H83" s="2928">
        <f>'R.FILE GOC'!H83:L83</f>
        <v>0</v>
      </c>
      <c r="I83" s="2929"/>
      <c r="J83" s="2929"/>
      <c r="K83" s="2929"/>
      <c r="L83" s="2929"/>
      <c r="M83" s="1104"/>
      <c r="N83" s="2928">
        <f>'R.FILE GOC'!N83:R83</f>
        <v>0</v>
      </c>
      <c r="O83" s="2929"/>
      <c r="P83" s="2929"/>
      <c r="Q83" s="2929"/>
      <c r="R83" s="2929"/>
      <c r="S83" s="1019"/>
      <c r="T83" s="793"/>
      <c r="U83" s="793"/>
      <c r="V83" s="793"/>
      <c r="W83" s="793"/>
      <c r="X83" s="793"/>
      <c r="Y83" s="793"/>
      <c r="Z83" s="793"/>
      <c r="AA83" s="793"/>
      <c r="AB83" s="793"/>
      <c r="AC83" s="793"/>
      <c r="AD83" s="793"/>
      <c r="AE83" s="793"/>
      <c r="AF83" s="793"/>
      <c r="AG83" s="793"/>
      <c r="AH83" s="793"/>
      <c r="AI83" s="793"/>
      <c r="AJ83" s="793"/>
      <c r="AK83" s="793"/>
      <c r="AL83" s="793"/>
      <c r="AM83" s="793"/>
      <c r="AN83" s="793"/>
      <c r="AO83" s="793"/>
      <c r="AP83" s="793"/>
      <c r="AQ83" s="12" t="s">
        <v>477</v>
      </c>
    </row>
    <row r="84" spans="1:51" s="253" customFormat="1" ht="47.25" hidden="1" customHeight="1">
      <c r="A84" s="1172"/>
      <c r="B84" s="2954" t="s">
        <v>525</v>
      </c>
      <c r="C84" s="2956"/>
      <c r="D84" s="1109" t="s">
        <v>523</v>
      </c>
      <c r="E84" s="50" t="s">
        <v>526</v>
      </c>
      <c r="F84" s="435"/>
      <c r="G84" s="435" t="s">
        <v>523</v>
      </c>
      <c r="H84" s="2928">
        <f>'R.FILE GOC'!H84:L84</f>
        <v>0</v>
      </c>
      <c r="I84" s="2929"/>
      <c r="J84" s="2929"/>
      <c r="K84" s="2929"/>
      <c r="L84" s="2929"/>
      <c r="M84" s="1104"/>
      <c r="N84" s="2928">
        <f>'R.FILE GOC'!N84:R84</f>
        <v>0</v>
      </c>
      <c r="O84" s="2929"/>
      <c r="P84" s="2929"/>
      <c r="Q84" s="2929"/>
      <c r="R84" s="2929"/>
      <c r="S84" s="1019"/>
      <c r="T84" s="793"/>
      <c r="U84" s="793"/>
      <c r="V84" s="793"/>
      <c r="W84" s="793"/>
      <c r="X84" s="793"/>
      <c r="Y84" s="793"/>
      <c r="Z84" s="793"/>
      <c r="AA84" s="793"/>
      <c r="AB84" s="793"/>
      <c r="AC84" s="793"/>
      <c r="AD84" s="793"/>
      <c r="AE84" s="793"/>
      <c r="AF84" s="793"/>
      <c r="AG84" s="793"/>
      <c r="AH84" s="793"/>
      <c r="AI84" s="793"/>
      <c r="AJ84" s="793"/>
      <c r="AK84" s="793"/>
      <c r="AL84" s="793"/>
      <c r="AM84" s="793"/>
      <c r="AN84" s="793"/>
      <c r="AO84" s="793"/>
      <c r="AP84" s="793"/>
      <c r="AQ84" s="12" t="s">
        <v>477</v>
      </c>
    </row>
    <row r="85" spans="1:51" s="253" customFormat="1" ht="28.5" customHeight="1">
      <c r="A85" s="1430"/>
      <c r="B85" s="1106"/>
      <c r="C85" s="1106"/>
      <c r="D85" s="1141"/>
      <c r="E85" s="1106"/>
      <c r="F85" s="435"/>
      <c r="G85" s="435"/>
      <c r="H85" s="1105"/>
      <c r="I85" s="1105"/>
      <c r="J85" s="1105"/>
      <c r="K85" s="1105"/>
      <c r="L85" s="1105"/>
      <c r="M85" s="1105"/>
      <c r="N85" s="1105"/>
      <c r="O85" s="1105"/>
      <c r="P85" s="1105"/>
      <c r="Q85" s="1105"/>
      <c r="R85" s="1105"/>
      <c r="S85" s="1020"/>
      <c r="T85" s="793"/>
      <c r="U85" s="793"/>
      <c r="V85" s="793"/>
      <c r="W85" s="793"/>
      <c r="X85" s="793"/>
      <c r="Y85" s="793"/>
      <c r="Z85" s="793"/>
      <c r="AA85" s="793"/>
      <c r="AB85" s="793"/>
      <c r="AC85" s="793"/>
      <c r="AD85" s="793"/>
      <c r="AE85" s="793"/>
      <c r="AF85" s="793"/>
      <c r="AG85" s="793"/>
      <c r="AH85" s="793"/>
      <c r="AI85" s="793"/>
      <c r="AJ85" s="793"/>
      <c r="AK85" s="793"/>
      <c r="AL85" s="793"/>
      <c r="AM85" s="793"/>
      <c r="AN85" s="793"/>
      <c r="AO85" s="793"/>
      <c r="AP85" s="793"/>
      <c r="AQ85" s="12"/>
    </row>
    <row r="86" spans="1:51" ht="40.5" customHeight="1">
      <c r="A86" s="2116" t="s">
        <v>527</v>
      </c>
      <c r="B86" s="2123"/>
      <c r="C86" s="2124"/>
      <c r="D86" s="2125"/>
      <c r="E86" s="2126"/>
      <c r="F86" s="2127"/>
      <c r="G86" s="2128"/>
      <c r="H86" s="2129" t="s">
        <v>73</v>
      </c>
      <c r="I86" s="2130"/>
      <c r="J86" s="2130"/>
      <c r="K86" s="2130"/>
      <c r="L86" s="2130"/>
      <c r="M86" s="2130"/>
      <c r="N86" s="2130"/>
      <c r="O86" s="2130"/>
      <c r="P86" s="2130"/>
      <c r="Q86" s="2130"/>
      <c r="R86" s="2131"/>
      <c r="S86" s="1160"/>
      <c r="AD86" s="12"/>
      <c r="AP86" s="12"/>
    </row>
    <row r="87" spans="1:51" ht="27.75" customHeight="1">
      <c r="A87" s="419"/>
      <c r="B87" s="3535" t="s">
        <v>77</v>
      </c>
      <c r="C87" s="3536"/>
      <c r="D87" s="2852" t="s">
        <v>125</v>
      </c>
      <c r="E87" s="3527" t="s">
        <v>65</v>
      </c>
      <c r="F87" s="420"/>
      <c r="G87" s="422"/>
      <c r="H87" s="3540">
        <v>0.375</v>
      </c>
      <c r="I87" s="3541"/>
      <c r="J87" s="3541"/>
      <c r="K87" s="3541"/>
      <c r="L87" s="3541"/>
      <c r="M87" s="422"/>
      <c r="N87" s="3294">
        <v>0.875</v>
      </c>
      <c r="O87" s="3301"/>
      <c r="P87" s="3301"/>
      <c r="Q87" s="3301"/>
      <c r="R87" s="3301"/>
      <c r="S87" s="1161"/>
      <c r="T87" s="319"/>
      <c r="AD87" s="12"/>
      <c r="AE87" s="1161"/>
      <c r="AF87" s="319"/>
      <c r="AP87" s="12"/>
    </row>
    <row r="88" spans="1:51" ht="50.25" customHeight="1">
      <c r="A88" s="457" t="s">
        <v>239</v>
      </c>
      <c r="B88" s="3537"/>
      <c r="C88" s="3538"/>
      <c r="D88" s="3526"/>
      <c r="E88" s="3528"/>
      <c r="F88" s="424" t="s">
        <v>423</v>
      </c>
      <c r="G88" s="425"/>
      <c r="H88" s="49" t="s">
        <v>732</v>
      </c>
      <c r="I88" s="1173" t="s">
        <v>1</v>
      </c>
      <c r="J88" s="3531" t="s">
        <v>1</v>
      </c>
      <c r="K88" s="3531"/>
      <c r="L88" s="3531"/>
      <c r="M88" s="49"/>
      <c r="N88" s="1073" t="s">
        <v>732</v>
      </c>
      <c r="O88" s="1385" t="s">
        <v>1</v>
      </c>
      <c r="P88" s="2851" t="s">
        <v>1</v>
      </c>
      <c r="Q88" s="2851"/>
      <c r="R88" s="2851"/>
      <c r="S88" s="1174"/>
      <c r="T88" s="319"/>
      <c r="AD88" s="12"/>
      <c r="AE88" s="1174"/>
      <c r="AF88" s="319"/>
      <c r="AP88" s="12"/>
      <c r="AS88" s="1660" t="s">
        <v>1450</v>
      </c>
      <c r="AT88" s="1661"/>
      <c r="AU88" s="1661"/>
      <c r="AV88" s="1661"/>
      <c r="AW88" s="1175"/>
      <c r="AX88" s="1175"/>
      <c r="AY88" s="1175"/>
    </row>
    <row r="89" spans="1:51" ht="34.5" customHeight="1">
      <c r="A89" s="1141" t="s">
        <v>528</v>
      </c>
      <c r="B89" s="2954" t="s">
        <v>529</v>
      </c>
      <c r="C89" s="2956"/>
      <c r="D89" s="1109" t="s">
        <v>4</v>
      </c>
      <c r="E89" s="1103" t="s">
        <v>530</v>
      </c>
      <c r="F89" s="460">
        <v>25</v>
      </c>
      <c r="G89" s="429">
        <f>R.HN!C51</f>
        <v>1.58</v>
      </c>
      <c r="H89" s="1560">
        <f>G89*15.8</f>
        <v>24.964000000000002</v>
      </c>
      <c r="I89" s="1560">
        <f>($F$89-H89)*1632/1000</f>
        <v>5.8751999999996425E-2</v>
      </c>
      <c r="J89" s="1560" t="s">
        <v>8</v>
      </c>
      <c r="K89" s="1544">
        <f>IF(H89=0,0,IF(I89&lt;0,0,I89))</f>
        <v>5.8751999999996425E-2</v>
      </c>
      <c r="L89" s="1560" t="s">
        <v>9</v>
      </c>
      <c r="M89" s="1564">
        <f>R.HN!D51</f>
        <v>1.44</v>
      </c>
      <c r="N89" s="1568">
        <f>M89*15.8</f>
        <v>22.751999999999999</v>
      </c>
      <c r="O89" s="1568">
        <f>($F$89-N89)*1632/1000</f>
        <v>3.6687360000000018</v>
      </c>
      <c r="P89" s="1568" t="s">
        <v>8</v>
      </c>
      <c r="Q89" s="1544">
        <f>IF(N89=0,0,IF(O89&lt;0,0,O89))</f>
        <v>3.6687360000000018</v>
      </c>
      <c r="R89" s="41" t="s">
        <v>9</v>
      </c>
      <c r="S89" s="1176"/>
      <c r="T89" s="319"/>
      <c r="AD89" s="12"/>
      <c r="AE89" s="1176"/>
      <c r="AF89" s="319"/>
      <c r="AP89" s="12"/>
      <c r="AQ89" s="12" t="s">
        <v>531</v>
      </c>
      <c r="AS89" s="1142" t="s">
        <v>1031</v>
      </c>
    </row>
    <row r="90" spans="1:51" ht="34.5" customHeight="1">
      <c r="A90" s="1141" t="s">
        <v>532</v>
      </c>
      <c r="B90" s="2954" t="s">
        <v>533</v>
      </c>
      <c r="C90" s="2956"/>
      <c r="D90" s="1109" t="s">
        <v>4</v>
      </c>
      <c r="E90" s="1103" t="s">
        <v>530</v>
      </c>
      <c r="F90" s="460">
        <v>25</v>
      </c>
      <c r="G90" s="429">
        <f>R.HN!C52</f>
        <v>1.7</v>
      </c>
      <c r="H90" s="1560">
        <f>G90*15.8</f>
        <v>26.86</v>
      </c>
      <c r="I90" s="1560">
        <f>($F$90-H90)*1632/1000</f>
        <v>-3.0355199999999991</v>
      </c>
      <c r="J90" s="1560" t="s">
        <v>8</v>
      </c>
      <c r="K90" s="1544">
        <f>IF(H90=0,0,IF(I90&lt;0,0,I90))</f>
        <v>0</v>
      </c>
      <c r="L90" s="1560" t="s">
        <v>9</v>
      </c>
      <c r="M90" s="1564">
        <f>R.HN!D52</f>
        <v>1.58</v>
      </c>
      <c r="N90" s="1568">
        <f>M90*15.8</f>
        <v>24.964000000000002</v>
      </c>
      <c r="O90" s="1568">
        <f>($F$90-N90)*1632/1000</f>
        <v>5.8751999999996425E-2</v>
      </c>
      <c r="P90" s="1568" t="s">
        <v>8</v>
      </c>
      <c r="Q90" s="1544">
        <f>IF(N90=0,0,IF(O90&lt;0,0,O90))</f>
        <v>5.8751999999996425E-2</v>
      </c>
      <c r="R90" s="41" t="s">
        <v>9</v>
      </c>
      <c r="S90" s="1176"/>
      <c r="T90" s="319"/>
      <c r="AD90" s="12"/>
      <c r="AE90" s="1176"/>
      <c r="AF90" s="319"/>
      <c r="AP90" s="12"/>
      <c r="AQ90" s="12" t="s">
        <v>531</v>
      </c>
    </row>
    <row r="91" spans="1:51" ht="34.5" customHeight="1">
      <c r="A91" s="1141" t="s">
        <v>534</v>
      </c>
      <c r="B91" s="2954" t="s">
        <v>535</v>
      </c>
      <c r="C91" s="2956"/>
      <c r="D91" s="1109" t="s">
        <v>56</v>
      </c>
      <c r="E91" s="1635" t="s">
        <v>1424</v>
      </c>
      <c r="F91" s="460">
        <v>250</v>
      </c>
      <c r="G91" s="429">
        <f>R.HN!C53</f>
        <v>3.35</v>
      </c>
      <c r="H91" s="1560">
        <f>G91*65.2</f>
        <v>218.42000000000002</v>
      </c>
      <c r="I91" s="1560">
        <f>($F$91-H91)*1632/1000</f>
        <v>51.538559999999976</v>
      </c>
      <c r="J91" s="1560" t="s">
        <v>8</v>
      </c>
      <c r="K91" s="1544">
        <f>IF(H91=0,0,IF(I91&lt;0,0,I91))</f>
        <v>51.538559999999976</v>
      </c>
      <c r="L91" s="1560" t="s">
        <v>1106</v>
      </c>
      <c r="M91" s="1564">
        <f>R.HN!D53</f>
        <v>3.5</v>
      </c>
      <c r="N91" s="1568">
        <f>M91*65.2</f>
        <v>228.20000000000002</v>
      </c>
      <c r="O91" s="1568">
        <f>($F$91-N91)*1632/1000</f>
        <v>35.577599999999968</v>
      </c>
      <c r="P91" s="1568" t="s">
        <v>8</v>
      </c>
      <c r="Q91" s="1544">
        <f>IF(N91=0,0,IF(O91&lt;0,0,O91))</f>
        <v>35.577599999999968</v>
      </c>
      <c r="R91" s="41" t="s">
        <v>1283</v>
      </c>
      <c r="S91" s="1176"/>
      <c r="T91" s="319"/>
      <c r="AD91" s="12"/>
      <c r="AE91" s="1176"/>
      <c r="AF91" s="319"/>
      <c r="AP91" s="12"/>
      <c r="AQ91" s="12" t="s">
        <v>531</v>
      </c>
      <c r="AS91" s="1142" t="s">
        <v>1032</v>
      </c>
    </row>
    <row r="92" spans="1:51" ht="34.5" customHeight="1">
      <c r="A92" s="1141" t="s">
        <v>537</v>
      </c>
      <c r="B92" s="3542" t="s">
        <v>1107</v>
      </c>
      <c r="C92" s="3543"/>
      <c r="D92" s="1109" t="s">
        <v>4</v>
      </c>
      <c r="E92" s="1635" t="s">
        <v>1425</v>
      </c>
      <c r="F92" s="460">
        <v>130</v>
      </c>
      <c r="G92" s="429">
        <f>R.HN!C54</f>
        <v>11.6</v>
      </c>
      <c r="H92" s="1560">
        <f>G92*12.5</f>
        <v>145</v>
      </c>
      <c r="I92" s="1560">
        <f>($F$92-H92)*1728/1000</f>
        <v>-25.92</v>
      </c>
      <c r="J92" s="1560" t="s">
        <v>8</v>
      </c>
      <c r="K92" s="1544">
        <f>IF(H92=0,0,IF(I92&lt;0,0,I92))</f>
        <v>0</v>
      </c>
      <c r="L92" s="1560" t="s">
        <v>9</v>
      </c>
      <c r="M92" s="1564">
        <f>R.HN!D54</f>
        <v>12.3</v>
      </c>
      <c r="N92" s="1568">
        <f>M92*12.5</f>
        <v>153.75</v>
      </c>
      <c r="O92" s="1568">
        <f>($F$92-N92)*1728/1000</f>
        <v>-41.04</v>
      </c>
      <c r="P92" s="1568" t="s">
        <v>8</v>
      </c>
      <c r="Q92" s="1544">
        <f>IF(N92=0,0,IF(O92&lt;0,0,O92))</f>
        <v>0</v>
      </c>
      <c r="R92" s="41" t="s">
        <v>9</v>
      </c>
      <c r="S92" s="1176"/>
      <c r="T92" s="319"/>
      <c r="AD92" s="12"/>
      <c r="AE92" s="1176"/>
      <c r="AF92" s="319"/>
      <c r="AP92" s="12"/>
      <c r="AQ92" s="12" t="s">
        <v>531</v>
      </c>
      <c r="AS92" s="1142" t="s">
        <v>1027</v>
      </c>
    </row>
    <row r="93" spans="1:51" ht="34.5" customHeight="1">
      <c r="A93" s="1141" t="s">
        <v>539</v>
      </c>
      <c r="B93" s="3542" t="s">
        <v>1108</v>
      </c>
      <c r="C93" s="3543"/>
      <c r="D93" s="1109" t="s">
        <v>4</v>
      </c>
      <c r="E93" s="1635" t="s">
        <v>540</v>
      </c>
      <c r="F93" s="463"/>
      <c r="G93" s="429">
        <f>R.HN!C55</f>
        <v>8.1999999999999993</v>
      </c>
      <c r="H93" s="1560">
        <f>(G92-G93)*1.25</f>
        <v>4.25</v>
      </c>
      <c r="I93" s="1560" t="s">
        <v>435</v>
      </c>
      <c r="J93" s="1560" t="s">
        <v>8</v>
      </c>
      <c r="K93" s="1566"/>
      <c r="L93" s="1560" t="s">
        <v>9</v>
      </c>
      <c r="M93" s="1564">
        <f>R.HN!D55</f>
        <v>8.1</v>
      </c>
      <c r="N93" s="1568">
        <f>(M92-M93)*1.25</f>
        <v>5.2500000000000018</v>
      </c>
      <c r="O93" s="1568" t="s">
        <v>435</v>
      </c>
      <c r="P93" s="1568" t="s">
        <v>8</v>
      </c>
      <c r="Q93" s="1566"/>
      <c r="R93" s="41" t="s">
        <v>9</v>
      </c>
      <c r="S93" s="1176"/>
      <c r="T93" s="319"/>
      <c r="AD93" s="12"/>
      <c r="AE93" s="1176"/>
      <c r="AF93" s="319"/>
      <c r="AP93" s="12"/>
      <c r="AQ93" s="12" t="s">
        <v>531</v>
      </c>
      <c r="AS93" s="1142" t="s">
        <v>1028</v>
      </c>
    </row>
    <row r="94" spans="1:51" ht="34.5" customHeight="1">
      <c r="A94" s="1141" t="s">
        <v>541</v>
      </c>
      <c r="B94" s="3542" t="s">
        <v>1109</v>
      </c>
      <c r="C94" s="3543"/>
      <c r="D94" s="1109" t="s">
        <v>4</v>
      </c>
      <c r="E94" s="1635" t="s">
        <v>1425</v>
      </c>
      <c r="F94" s="463">
        <v>130</v>
      </c>
      <c r="G94" s="429">
        <f>R.HN!C56</f>
        <v>11.2</v>
      </c>
      <c r="H94" s="1560">
        <f>G94*12.5</f>
        <v>140</v>
      </c>
      <c r="I94" s="1560">
        <f>($F$94-H94)*1728/1000</f>
        <v>-17.28</v>
      </c>
      <c r="J94" s="1560" t="s">
        <v>8</v>
      </c>
      <c r="K94" s="1544">
        <f>IF(H94=0,0,IF(I94&lt;0,0,I94))</f>
        <v>0</v>
      </c>
      <c r="L94" s="1560" t="s">
        <v>9</v>
      </c>
      <c r="M94" s="1564">
        <f>R.HN!D56</f>
        <v>11.6</v>
      </c>
      <c r="N94" s="1568">
        <f>M94*12.5</f>
        <v>145</v>
      </c>
      <c r="O94" s="1568">
        <f>($F$94-N94)*1728/1000</f>
        <v>-25.92</v>
      </c>
      <c r="P94" s="1568" t="s">
        <v>8</v>
      </c>
      <c r="Q94" s="1544">
        <f>IF(N94=0,0,IF(O94&lt;0,0,O94))</f>
        <v>0</v>
      </c>
      <c r="R94" s="41" t="s">
        <v>9</v>
      </c>
      <c r="S94" s="1176"/>
      <c r="T94" s="319"/>
      <c r="AD94" s="12"/>
      <c r="AE94" s="1176"/>
      <c r="AF94" s="319"/>
      <c r="AP94" s="12"/>
      <c r="AQ94" s="12" t="s">
        <v>531</v>
      </c>
    </row>
    <row r="95" spans="1:51" ht="34.5" customHeight="1">
      <c r="A95" s="1141" t="s">
        <v>542</v>
      </c>
      <c r="B95" s="3542" t="s">
        <v>1110</v>
      </c>
      <c r="C95" s="3543"/>
      <c r="D95" s="1109" t="s">
        <v>4</v>
      </c>
      <c r="E95" s="1103" t="s">
        <v>540</v>
      </c>
      <c r="F95" s="463"/>
      <c r="G95" s="429">
        <f>R.HN!C57</f>
        <v>8</v>
      </c>
      <c r="H95" s="1560">
        <f>(G94-G95)*1.25</f>
        <v>3.9999999999999991</v>
      </c>
      <c r="I95" s="1560" t="s">
        <v>435</v>
      </c>
      <c r="J95" s="1560" t="s">
        <v>8</v>
      </c>
      <c r="K95" s="1566"/>
      <c r="L95" s="1560" t="s">
        <v>9</v>
      </c>
      <c r="M95" s="1564">
        <f>R.HN!D57</f>
        <v>7.6</v>
      </c>
      <c r="N95" s="1568">
        <f>(M94-M95)*1.25</f>
        <v>5</v>
      </c>
      <c r="O95" s="1568" t="s">
        <v>435</v>
      </c>
      <c r="P95" s="1568" t="s">
        <v>8</v>
      </c>
      <c r="Q95" s="1566"/>
      <c r="R95" s="41" t="s">
        <v>9</v>
      </c>
      <c r="S95" s="1176"/>
      <c r="T95" s="319"/>
      <c r="AD95" s="12"/>
      <c r="AE95" s="1176"/>
      <c r="AF95" s="319"/>
      <c r="AP95" s="12"/>
      <c r="AQ95" s="12" t="s">
        <v>531</v>
      </c>
    </row>
    <row r="96" spans="1:51" ht="34.5" customHeight="1">
      <c r="A96" s="1141" t="s">
        <v>543</v>
      </c>
      <c r="B96" s="3542" t="s">
        <v>1111</v>
      </c>
      <c r="C96" s="3543"/>
      <c r="D96" s="1109" t="s">
        <v>4</v>
      </c>
      <c r="E96" s="1635" t="s">
        <v>1425</v>
      </c>
      <c r="F96" s="463">
        <v>130</v>
      </c>
      <c r="G96" s="429">
        <f>R.HN!C58</f>
        <v>10.3</v>
      </c>
      <c r="H96" s="1560">
        <f>G96*12.5</f>
        <v>128.75</v>
      </c>
      <c r="I96" s="1560">
        <f>($F$96-H96)*1728/1000</f>
        <v>2.16</v>
      </c>
      <c r="J96" s="1560" t="s">
        <v>8</v>
      </c>
      <c r="K96" s="1544">
        <f>IF(H96=0,0,IF(I96&lt;0,0,I96))</f>
        <v>2.16</v>
      </c>
      <c r="L96" s="1560" t="s">
        <v>9</v>
      </c>
      <c r="M96" s="1564">
        <f>R.HN!D58</f>
        <v>10.5</v>
      </c>
      <c r="N96" s="1568">
        <f>M96*12.5</f>
        <v>131.25</v>
      </c>
      <c r="O96" s="1568">
        <f>($F$96-N96)*1728/1000</f>
        <v>-2.16</v>
      </c>
      <c r="P96" s="1568" t="s">
        <v>8</v>
      </c>
      <c r="Q96" s="1544">
        <f>IF(N96=0,0,IF(O96&lt;0,0,O96))</f>
        <v>0</v>
      </c>
      <c r="R96" s="41" t="s">
        <v>9</v>
      </c>
      <c r="S96" s="1176"/>
      <c r="T96" s="319"/>
      <c r="AD96" s="12"/>
      <c r="AE96" s="1176"/>
      <c r="AF96" s="319"/>
      <c r="AP96" s="12"/>
      <c r="AQ96" s="12" t="s">
        <v>531</v>
      </c>
    </row>
    <row r="97" spans="1:45" ht="34.5" customHeight="1">
      <c r="A97" s="1141" t="s">
        <v>544</v>
      </c>
      <c r="B97" s="3542" t="s">
        <v>1112</v>
      </c>
      <c r="C97" s="3543"/>
      <c r="D97" s="1109" t="s">
        <v>4</v>
      </c>
      <c r="E97" s="1103" t="s">
        <v>540</v>
      </c>
      <c r="F97" s="463"/>
      <c r="G97" s="429">
        <f>R.HN!C59</f>
        <v>6.4</v>
      </c>
      <c r="H97" s="1560">
        <f>(G96-G97)*1.25</f>
        <v>4.875</v>
      </c>
      <c r="I97" s="1560" t="s">
        <v>435</v>
      </c>
      <c r="J97" s="1560" t="s">
        <v>8</v>
      </c>
      <c r="K97" s="1566"/>
      <c r="L97" s="1560" t="s">
        <v>9</v>
      </c>
      <c r="M97" s="1564">
        <f>R.HN!D59</f>
        <v>7.2</v>
      </c>
      <c r="N97" s="1568">
        <f>(M96-M97)*1.25</f>
        <v>4.125</v>
      </c>
      <c r="O97" s="1568" t="s">
        <v>435</v>
      </c>
      <c r="P97" s="1568" t="s">
        <v>8</v>
      </c>
      <c r="Q97" s="1566"/>
      <c r="R97" s="41" t="s">
        <v>9</v>
      </c>
      <c r="S97" s="1176"/>
      <c r="T97" s="319"/>
      <c r="AD97" s="12"/>
      <c r="AE97" s="1176"/>
      <c r="AF97" s="319"/>
      <c r="AP97" s="12"/>
      <c r="AQ97" s="12" t="s">
        <v>531</v>
      </c>
    </row>
    <row r="98" spans="1:45" ht="34.5" customHeight="1">
      <c r="A98" s="1141" t="s">
        <v>545</v>
      </c>
      <c r="B98" s="1177" t="s">
        <v>546</v>
      </c>
      <c r="C98" s="1178"/>
      <c r="D98" s="1109" t="s">
        <v>4</v>
      </c>
      <c r="E98" s="1103" t="s">
        <v>547</v>
      </c>
      <c r="F98" s="464">
        <v>10</v>
      </c>
      <c r="G98" s="429">
        <f>R.HN!C60</f>
        <v>5.0999999999999996</v>
      </c>
      <c r="H98" s="1560">
        <f>G98*2.08</f>
        <v>10.607999999999999</v>
      </c>
      <c r="I98" s="1560">
        <f>($F$98-H98)*1728/1000</f>
        <v>-1.050623999999998</v>
      </c>
      <c r="J98" s="1560" t="s">
        <v>8</v>
      </c>
      <c r="K98" s="1544">
        <f>IF(H98=0,0,IF(I98&lt;0,0,I98))</f>
        <v>0</v>
      </c>
      <c r="L98" s="1560" t="s">
        <v>9</v>
      </c>
      <c r="M98" s="1564">
        <f>R.HN!D60</f>
        <v>4.9000000000000004</v>
      </c>
      <c r="N98" s="1568">
        <f>M98*2.08</f>
        <v>10.192000000000002</v>
      </c>
      <c r="O98" s="1568">
        <f>($F$98-N98)*1728/1000</f>
        <v>-0.33177600000000335</v>
      </c>
      <c r="P98" s="1568" t="s">
        <v>8</v>
      </c>
      <c r="Q98" s="1544">
        <f>IF(N98=0,0,IF(O98&lt;0,0,O98))</f>
        <v>0</v>
      </c>
      <c r="R98" s="41" t="s">
        <v>9</v>
      </c>
      <c r="S98" s="1176"/>
      <c r="T98" s="319"/>
      <c r="AD98" s="12"/>
      <c r="AE98" s="1176"/>
      <c r="AF98" s="319"/>
      <c r="AP98" s="12"/>
      <c r="AQ98" s="12" t="s">
        <v>531</v>
      </c>
      <c r="AS98" s="1142" t="s">
        <v>1029</v>
      </c>
    </row>
    <row r="99" spans="1:45" ht="34.5" customHeight="1">
      <c r="A99" s="1141" t="s">
        <v>548</v>
      </c>
      <c r="B99" s="1179" t="s">
        <v>5</v>
      </c>
      <c r="C99" s="1180"/>
      <c r="D99" s="1109" t="s">
        <v>5</v>
      </c>
      <c r="E99" s="1103" t="s">
        <v>549</v>
      </c>
      <c r="F99" s="464"/>
      <c r="G99" s="429"/>
      <c r="H99" s="1569">
        <f>'R.FILE GOC'!H99</f>
        <v>6.2</v>
      </c>
      <c r="I99" s="1570"/>
      <c r="J99" s="1570"/>
      <c r="K99" s="1571"/>
      <c r="L99" s="1572"/>
      <c r="M99" s="1144"/>
      <c r="N99" s="1573">
        <f>'R.FILE GOC'!N99</f>
        <v>6.3</v>
      </c>
      <c r="O99" s="1267"/>
      <c r="P99" s="1267"/>
      <c r="Q99" s="1267"/>
      <c r="R99" s="1324"/>
      <c r="S99" s="1176"/>
      <c r="T99" s="319"/>
      <c r="AD99" s="12"/>
      <c r="AE99" s="1176"/>
      <c r="AF99" s="319"/>
      <c r="AP99" s="12"/>
      <c r="AQ99" s="12" t="s">
        <v>531</v>
      </c>
    </row>
    <row r="100" spans="1:45" ht="34.5" hidden="1" customHeight="1">
      <c r="A100" s="1141" t="s">
        <v>550</v>
      </c>
      <c r="B100" s="2954" t="s">
        <v>551</v>
      </c>
      <c r="C100" s="2956"/>
      <c r="D100" s="1109" t="s">
        <v>5</v>
      </c>
      <c r="E100" s="50" t="s">
        <v>1427</v>
      </c>
      <c r="F100" s="1109"/>
      <c r="G100" s="429"/>
      <c r="H100" s="1639">
        <f>'R.FILE GOC'!H100</f>
        <v>0</v>
      </c>
      <c r="I100" s="1640"/>
      <c r="J100" s="1640"/>
      <c r="K100" s="1640"/>
      <c r="L100" s="1641"/>
      <c r="M100" s="1642"/>
      <c r="N100" s="1639">
        <f>'R.FILE GOC'!N100</f>
        <v>0</v>
      </c>
      <c r="O100" s="1267"/>
      <c r="P100" s="1267"/>
      <c r="Q100" s="1267"/>
      <c r="R100" s="1324"/>
      <c r="S100" s="1176"/>
      <c r="T100" s="319"/>
      <c r="AD100" s="12"/>
      <c r="AE100" s="1176"/>
      <c r="AF100" s="319"/>
      <c r="AP100" s="12"/>
      <c r="AQ100" s="12" t="s">
        <v>531</v>
      </c>
    </row>
    <row r="101" spans="1:45" ht="34.5" hidden="1" customHeight="1">
      <c r="A101" s="1141" t="s">
        <v>552</v>
      </c>
      <c r="B101" s="2954" t="s">
        <v>553</v>
      </c>
      <c r="C101" s="2956"/>
      <c r="D101" s="1109" t="s">
        <v>5</v>
      </c>
      <c r="E101" s="50" t="s">
        <v>1427</v>
      </c>
      <c r="F101" s="1109"/>
      <c r="G101" s="429"/>
      <c r="H101" s="1639">
        <f>'R.FILE GOC'!H101</f>
        <v>0</v>
      </c>
      <c r="I101" s="1640"/>
      <c r="J101" s="1640"/>
      <c r="K101" s="1640"/>
      <c r="L101" s="1641"/>
      <c r="M101" s="1642"/>
      <c r="N101" s="1639">
        <f>'R.FILE GOC'!N101</f>
        <v>0</v>
      </c>
      <c r="O101" s="1267"/>
      <c r="P101" s="1267"/>
      <c r="Q101" s="1267"/>
      <c r="R101" s="1324"/>
      <c r="S101" s="1176"/>
      <c r="T101" s="319"/>
      <c r="AD101" s="12"/>
      <c r="AE101" s="1176"/>
      <c r="AF101" s="319"/>
      <c r="AP101" s="12"/>
      <c r="AQ101" s="12" t="s">
        <v>531</v>
      </c>
    </row>
    <row r="102" spans="1:45" ht="34.5" customHeight="1">
      <c r="A102" s="1141" t="s">
        <v>554</v>
      </c>
      <c r="B102" s="2954" t="s">
        <v>555</v>
      </c>
      <c r="C102" s="2956"/>
      <c r="D102" s="1109" t="s">
        <v>5</v>
      </c>
      <c r="E102" s="50" t="s">
        <v>1427</v>
      </c>
      <c r="F102" s="1109"/>
      <c r="G102" s="429"/>
      <c r="H102" s="1639">
        <f>'R.FILE GOC'!H102</f>
        <v>5.6</v>
      </c>
      <c r="I102" s="1640"/>
      <c r="J102" s="1640"/>
      <c r="K102" s="1640"/>
      <c r="L102" s="1641"/>
      <c r="M102" s="1643"/>
      <c r="N102" s="1639">
        <f>'R.FILE GOC'!N102</f>
        <v>5.7</v>
      </c>
      <c r="O102" s="1267"/>
      <c r="P102" s="1267"/>
      <c r="Q102" s="1267"/>
      <c r="R102" s="1324"/>
      <c r="S102" s="1176"/>
      <c r="T102" s="319"/>
      <c r="AD102" s="12"/>
      <c r="AE102" s="1176"/>
      <c r="AF102" s="319"/>
      <c r="AP102" s="12"/>
      <c r="AQ102" s="12" t="s">
        <v>531</v>
      </c>
    </row>
    <row r="103" spans="1:45" ht="42" customHeight="1">
      <c r="A103" s="1153" t="s">
        <v>74</v>
      </c>
      <c r="B103" s="314"/>
      <c r="C103" s="314"/>
      <c r="D103" s="314"/>
      <c r="E103" s="306"/>
      <c r="F103" s="314"/>
      <c r="G103" s="314"/>
      <c r="H103" s="314"/>
      <c r="I103" s="314"/>
      <c r="J103" s="314"/>
      <c r="K103" s="314"/>
      <c r="L103" s="314"/>
      <c r="M103" s="314"/>
      <c r="N103" s="297"/>
      <c r="O103" s="296"/>
      <c r="P103" s="296"/>
      <c r="Q103" s="296"/>
      <c r="R103" s="297"/>
      <c r="S103" s="314"/>
      <c r="T103" s="319"/>
      <c r="AD103" s="12"/>
      <c r="AE103" s="1181"/>
      <c r="AF103" s="319"/>
      <c r="AP103" s="12"/>
    </row>
    <row r="104" spans="1:45" ht="37.5" customHeight="1">
      <c r="A104" s="457" t="s">
        <v>239</v>
      </c>
      <c r="B104" s="2954" t="s">
        <v>62</v>
      </c>
      <c r="C104" s="2956"/>
      <c r="D104" s="287" t="s">
        <v>64</v>
      </c>
      <c r="E104" s="287" t="s">
        <v>65</v>
      </c>
      <c r="F104" s="50"/>
      <c r="G104" s="50"/>
      <c r="H104" s="315" t="s">
        <v>46</v>
      </c>
      <c r="I104" s="316"/>
      <c r="J104" s="316"/>
      <c r="K104" s="315" t="s">
        <v>63</v>
      </c>
      <c r="L104" s="317"/>
      <c r="M104" s="287"/>
      <c r="N104" s="290" t="s">
        <v>46</v>
      </c>
      <c r="O104" s="291"/>
      <c r="P104" s="291"/>
      <c r="Q104" s="290" t="s">
        <v>63</v>
      </c>
      <c r="R104" s="304"/>
      <c r="S104" s="1182"/>
      <c r="T104" s="319"/>
      <c r="AD104" s="12"/>
      <c r="AE104" s="1182"/>
      <c r="AF104" s="319"/>
      <c r="AP104" s="12"/>
      <c r="AQ104" s="12" t="s">
        <v>531</v>
      </c>
    </row>
    <row r="105" spans="1:45" ht="41.25" customHeight="1">
      <c r="A105" s="1141" t="s">
        <v>556</v>
      </c>
      <c r="B105" s="2954" t="s">
        <v>529</v>
      </c>
      <c r="C105" s="2956"/>
      <c r="D105" s="258" t="s">
        <v>196</v>
      </c>
      <c r="E105" s="14" t="s">
        <v>1113</v>
      </c>
      <c r="F105" s="14"/>
      <c r="G105" s="14"/>
      <c r="H105" s="3522">
        <f>'R.FILE GOC'!H105</f>
        <v>61</v>
      </c>
      <c r="I105" s="3522"/>
      <c r="J105" s="3522"/>
      <c r="K105" s="3522">
        <f>'R.FILE GOC'!K105</f>
        <v>64</v>
      </c>
      <c r="L105" s="3522"/>
      <c r="M105" s="1554"/>
      <c r="N105" s="2969">
        <f>'R.FILE GOC'!N105</f>
        <v>61</v>
      </c>
      <c r="O105" s="2969"/>
      <c r="P105" s="2969"/>
      <c r="Q105" s="2969">
        <f>'R.FILE GOC'!Q105</f>
        <v>63</v>
      </c>
      <c r="R105" s="2969"/>
      <c r="S105" s="1183"/>
      <c r="T105" s="319"/>
      <c r="AD105" s="12"/>
      <c r="AE105" s="1183"/>
      <c r="AF105" s="319"/>
      <c r="AP105" s="12"/>
      <c r="AQ105" s="12" t="s">
        <v>531</v>
      </c>
    </row>
    <row r="106" spans="1:45" ht="41.25" customHeight="1">
      <c r="A106" s="1141" t="s">
        <v>557</v>
      </c>
      <c r="B106" s="2954" t="s">
        <v>533</v>
      </c>
      <c r="C106" s="2956"/>
      <c r="D106" s="258" t="s">
        <v>196</v>
      </c>
      <c r="E106" s="14" t="s">
        <v>1113</v>
      </c>
      <c r="F106" s="14"/>
      <c r="G106" s="14"/>
      <c r="H106" s="3522">
        <f>'R.FILE GOC'!H106</f>
        <v>65</v>
      </c>
      <c r="I106" s="3522"/>
      <c r="J106" s="3522"/>
      <c r="K106" s="3522">
        <f>'R.FILE GOC'!K106</f>
        <v>64</v>
      </c>
      <c r="L106" s="3522"/>
      <c r="M106" s="1542"/>
      <c r="N106" s="2969">
        <f>'R.FILE GOC'!N106</f>
        <v>65</v>
      </c>
      <c r="O106" s="2969"/>
      <c r="P106" s="2969"/>
      <c r="Q106" s="2969">
        <f>'R.FILE GOC'!Q106</f>
        <v>63</v>
      </c>
      <c r="R106" s="2969"/>
      <c r="S106" s="1183"/>
      <c r="T106" s="319"/>
      <c r="AD106" s="12"/>
      <c r="AE106" s="1183"/>
      <c r="AF106" s="319"/>
      <c r="AP106" s="12"/>
      <c r="AQ106" s="12" t="s">
        <v>531</v>
      </c>
    </row>
    <row r="107" spans="1:45" ht="41.25" customHeight="1">
      <c r="A107" s="1141" t="s">
        <v>558</v>
      </c>
      <c r="B107" s="3542" t="s">
        <v>1114</v>
      </c>
      <c r="C107" s="3543"/>
      <c r="D107" s="258" t="s">
        <v>196</v>
      </c>
      <c r="E107" s="14" t="s">
        <v>1115</v>
      </c>
      <c r="F107" s="14"/>
      <c r="G107" s="14"/>
      <c r="H107" s="3522">
        <f>'R.FILE GOC'!H107</f>
        <v>24</v>
      </c>
      <c r="I107" s="3522"/>
      <c r="J107" s="3522"/>
      <c r="K107" s="3522">
        <f>'R.FILE GOC'!K107</f>
        <v>22</v>
      </c>
      <c r="L107" s="3522"/>
      <c r="M107" s="3522"/>
      <c r="N107" s="2969">
        <f>'R.FILE GOC'!N107</f>
        <v>25</v>
      </c>
      <c r="O107" s="2969"/>
      <c r="P107" s="2969"/>
      <c r="Q107" s="2969">
        <f>'R.FILE GOC'!Q107</f>
        <v>23</v>
      </c>
      <c r="R107" s="2969"/>
      <c r="S107" s="1183"/>
      <c r="T107" s="319"/>
      <c r="AD107" s="12"/>
      <c r="AE107" s="1183"/>
      <c r="AF107" s="319"/>
      <c r="AP107" s="12"/>
      <c r="AQ107" s="12" t="s">
        <v>531</v>
      </c>
    </row>
    <row r="108" spans="1:45" ht="41.25" customHeight="1">
      <c r="A108" s="1141" t="s">
        <v>559</v>
      </c>
      <c r="B108" s="3542" t="s">
        <v>1116</v>
      </c>
      <c r="C108" s="3543"/>
      <c r="D108" s="258" t="s">
        <v>196</v>
      </c>
      <c r="E108" s="14" t="s">
        <v>1115</v>
      </c>
      <c r="F108" s="14"/>
      <c r="G108" s="14"/>
      <c r="H108" s="3522">
        <f>'R.FILE GOC'!H108</f>
        <v>26</v>
      </c>
      <c r="I108" s="3522"/>
      <c r="J108" s="3522"/>
      <c r="K108" s="3522">
        <f>'R.FILE GOC'!K108</f>
        <v>24</v>
      </c>
      <c r="L108" s="3522"/>
      <c r="M108" s="3522"/>
      <c r="N108" s="2969">
        <f>'R.FILE GOC'!N108</f>
        <v>26</v>
      </c>
      <c r="O108" s="2969"/>
      <c r="P108" s="2969"/>
      <c r="Q108" s="2969">
        <f>'R.FILE GOC'!Q108</f>
        <v>25</v>
      </c>
      <c r="R108" s="2969"/>
      <c r="S108" s="1183"/>
      <c r="T108" s="319"/>
      <c r="AD108" s="12"/>
      <c r="AE108" s="1183"/>
      <c r="AF108" s="319"/>
      <c r="AP108" s="12"/>
      <c r="AQ108" s="12" t="s">
        <v>531</v>
      </c>
    </row>
    <row r="109" spans="1:45" ht="41.25" customHeight="1">
      <c r="A109" s="1141" t="s">
        <v>560</v>
      </c>
      <c r="B109" s="3542" t="s">
        <v>1117</v>
      </c>
      <c r="C109" s="3543"/>
      <c r="D109" s="258" t="s">
        <v>196</v>
      </c>
      <c r="E109" s="14" t="s">
        <v>1115</v>
      </c>
      <c r="F109" s="14"/>
      <c r="G109" s="14"/>
      <c r="H109" s="3522">
        <f>'R.FILE GOC'!H109</f>
        <v>22</v>
      </c>
      <c r="I109" s="3522"/>
      <c r="J109" s="3522"/>
      <c r="K109" s="3522">
        <f>'R.FILE GOC'!K109</f>
        <v>20</v>
      </c>
      <c r="L109" s="3522"/>
      <c r="M109" s="3522"/>
      <c r="N109" s="2969">
        <f>'R.FILE GOC'!N109</f>
        <v>22</v>
      </c>
      <c r="O109" s="2969"/>
      <c r="P109" s="2969"/>
      <c r="Q109" s="2969">
        <f>'R.FILE GOC'!Q109</f>
        <v>20</v>
      </c>
      <c r="R109" s="2969"/>
      <c r="S109" s="1183"/>
      <c r="T109" s="319"/>
      <c r="AD109" s="12"/>
      <c r="AE109" s="1183"/>
      <c r="AF109" s="319"/>
      <c r="AP109" s="12"/>
      <c r="AQ109" s="12" t="s">
        <v>531</v>
      </c>
    </row>
    <row r="110" spans="1:45" ht="41.25" customHeight="1">
      <c r="A110" s="1141" t="s">
        <v>561</v>
      </c>
      <c r="B110" s="2954" t="s">
        <v>546</v>
      </c>
      <c r="C110" s="2956"/>
      <c r="D110" s="258" t="s">
        <v>196</v>
      </c>
      <c r="E110" s="14" t="s">
        <v>1428</v>
      </c>
      <c r="F110" s="14"/>
      <c r="G110" s="14"/>
      <c r="H110" s="2969">
        <f>'R.FILE GOC'!H110</f>
        <v>39</v>
      </c>
      <c r="I110" s="2969"/>
      <c r="J110" s="2969"/>
      <c r="K110" s="2969">
        <f>'R.FILE GOC'!K110</f>
        <v>36</v>
      </c>
      <c r="L110" s="2969"/>
      <c r="M110" s="1476"/>
      <c r="N110" s="2969">
        <f>'R.FILE GOC'!N110</f>
        <v>39</v>
      </c>
      <c r="O110" s="2969"/>
      <c r="P110" s="2969"/>
      <c r="Q110" s="2969">
        <f>'R.FILE GOC'!Q110</f>
        <v>36</v>
      </c>
      <c r="R110" s="2969"/>
      <c r="S110" s="1183"/>
      <c r="T110" s="319"/>
      <c r="AD110" s="12"/>
      <c r="AE110" s="1183"/>
      <c r="AF110" s="319"/>
      <c r="AP110" s="12"/>
      <c r="AQ110" s="12" t="s">
        <v>531</v>
      </c>
    </row>
    <row r="111" spans="1:45" ht="41.25" hidden="1" customHeight="1">
      <c r="A111" s="1141" t="s">
        <v>563</v>
      </c>
      <c r="B111" s="2954" t="s">
        <v>551</v>
      </c>
      <c r="C111" s="2956"/>
      <c r="D111" s="258" t="s">
        <v>196</v>
      </c>
      <c r="E111" s="14" t="s">
        <v>1426</v>
      </c>
      <c r="F111" s="1109"/>
      <c r="G111" s="1109"/>
      <c r="H111" s="2969">
        <f>'R.FILE GOC'!H111</f>
        <v>0</v>
      </c>
      <c r="I111" s="2969"/>
      <c r="J111" s="2969"/>
      <c r="K111" s="2969">
        <f>'R.FILE GOC'!K111</f>
        <v>0</v>
      </c>
      <c r="L111" s="2969"/>
      <c r="M111" s="1476"/>
      <c r="N111" s="2969">
        <f>'R.FILE GOC'!N111</f>
        <v>0</v>
      </c>
      <c r="O111" s="2969"/>
      <c r="P111" s="2969"/>
      <c r="Q111" s="2969">
        <f>'R.FILE GOC'!Q111</f>
        <v>0</v>
      </c>
      <c r="R111" s="2969"/>
      <c r="S111" s="1184"/>
      <c r="T111" s="319"/>
      <c r="AD111" s="12"/>
      <c r="AE111" s="1184"/>
      <c r="AF111" s="319"/>
      <c r="AP111" s="12"/>
      <c r="AQ111" s="12" t="s">
        <v>531</v>
      </c>
    </row>
    <row r="112" spans="1:45" ht="41.25" hidden="1" customHeight="1">
      <c r="A112" s="1141" t="s">
        <v>564</v>
      </c>
      <c r="B112" s="2954" t="s">
        <v>553</v>
      </c>
      <c r="C112" s="2956"/>
      <c r="D112" s="258" t="s">
        <v>196</v>
      </c>
      <c r="E112" s="14" t="s">
        <v>1118</v>
      </c>
      <c r="F112" s="1109"/>
      <c r="G112" s="1109"/>
      <c r="H112" s="2969">
        <f>'R.FILE GOC'!H112</f>
        <v>0</v>
      </c>
      <c r="I112" s="2969"/>
      <c r="J112" s="2969"/>
      <c r="K112" s="2969">
        <f>'R.FILE GOC'!K112</f>
        <v>0</v>
      </c>
      <c r="L112" s="2969"/>
      <c r="M112" s="1634"/>
      <c r="N112" s="2969">
        <f>'R.FILE GOC'!N112</f>
        <v>0</v>
      </c>
      <c r="O112" s="2969"/>
      <c r="P112" s="2969"/>
      <c r="Q112" s="2969">
        <f>'R.FILE GOC'!Q112</f>
        <v>0</v>
      </c>
      <c r="R112" s="2969"/>
      <c r="S112" s="1184"/>
      <c r="T112" s="319"/>
      <c r="AD112" s="12"/>
      <c r="AE112" s="1184"/>
      <c r="AF112" s="319"/>
      <c r="AP112" s="12"/>
      <c r="AQ112" s="12" t="s">
        <v>531</v>
      </c>
    </row>
    <row r="113" spans="1:43" ht="41.25" customHeight="1">
      <c r="A113" s="1141" t="s">
        <v>565</v>
      </c>
      <c r="B113" s="2954" t="s">
        <v>555</v>
      </c>
      <c r="C113" s="2956"/>
      <c r="D113" s="258" t="s">
        <v>196</v>
      </c>
      <c r="E113" s="14" t="s">
        <v>1426</v>
      </c>
      <c r="F113" s="1109"/>
      <c r="G113" s="1109"/>
      <c r="H113" s="2969">
        <f>'R.FILE GOC'!H113</f>
        <v>65</v>
      </c>
      <c r="I113" s="2969"/>
      <c r="J113" s="2969"/>
      <c r="K113" s="2969">
        <f>'R.FILE GOC'!K113</f>
        <v>62</v>
      </c>
      <c r="L113" s="2969"/>
      <c r="M113" s="1476"/>
      <c r="N113" s="2969">
        <f>'R.FILE GOC'!N113</f>
        <v>65</v>
      </c>
      <c r="O113" s="2969"/>
      <c r="P113" s="2969"/>
      <c r="Q113" s="2969">
        <f>'R.FILE GOC'!Q113</f>
        <v>63</v>
      </c>
      <c r="R113" s="2969"/>
      <c r="S113" s="1184"/>
      <c r="T113" s="319"/>
      <c r="AD113" s="12"/>
      <c r="AE113" s="1184"/>
      <c r="AF113" s="319"/>
      <c r="AP113" s="12"/>
      <c r="AQ113" s="12" t="s">
        <v>531</v>
      </c>
    </row>
    <row r="114" spans="1:43" ht="41.25" customHeight="1">
      <c r="A114" s="1141" t="s">
        <v>566</v>
      </c>
      <c r="B114" s="2954" t="s">
        <v>567</v>
      </c>
      <c r="C114" s="2956"/>
      <c r="D114" s="258" t="s">
        <v>196</v>
      </c>
      <c r="E114" s="14" t="s">
        <v>1119</v>
      </c>
      <c r="F114" s="1109"/>
      <c r="G114" s="1109"/>
      <c r="H114" s="3521" t="s">
        <v>1120</v>
      </c>
      <c r="I114" s="3521"/>
      <c r="J114" s="3521"/>
      <c r="K114" s="3522">
        <f>'R.FILE GOC'!K114</f>
        <v>161</v>
      </c>
      <c r="L114" s="3522"/>
      <c r="M114" s="1542"/>
      <c r="N114" s="3416" t="s">
        <v>1282</v>
      </c>
      <c r="O114" s="3416"/>
      <c r="P114" s="3416"/>
      <c r="Q114" s="2969">
        <f>'R.FILE GOC'!Q114</f>
        <v>149</v>
      </c>
      <c r="R114" s="2969"/>
      <c r="S114" s="1184"/>
      <c r="T114" s="319"/>
      <c r="AD114" s="12"/>
      <c r="AE114" s="1184"/>
      <c r="AF114" s="319"/>
      <c r="AP114" s="12"/>
      <c r="AQ114" s="12" t="s">
        <v>531</v>
      </c>
    </row>
  </sheetData>
  <sheetProtection formatCells="0" formatColumns="0" formatRows="0" insertColumns="0" insertRows="0" insertHyperlinks="0" deleteColumns="0" deleteRows="0" selectLockedCells="1" sort="0" autoFilter="0" pivotTables="0"/>
  <mergeCells count="310">
    <mergeCell ref="Z52:AB52"/>
    <mergeCell ref="AC52:AD52"/>
    <mergeCell ref="AF52:AH52"/>
    <mergeCell ref="AI52:AJ52"/>
    <mergeCell ref="AL52:AN52"/>
    <mergeCell ref="AO52:AP52"/>
    <mergeCell ref="H52:J52"/>
    <mergeCell ref="K52:L52"/>
    <mergeCell ref="N52:P52"/>
    <mergeCell ref="Q52:R52"/>
    <mergeCell ref="T52:V52"/>
    <mergeCell ref="W52:X52"/>
    <mergeCell ref="AF36:AH36"/>
    <mergeCell ref="AI36:AJ36"/>
    <mergeCell ref="AL36:AN36"/>
    <mergeCell ref="AO36:AP36"/>
    <mergeCell ref="H36:J36"/>
    <mergeCell ref="K36:L36"/>
    <mergeCell ref="N36:P36"/>
    <mergeCell ref="Q36:R36"/>
    <mergeCell ref="T36:V36"/>
    <mergeCell ref="W36:X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T50:V5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B109:C109"/>
    <mergeCell ref="B110:C110"/>
    <mergeCell ref="B111:C111"/>
    <mergeCell ref="B112:C112"/>
    <mergeCell ref="B113:C113"/>
    <mergeCell ref="B114:C114"/>
    <mergeCell ref="B102:C102"/>
    <mergeCell ref="B104:C104"/>
    <mergeCell ref="B105:C105"/>
    <mergeCell ref="B106:C106"/>
    <mergeCell ref="B107:C107"/>
    <mergeCell ref="B108:C108"/>
    <mergeCell ref="B95:C95"/>
    <mergeCell ref="B96:C96"/>
    <mergeCell ref="B97:C97"/>
    <mergeCell ref="B100:C100"/>
    <mergeCell ref="B101:C101"/>
    <mergeCell ref="B89:C89"/>
    <mergeCell ref="B90:C90"/>
    <mergeCell ref="B91:C91"/>
    <mergeCell ref="B92:C92"/>
    <mergeCell ref="B93:C93"/>
    <mergeCell ref="B94:C94"/>
    <mergeCell ref="B87:C88"/>
    <mergeCell ref="D87:D88"/>
    <mergeCell ref="E87:E88"/>
    <mergeCell ref="H87:L87"/>
    <mergeCell ref="N87:R87"/>
    <mergeCell ref="J88:L88"/>
    <mergeCell ref="P88:R88"/>
    <mergeCell ref="B83:C83"/>
    <mergeCell ref="H83:L83"/>
    <mergeCell ref="N83:R83"/>
    <mergeCell ref="B84:C84"/>
    <mergeCell ref="H84:L84"/>
    <mergeCell ref="N84:R84"/>
    <mergeCell ref="B76:C76"/>
    <mergeCell ref="B77:C77"/>
    <mergeCell ref="B78:C78"/>
    <mergeCell ref="B79:C79"/>
    <mergeCell ref="B80:C80"/>
    <mergeCell ref="B81:C81"/>
    <mergeCell ref="B69:C69"/>
    <mergeCell ref="B70:C70"/>
    <mergeCell ref="B71:C71"/>
    <mergeCell ref="B72:C72"/>
    <mergeCell ref="B74:C74"/>
    <mergeCell ref="B75:C75"/>
    <mergeCell ref="B63:C63"/>
    <mergeCell ref="B64:C64"/>
    <mergeCell ref="B65:C65"/>
    <mergeCell ref="B66:C66"/>
    <mergeCell ref="B67:C67"/>
    <mergeCell ref="B68:C68"/>
    <mergeCell ref="B57:C57"/>
    <mergeCell ref="B58:C58"/>
    <mergeCell ref="B59:C59"/>
    <mergeCell ref="B60:C60"/>
    <mergeCell ref="B61:C61"/>
    <mergeCell ref="B62:C62"/>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41:C41"/>
    <mergeCell ref="B42:C42"/>
    <mergeCell ref="C43:C45"/>
    <mergeCell ref="Z39:AD39"/>
    <mergeCell ref="AF39:AJ39"/>
    <mergeCell ref="AL39:AP39"/>
    <mergeCell ref="J40:L40"/>
    <mergeCell ref="P40:R40"/>
    <mergeCell ref="V40:X40"/>
    <mergeCell ref="AB40:AD40"/>
    <mergeCell ref="AH40:AJ40"/>
    <mergeCell ref="AN40:AP40"/>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H75:J75"/>
    <mergeCell ref="K75:L75"/>
    <mergeCell ref="N75:P75"/>
    <mergeCell ref="Q75:R75"/>
    <mergeCell ref="H76:J76"/>
    <mergeCell ref="K76:L76"/>
    <mergeCell ref="N76:P76"/>
    <mergeCell ref="Q76:R76"/>
    <mergeCell ref="H77:J77"/>
    <mergeCell ref="K77:L77"/>
    <mergeCell ref="N77:P77"/>
    <mergeCell ref="Q77:R7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K110:L110"/>
    <mergeCell ref="N110:P110"/>
    <mergeCell ref="Q110:R110"/>
    <mergeCell ref="K108:M108"/>
    <mergeCell ref="K109:M109"/>
    <mergeCell ref="H105:J105"/>
    <mergeCell ref="K105:L105"/>
    <mergeCell ref="N105:P105"/>
    <mergeCell ref="Q105:R105"/>
    <mergeCell ref="H106:J106"/>
    <mergeCell ref="K106:L106"/>
    <mergeCell ref="N106:P106"/>
    <mergeCell ref="Q106:R106"/>
    <mergeCell ref="H107:J107"/>
    <mergeCell ref="N107:P107"/>
    <mergeCell ref="Q107:R107"/>
    <mergeCell ref="K107:M107"/>
    <mergeCell ref="AS58:AS5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 ref="H108:J108"/>
    <mergeCell ref="N108:P108"/>
    <mergeCell ref="Q108:R108"/>
    <mergeCell ref="H109:J109"/>
    <mergeCell ref="N109:P109"/>
    <mergeCell ref="Q109:R109"/>
    <mergeCell ref="H110:J110"/>
  </mergeCells>
  <phoneticPr fontId="7" type="noConversion"/>
  <conditionalFormatting sqref="H6:H7 H26 AL6:AL7 AF6:AF7 Z6:Z7 T6:T7 N6:N7 N26 T26 Z26 AF26 AL26 H42 N42 T42 Z42 AF42 AL42">
    <cfRule type="expression" dxfId="108" priority="554">
      <formula>H6&lt;10</formula>
    </cfRule>
    <cfRule type="expression" dxfId="107" priority="555">
      <formula>H6&gt;15</formula>
    </cfRule>
  </conditionalFormatting>
  <conditionalFormatting sqref="H11 H27 AL8 AL11 AF8 AF11 Z8 Z11 T8 T11 N8 N11 H8 N27 T27 Z27 AF27 AL27 H43 N43 T43 Z43 AF43 AL43">
    <cfRule type="expression" dxfId="106" priority="552">
      <formula>H8&lt;40</formula>
    </cfRule>
    <cfRule type="expression" dxfId="105" priority="553">
      <formula>H8&gt;60</formula>
    </cfRule>
  </conditionalFormatting>
  <conditionalFormatting sqref="H28 AL9 AL12 AF9 AF12 Z9 Z12 T9 T12 N9 N12 H9 H12 N28 T28 Z28 AF28 AL28 H44 N44 T44 Z44 AF44 AL44">
    <cfRule type="expression" dxfId="104" priority="550">
      <formula>H9&lt;5.2</formula>
    </cfRule>
    <cfRule type="expression" dxfId="103" priority="551">
      <formula>H9&gt;7.8</formula>
    </cfRule>
  </conditionalFormatting>
  <conditionalFormatting sqref="H29 AL10 AL13 AF10 AF13 Z10 Z13 T10 T13 N10 N13 H10 H13 N29 T29 Z29 AF29 AL29 H45 N45 T45 Z45 AF45 AL45">
    <cfRule type="expression" dxfId="102" priority="549">
      <formula>H10&gt;0.4</formula>
    </cfRule>
  </conditionalFormatting>
  <conditionalFormatting sqref="H30 AL14 AF14 Z14 T14 N14 H14 N30 T30 Z30 AF30 AL30 H46 N46 T46 Z46 AF46 AL46">
    <cfRule type="expression" dxfId="101" priority="547">
      <formula>H14&lt;0.8</formula>
    </cfRule>
    <cfRule type="expression" dxfId="100" priority="548">
      <formula>H14&gt;1.2</formula>
    </cfRule>
  </conditionalFormatting>
  <conditionalFormatting sqref="H31 AL15 AF15 Z15 T15 N15 H15 N31 T31 Z31 AF31 AL31 H47 N47 T47 Z47 AF47 AL47">
    <cfRule type="expression" dxfId="99" priority="545">
      <formula>H15&lt;8</formula>
    </cfRule>
    <cfRule type="expression" dxfId="98" priority="546">
      <formula>H15&gt;10</formula>
    </cfRule>
  </conditionalFormatting>
  <conditionalFormatting sqref="H25 N25 T25 Z25 AF25 AL25 H41 N41 T41 Z41 AF41 AL41">
    <cfRule type="expression" dxfId="97" priority="543">
      <formula>H25&lt;30</formula>
    </cfRule>
    <cfRule type="expression" dxfId="96" priority="544">
      <formula>H25&gt;50</formula>
    </cfRule>
  </conditionalFormatting>
  <conditionalFormatting sqref="N60 H60">
    <cfRule type="expression" dxfId="95" priority="541">
      <formula>H60&lt;5</formula>
    </cfRule>
    <cfRule type="expression" dxfId="94" priority="542">
      <formula>H60&gt;15</formula>
    </cfRule>
  </conditionalFormatting>
  <conditionalFormatting sqref="N61 H61">
    <cfRule type="expression" dxfId="93" priority="540">
      <formula>H61&gt;1.5</formula>
    </cfRule>
  </conditionalFormatting>
  <conditionalFormatting sqref="N62 H62">
    <cfRule type="expression" dxfId="92" priority="538">
      <formula>H62&lt;20</formula>
    </cfRule>
    <cfRule type="expression" dxfId="91" priority="539">
      <formula>H62&gt;25</formula>
    </cfRule>
  </conditionalFormatting>
  <conditionalFormatting sqref="N63 H63">
    <cfRule type="expression" dxfId="90" priority="536">
      <formula>H63&lt;6</formula>
    </cfRule>
    <cfRule type="expression" dxfId="89" priority="537">
      <formula>H63&gt;9</formula>
    </cfRule>
  </conditionalFormatting>
  <conditionalFormatting sqref="N64 H64">
    <cfRule type="expression" dxfId="88" priority="534">
      <formula>H64&lt;7</formula>
    </cfRule>
    <cfRule type="expression" dxfId="87" priority="535">
      <formula>H64&gt;10</formula>
    </cfRule>
  </conditionalFormatting>
  <conditionalFormatting sqref="N65:N66 H65:H66">
    <cfRule type="expression" dxfId="86" priority="532">
      <formula>H65&lt;5.3</formula>
    </cfRule>
    <cfRule type="expression" dxfId="85" priority="533">
      <formula>H65&gt;6</formula>
    </cfRule>
  </conditionalFormatting>
  <conditionalFormatting sqref="H67 H69">
    <cfRule type="expression" dxfId="84" priority="530">
      <formula>H67&lt;12</formula>
    </cfRule>
    <cfRule type="expression" dxfId="83" priority="531">
      <formula>H67&gt;18</formula>
    </cfRule>
  </conditionalFormatting>
  <conditionalFormatting sqref="H68 H70">
    <cfRule type="expression" dxfId="82" priority="528">
      <formula>H68&lt;8</formula>
    </cfRule>
    <cfRule type="expression" dxfId="81" priority="529">
      <formula>H68&gt;16</formula>
    </cfRule>
  </conditionalFormatting>
  <conditionalFormatting sqref="N89:N90 H89:H90">
    <cfRule type="expression" dxfId="80" priority="526">
      <formula>H89&lt;20</formula>
    </cfRule>
    <cfRule type="expression" dxfId="79" priority="527">
      <formula>H89&gt;30</formula>
    </cfRule>
  </conditionalFormatting>
  <conditionalFormatting sqref="N91 H91">
    <cfRule type="expression" dxfId="78" priority="524">
      <formula>H91&lt;210</formula>
    </cfRule>
    <cfRule type="expression" dxfId="77" priority="525">
      <formula>H91&gt;290</formula>
    </cfRule>
  </conditionalFormatting>
  <conditionalFormatting sqref="N92 N94 N96 H92 H94 H96">
    <cfRule type="expression" dxfId="76" priority="522">
      <formula>H92&lt;120</formula>
    </cfRule>
    <cfRule type="expression" dxfId="75" priority="523">
      <formula>H92&gt;150</formula>
    </cfRule>
  </conditionalFormatting>
  <conditionalFormatting sqref="N93 N95 N97 H93 H95 H97">
    <cfRule type="expression" dxfId="74" priority="520">
      <formula>H93&lt;1</formula>
    </cfRule>
    <cfRule type="expression" dxfId="73" priority="521">
      <formula>H93&gt;5</formula>
    </cfRule>
  </conditionalFormatting>
  <conditionalFormatting sqref="N98 H98">
    <cfRule type="expression" dxfId="72" priority="518">
      <formula>H98&lt;8</formula>
    </cfRule>
    <cfRule type="expression" dxfId="71" priority="519">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70" priority="517">
      <formula>H6&lt;1</formula>
    </cfRule>
  </conditionalFormatting>
  <conditionalFormatting sqref="H30 AL14 AF14 Z14 T14 N14 H14 N30 T30 Z30 AF30 AL30 H46 N46 T46 Z46 AF46 AL46">
    <cfRule type="expression" dxfId="69" priority="516">
      <formula>H14&lt;0.1</formula>
    </cfRule>
  </conditionalFormatting>
  <conditionalFormatting sqref="H18:L19 N18:R19 T18:X19 Z18:AD19 AF18:AJ19 AL18:AP19 H35:L35 N35:R35 T35:X35 Z35:AD35 AF35:AJ35 AL35:AP35 H51:L51 N51:R51 T51:X51 Z51:AD51 AF51:AJ51 AL51:AP51">
    <cfRule type="expression" dxfId="68" priority="514">
      <formula>H18&lt;65</formula>
    </cfRule>
    <cfRule type="expression" dxfId="67" priority="515">
      <formula>H18&gt;85</formula>
    </cfRule>
  </conditionalFormatting>
  <conditionalFormatting sqref="H20:L20 N20:R20 T20:X20 Z20:AD20 AF20:AJ20 AL20:AP20 H36:L36 N36:R36 T36:X36 Z36:AD36 AF36:AJ36 AL36:AP36 H52:L52 N52:R52 T52:X52 Z52:AD52 AF52:AJ52 AL52:AP52">
    <cfRule type="expression" dxfId="66" priority="512">
      <formula>H20&lt;80</formula>
    </cfRule>
    <cfRule type="expression" dxfId="65" priority="513">
      <formula>H20&gt;90</formula>
    </cfRule>
  </conditionalFormatting>
  <conditionalFormatting sqref="H34 K34 N34 Q34 T34 W34 Z34 AC34 AF34 AI34 AL34 AO34 H50 K50 N50 Q50 T50 W50 Z50 AC50 AF50 AI50 AL50 AO50 H111 H113 K111 K113 N111 N113 Q111 Q113">
    <cfRule type="expression" dxfId="64" priority="414">
      <formula>H34&lt;55</formula>
    </cfRule>
    <cfRule type="expression" dxfId="63" priority="415">
      <formula>H34&gt;65</formula>
    </cfRule>
  </conditionalFormatting>
  <conditionalFormatting sqref="K75:L77 N75:R77 H75:H77">
    <cfRule type="expression" dxfId="62" priority="342">
      <formula>H75&lt;51</formula>
    </cfRule>
    <cfRule type="expression" dxfId="61" priority="343">
      <formula>H75&gt;59</formula>
    </cfRule>
  </conditionalFormatting>
  <conditionalFormatting sqref="K78:L78 H78 N78:R78">
    <cfRule type="expression" dxfId="60" priority="336">
      <formula>H78&lt;30</formula>
    </cfRule>
    <cfRule type="expression" dxfId="59" priority="337">
      <formula>H78&gt;40</formula>
    </cfRule>
  </conditionalFormatting>
  <conditionalFormatting sqref="K79:L80 N79:R80 H79:H80">
    <cfRule type="expression" dxfId="58" priority="333">
      <formula>H79&lt;26</formula>
    </cfRule>
    <cfRule type="expression" dxfId="57" priority="334">
      <formula>H79&gt;32</formula>
    </cfRule>
  </conditionalFormatting>
  <conditionalFormatting sqref="K81 Q81">
    <cfRule type="expression" dxfId="56" priority="312">
      <formula>K81&lt;170</formula>
    </cfRule>
    <cfRule type="expression" dxfId="55" priority="313">
      <formula>K81&gt;220</formula>
    </cfRule>
  </conditionalFormatting>
  <conditionalFormatting sqref="H57 N57">
    <cfRule type="expression" dxfId="54" priority="117">
      <formula>H57&lt;10</formula>
    </cfRule>
    <cfRule type="expression" dxfId="53" priority="118">
      <formula>H57&gt;20</formula>
    </cfRule>
  </conditionalFormatting>
  <conditionalFormatting sqref="I58:I59">
    <cfRule type="expression" dxfId="52" priority="116" stopIfTrue="1">
      <formula>I58&lt;40</formula>
    </cfRule>
  </conditionalFormatting>
  <conditionalFormatting sqref="I58:I59">
    <cfRule type="expression" dxfId="51" priority="115" stopIfTrue="1">
      <formula>I58&gt;60</formula>
    </cfRule>
  </conditionalFormatting>
  <conditionalFormatting sqref="H99 N99">
    <cfRule type="expression" dxfId="50" priority="111">
      <formula>H99&lt;6</formula>
    </cfRule>
    <cfRule type="expression" dxfId="49" priority="112">
      <formula>H99&gt;8</formula>
    </cfRule>
  </conditionalFormatting>
  <conditionalFormatting sqref="H105:H106 K105:K106 N105:N106 Q105:Q106">
    <cfRule type="expression" dxfId="48" priority="103">
      <formula>H105&lt;45</formula>
    </cfRule>
    <cfRule type="expression" dxfId="47" priority="104">
      <formula>H105&gt;65</formula>
    </cfRule>
  </conditionalFormatting>
  <conditionalFormatting sqref="K114 Q114">
    <cfRule type="expression" dxfId="46" priority="95">
      <formula>K114&lt;100</formula>
    </cfRule>
    <cfRule type="expression" dxfId="45" priority="96">
      <formula>K114&gt;110</formula>
    </cfRule>
  </conditionalFormatting>
  <conditionalFormatting sqref="H107:H109 K107:K109 N107:N109 Q107:Q109">
    <cfRule type="expression" dxfId="44" priority="67">
      <formula>H107&lt;18</formula>
    </cfRule>
    <cfRule type="expression" dxfId="43" priority="68">
      <formula>H107&gt;25</formula>
    </cfRule>
  </conditionalFormatting>
  <conditionalFormatting sqref="H110 K110 N110 Q110">
    <cfRule type="expression" dxfId="42" priority="59">
      <formula>H110&lt;45</formula>
    </cfRule>
    <cfRule type="expression" dxfId="41" priority="60">
      <formula>H110&gt;60</formula>
    </cfRule>
  </conditionalFormatting>
  <conditionalFormatting sqref="H112 K112 N112 Q112">
    <cfRule type="expression" dxfId="40" priority="53">
      <formula>H112&lt;42</formula>
    </cfRule>
    <cfRule type="expression" dxfId="39" priority="54">
      <formula>H112&gt;47</formula>
    </cfRule>
  </conditionalFormatting>
  <conditionalFormatting sqref="H100:H102 N100:N102">
    <cfRule type="expression" dxfId="38" priority="27">
      <formula>H100&lt;5.5</formula>
    </cfRule>
    <cfRule type="expression" dxfId="37" priority="28">
      <formula>H100&gt;6</formula>
    </cfRule>
  </conditionalFormatting>
  <conditionalFormatting sqref="H58">
    <cfRule type="cellIs" dxfId="36" priority="13" operator="between">
      <formula>40</formula>
      <formula>44.99</formula>
    </cfRule>
    <cfRule type="cellIs" dxfId="35" priority="14" operator="between">
      <formula>55.1</formula>
      <formula>60</formula>
    </cfRule>
    <cfRule type="expression" dxfId="34" priority="15">
      <formula>H58&lt;40</formula>
    </cfRule>
    <cfRule type="expression" dxfId="33" priority="16">
      <formula>H58&gt;60</formula>
    </cfRule>
  </conditionalFormatting>
  <conditionalFormatting sqref="H59">
    <cfRule type="cellIs" dxfId="32" priority="9" operator="between">
      <formula>40</formula>
      <formula>44.99</formula>
    </cfRule>
    <cfRule type="cellIs" dxfId="31" priority="10" operator="between">
      <formula>55.1</formula>
      <formula>60</formula>
    </cfRule>
    <cfRule type="expression" dxfId="30" priority="11">
      <formula>H59&lt;40</formula>
    </cfRule>
    <cfRule type="expression" dxfId="29" priority="12">
      <formula>H59&gt;60</formula>
    </cfRule>
  </conditionalFormatting>
  <conditionalFormatting sqref="N58">
    <cfRule type="cellIs" dxfId="28" priority="5" operator="between">
      <formula>40</formula>
      <formula>44.99</formula>
    </cfRule>
    <cfRule type="cellIs" dxfId="27" priority="6" operator="between">
      <formula>55.1</formula>
      <formula>60</formula>
    </cfRule>
    <cfRule type="expression" dxfId="26" priority="7">
      <formula>N58&lt;40</formula>
    </cfRule>
    <cfRule type="expression" dxfId="25" priority="8">
      <formula>N58&gt;60</formula>
    </cfRule>
  </conditionalFormatting>
  <conditionalFormatting sqref="N59">
    <cfRule type="cellIs" dxfId="24" priority="1" operator="between">
      <formula>40</formula>
      <formula>44.99</formula>
    </cfRule>
    <cfRule type="cellIs" dxfId="23" priority="2" operator="between">
      <formula>55.1</formula>
      <formula>60</formula>
    </cfRule>
    <cfRule type="expression" dxfId="22" priority="3">
      <formula>N59&lt;40</formula>
    </cfRule>
    <cfRule type="expression" dxfId="21" priority="4">
      <formula>N59&gt;60</formula>
    </cfRule>
  </conditionalFormatting>
  <hyperlinks>
    <hyperlink ref="AS6" r:id="rId1"/>
    <hyperlink ref="AS8" r:id="rId2"/>
    <hyperlink ref="AS27" r:id="rId3"/>
    <hyperlink ref="AS43" r:id="rId4"/>
    <hyperlink ref="AS41" r:id="rId5"/>
    <hyperlink ref="AS25" r:id="rId6"/>
    <hyperlink ref="AS26" r:id="rId7"/>
    <hyperlink ref="AS42" r:id="rId8"/>
    <hyperlink ref="AS11" r:id="rId9"/>
    <hyperlink ref="AS9" r:id="rId10"/>
    <hyperlink ref="AS28" r:id="rId11"/>
    <hyperlink ref="AS44" r:id="rId12"/>
    <hyperlink ref="AS12" r:id="rId13"/>
    <hyperlink ref="AS13" r:id="rId14"/>
    <hyperlink ref="AS29" r:id="rId15"/>
    <hyperlink ref="AS45" r:id="rId16"/>
    <hyperlink ref="AS10" r:id="rId17"/>
    <hyperlink ref="AS92" r:id="rId18"/>
    <hyperlink ref="AS93" r:id="rId19"/>
    <hyperlink ref="AS98" r:id="rId20"/>
    <hyperlink ref="AS89" r:id="rId21"/>
    <hyperlink ref="AS91" r:id="rId22"/>
  </hyperlinks>
  <printOptions horizontalCentered="1"/>
  <pageMargins left="0.26" right="0.16" top="0.3" bottom="0.45" header="0.17" footer="0.27559055118110237"/>
  <pageSetup paperSize="9" scale="38" orientation="portrait" verticalDpi="300" r:id="rId23"/>
  <headerFooter alignWithMargins="0"/>
  <drawing r:id="rId24"/>
</worksheet>
</file>

<file path=xl/worksheets/sheet44.xml><?xml version="1.0" encoding="utf-8"?>
<worksheet xmlns="http://schemas.openxmlformats.org/spreadsheetml/2006/main" xmlns:r="http://schemas.openxmlformats.org/officeDocument/2006/relationships">
  <sheetPr codeName="Sheet33">
    <tabColor rgb="FF00B050"/>
  </sheetPr>
  <dimension ref="A1:Y128"/>
  <sheetViews>
    <sheetView zoomScale="70" zoomScaleNormal="70" workbookViewId="0">
      <selection sqref="A1:Y1"/>
    </sheetView>
  </sheetViews>
  <sheetFormatPr defaultRowHeight="18"/>
  <cols>
    <col min="1" max="1" width="3.375" style="637" customWidth="1"/>
    <col min="2" max="2" width="22.25" style="1937" customWidth="1"/>
    <col min="3" max="4" width="5" style="637" customWidth="1"/>
    <col min="5" max="5" width="8.125" style="637" customWidth="1"/>
    <col min="6" max="6" width="15.75" style="690" customWidth="1"/>
    <col min="7" max="7" width="12" style="637" hidden="1" customWidth="1"/>
    <col min="8" max="8" width="8.75" style="637" hidden="1" customWidth="1"/>
    <col min="9" max="9" width="9.125" style="691" hidden="1" customWidth="1"/>
    <col min="10" max="10" width="11.25" style="691" hidden="1" customWidth="1"/>
    <col min="11" max="11" width="2.5" style="691" hidden="1" customWidth="1"/>
    <col min="12" max="12" width="9.5" style="692" hidden="1" customWidth="1"/>
    <col min="13" max="13" width="4.75" style="691" hidden="1" customWidth="1"/>
    <col min="14" max="14" width="8.75" style="691" hidden="1" customWidth="1"/>
    <col min="15" max="15" width="8.125" style="691" hidden="1" customWidth="1"/>
    <col min="16" max="16" width="11.25" style="691" hidden="1" customWidth="1"/>
    <col min="17" max="17" width="3" style="691" hidden="1" customWidth="1"/>
    <col min="18" max="18" width="9.25" style="692" hidden="1" customWidth="1"/>
    <col min="19" max="19" width="4.5" style="691" hidden="1" customWidth="1"/>
    <col min="20" max="20" width="9" style="691" hidden="1" customWidth="1"/>
    <col min="21" max="21" width="8.375" style="691" customWidth="1"/>
    <col min="22" max="22" width="9" style="691" hidden="1" customWidth="1"/>
    <col min="23" max="23" width="3.75" style="691" customWidth="1"/>
    <col min="24" max="24" width="8.5" style="692" customWidth="1"/>
    <col min="25" max="25" width="4.75" style="691" customWidth="1"/>
    <col min="26" max="16384" width="9" style="637"/>
  </cols>
  <sheetData>
    <row r="1" spans="1:25" ht="53.25" customHeight="1">
      <c r="A1" s="3550" t="s">
        <v>735</v>
      </c>
      <c r="B1" s="3550"/>
      <c r="C1" s="3550"/>
      <c r="D1" s="3550"/>
      <c r="E1" s="3550"/>
      <c r="F1" s="3550"/>
      <c r="G1" s="3550"/>
      <c r="H1" s="3550"/>
      <c r="I1" s="3550"/>
      <c r="J1" s="3550"/>
      <c r="K1" s="3550"/>
      <c r="L1" s="3550"/>
      <c r="M1" s="3550"/>
      <c r="N1" s="3550"/>
      <c r="O1" s="3550"/>
      <c r="P1" s="3550"/>
      <c r="Q1" s="3550"/>
      <c r="R1" s="3550"/>
      <c r="S1" s="3550"/>
      <c r="T1" s="3550"/>
      <c r="U1" s="3550"/>
      <c r="V1" s="3550"/>
      <c r="W1" s="3550"/>
      <c r="X1" s="3550"/>
      <c r="Y1" s="3550"/>
    </row>
    <row r="2" spans="1:25" ht="28.5" customHeight="1">
      <c r="A2" s="638"/>
      <c r="B2" s="1935"/>
      <c r="C2" s="638"/>
      <c r="D2" s="638"/>
      <c r="E2" s="639"/>
      <c r="F2" s="640"/>
      <c r="G2" s="639"/>
      <c r="H2" s="639"/>
      <c r="I2" s="639"/>
      <c r="J2" s="639"/>
      <c r="K2" s="639"/>
      <c r="L2" s="1185"/>
      <c r="M2" s="639"/>
      <c r="N2" s="639"/>
      <c r="O2" s="639"/>
      <c r="P2" s="639"/>
      <c r="Q2" s="639"/>
      <c r="R2" s="641"/>
      <c r="S2" s="639"/>
      <c r="T2" s="639"/>
      <c r="U2" s="639"/>
      <c r="V2" s="639"/>
      <c r="W2" s="639"/>
      <c r="X2" s="1185"/>
      <c r="Y2" s="639"/>
    </row>
    <row r="3" spans="1:25" s="642" customFormat="1" ht="30.75" customHeight="1">
      <c r="A3" s="3551" t="s">
        <v>404</v>
      </c>
      <c r="B3" s="3552"/>
      <c r="C3" s="3569" t="str">
        <f>MENU!$AC$9</f>
        <v>Thứ 3,</v>
      </c>
      <c r="D3" s="3569"/>
      <c r="E3" s="3570" t="str">
        <f>MENU!$AD$9</f>
        <v>2024/01/09</v>
      </c>
      <c r="F3" s="3571"/>
      <c r="G3" s="3571"/>
      <c r="H3" s="3571"/>
      <c r="I3" s="2143" t="s">
        <v>736</v>
      </c>
      <c r="J3" s="2143"/>
      <c r="K3" s="2143"/>
      <c r="L3" s="2143"/>
      <c r="M3" s="2143"/>
      <c r="N3" s="2143"/>
      <c r="O3" s="2143"/>
      <c r="P3" s="2143"/>
      <c r="Q3" s="2143"/>
      <c r="R3" s="2143"/>
      <c r="S3" s="2143"/>
      <c r="T3" s="2143"/>
      <c r="U3" s="2143"/>
      <c r="V3" s="2143"/>
      <c r="W3" s="2143"/>
      <c r="X3" s="2143"/>
      <c r="Y3" s="2144"/>
    </row>
    <row r="4" spans="1:25" ht="30.75" customHeight="1">
      <c r="A4" s="3553" t="s">
        <v>7</v>
      </c>
      <c r="B4" s="2980" t="s">
        <v>737</v>
      </c>
      <c r="C4" s="2981"/>
      <c r="D4" s="3556"/>
      <c r="E4" s="3561" t="s">
        <v>738</v>
      </c>
      <c r="F4" s="3564" t="s">
        <v>739</v>
      </c>
      <c r="G4" s="643"/>
      <c r="H4" s="644"/>
      <c r="I4" s="3567" t="s">
        <v>740</v>
      </c>
      <c r="J4" s="3568"/>
      <c r="K4" s="3568"/>
      <c r="L4" s="3568"/>
      <c r="M4" s="3568"/>
      <c r="N4" s="645"/>
      <c r="O4" s="3567" t="s">
        <v>1307</v>
      </c>
      <c r="P4" s="3568"/>
      <c r="Q4" s="3568"/>
      <c r="R4" s="3568"/>
      <c r="S4" s="3568"/>
      <c r="T4" s="645"/>
      <c r="U4" s="3567" t="s">
        <v>1308</v>
      </c>
      <c r="V4" s="3568"/>
      <c r="W4" s="3568"/>
      <c r="X4" s="3568"/>
      <c r="Y4" s="3568"/>
    </row>
    <row r="5" spans="1:25" ht="30.75" customHeight="1">
      <c r="A5" s="3554"/>
      <c r="B5" s="3557"/>
      <c r="C5" s="3558"/>
      <c r="D5" s="3559"/>
      <c r="E5" s="3562"/>
      <c r="F5" s="3565"/>
      <c r="G5" s="646" t="s">
        <v>423</v>
      </c>
      <c r="H5" s="647"/>
      <c r="I5" s="3544" t="s">
        <v>741</v>
      </c>
      <c r="J5" s="649" t="s">
        <v>742</v>
      </c>
      <c r="K5" s="3546" t="s">
        <v>1</v>
      </c>
      <c r="L5" s="3546"/>
      <c r="M5" s="3547"/>
      <c r="N5" s="648"/>
      <c r="O5" s="3544" t="s">
        <v>741</v>
      </c>
      <c r="P5" s="649" t="s">
        <v>742</v>
      </c>
      <c r="Q5" s="3546" t="s">
        <v>1</v>
      </c>
      <c r="R5" s="3546"/>
      <c r="S5" s="3547"/>
      <c r="T5" s="647"/>
      <c r="U5" s="3544" t="s">
        <v>741</v>
      </c>
      <c r="V5" s="649" t="s">
        <v>742</v>
      </c>
      <c r="W5" s="3546" t="s">
        <v>1</v>
      </c>
      <c r="X5" s="3546"/>
      <c r="Y5" s="3547"/>
    </row>
    <row r="6" spans="1:25" ht="30.75" customHeight="1">
      <c r="A6" s="3555"/>
      <c r="B6" s="2982"/>
      <c r="C6" s="2983"/>
      <c r="D6" s="3560"/>
      <c r="E6" s="3563"/>
      <c r="F6" s="3566"/>
      <c r="G6" s="646"/>
      <c r="H6" s="647"/>
      <c r="I6" s="3545"/>
      <c r="J6" s="650"/>
      <c r="K6" s="3548"/>
      <c r="L6" s="3548"/>
      <c r="M6" s="3549"/>
      <c r="N6" s="648"/>
      <c r="O6" s="3545"/>
      <c r="P6" s="650"/>
      <c r="Q6" s="3548"/>
      <c r="R6" s="3548"/>
      <c r="S6" s="3549"/>
      <c r="T6" s="647"/>
      <c r="U6" s="3545"/>
      <c r="V6" s="650"/>
      <c r="W6" s="3548"/>
      <c r="X6" s="3548"/>
      <c r="Y6" s="3549"/>
    </row>
    <row r="7" spans="1:25" ht="30.75" customHeight="1">
      <c r="A7" s="651">
        <v>1</v>
      </c>
      <c r="B7" s="3572" t="s">
        <v>743</v>
      </c>
      <c r="C7" s="3573"/>
      <c r="D7" s="3574"/>
      <c r="E7" s="652" t="s">
        <v>432</v>
      </c>
      <c r="F7" s="653" t="s">
        <v>729</v>
      </c>
      <c r="G7" s="654">
        <v>40</v>
      </c>
      <c r="H7" s="655">
        <f>R.HN!C16</f>
        <v>0</v>
      </c>
      <c r="I7" s="661"/>
      <c r="J7" s="661"/>
      <c r="K7" s="662"/>
      <c r="L7" s="1186"/>
      <c r="M7" s="663"/>
      <c r="N7" s="656">
        <f>R.HN!D16</f>
        <v>0</v>
      </c>
      <c r="O7" s="311">
        <f>'R.GUI MAIL'!H25</f>
        <v>0</v>
      </c>
      <c r="P7" s="657"/>
      <c r="Q7" s="658" t="s">
        <v>8</v>
      </c>
      <c r="R7" s="1187">
        <f>'R.GUI MAIL'!K25</f>
        <v>0</v>
      </c>
      <c r="S7" s="659" t="s">
        <v>9</v>
      </c>
      <c r="T7" s="656"/>
      <c r="U7" s="311">
        <f>'R.GUI MAIL'!H41</f>
        <v>48</v>
      </c>
      <c r="V7" s="661"/>
      <c r="W7" s="658" t="s">
        <v>8</v>
      </c>
      <c r="X7" s="1188">
        <f>'R.GUI MAIL'!K41</f>
        <v>0</v>
      </c>
      <c r="Y7" s="659" t="s">
        <v>1309</v>
      </c>
    </row>
    <row r="8" spans="1:25" ht="30.75" customHeight="1">
      <c r="A8" s="651">
        <v>2</v>
      </c>
      <c r="B8" s="3572" t="s">
        <v>426</v>
      </c>
      <c r="C8" s="3573"/>
      <c r="D8" s="3574"/>
      <c r="E8" s="660" t="s">
        <v>3</v>
      </c>
      <c r="F8" s="653" t="s">
        <v>427</v>
      </c>
      <c r="G8" s="654">
        <v>22</v>
      </c>
      <c r="H8" s="655">
        <f>R.HN!C17</f>
        <v>0</v>
      </c>
      <c r="I8" s="311">
        <f>'R.GUI MAIL'!H6</f>
        <v>0</v>
      </c>
      <c r="J8" s="657"/>
      <c r="K8" s="658" t="s">
        <v>8</v>
      </c>
      <c r="L8" s="1187">
        <f>'R.GUI MAIL'!K6</f>
        <v>0</v>
      </c>
      <c r="M8" s="659" t="s">
        <v>10</v>
      </c>
      <c r="N8" s="656">
        <f>R.HN!D17</f>
        <v>0</v>
      </c>
      <c r="O8" s="311">
        <f>'R.GUI MAIL'!H26</f>
        <v>0</v>
      </c>
      <c r="P8" s="657"/>
      <c r="Q8" s="658" t="s">
        <v>8</v>
      </c>
      <c r="R8" s="1187">
        <f>'R.GUI MAIL'!K26</f>
        <v>0</v>
      </c>
      <c r="S8" s="659" t="s">
        <v>10</v>
      </c>
      <c r="T8" s="656"/>
      <c r="U8" s="311">
        <f>'R.GUI MAIL'!H42</f>
        <v>10.95</v>
      </c>
      <c r="V8" s="657"/>
      <c r="W8" s="658" t="s">
        <v>8</v>
      </c>
      <c r="X8" s="1187">
        <f>'R.GUI MAIL'!K42</f>
        <v>126.17968750000006</v>
      </c>
      <c r="Y8" s="659" t="str">
        <f>'R.GUI MAIL'!L41</f>
        <v>kg</v>
      </c>
    </row>
    <row r="9" spans="1:25" ht="24.75" hidden="1" customHeight="1">
      <c r="A9" s="651">
        <v>3</v>
      </c>
      <c r="B9" s="3575" t="s">
        <v>392</v>
      </c>
      <c r="C9" s="3576"/>
      <c r="D9" s="3577"/>
      <c r="E9" s="660" t="s">
        <v>3</v>
      </c>
      <c r="F9" s="653" t="s">
        <v>427</v>
      </c>
      <c r="G9" s="654"/>
      <c r="H9" s="655"/>
      <c r="I9" s="1143">
        <f>'R.GUI MAIL'!H7</f>
        <v>0</v>
      </c>
      <c r="J9" s="657"/>
      <c r="K9" s="658" t="s">
        <v>8</v>
      </c>
      <c r="L9" s="1187">
        <f>'R.GUI MAIL'!K7</f>
        <v>292.1875</v>
      </c>
      <c r="M9" s="659" t="s">
        <v>10</v>
      </c>
      <c r="N9" s="656"/>
      <c r="O9" s="661"/>
      <c r="P9" s="661"/>
      <c r="Q9" s="662"/>
      <c r="R9" s="1186"/>
      <c r="S9" s="663"/>
      <c r="T9" s="664"/>
      <c r="U9" s="1143">
        <f>'R.GUI MAIL'!H42</f>
        <v>10.95</v>
      </c>
      <c r="V9" s="657"/>
      <c r="W9" s="658" t="s">
        <v>8</v>
      </c>
      <c r="X9" s="1187">
        <f>'R.GUI MAIL'!K42</f>
        <v>126.17968750000006</v>
      </c>
      <c r="Y9" s="659" t="str">
        <f>'R.GUI MAIL'!L42</f>
        <v>L</v>
      </c>
    </row>
    <row r="10" spans="1:25" ht="30.75" customHeight="1">
      <c r="A10" s="651">
        <v>4</v>
      </c>
      <c r="B10" s="3578" t="s">
        <v>744</v>
      </c>
      <c r="C10" s="1189" t="s">
        <v>745</v>
      </c>
      <c r="D10" s="1190">
        <f>R.HN!$C$12</f>
        <v>3</v>
      </c>
      <c r="E10" s="3580" t="s">
        <v>432</v>
      </c>
      <c r="F10" s="653" t="s">
        <v>731</v>
      </c>
      <c r="G10" s="654">
        <v>50</v>
      </c>
      <c r="H10" s="655">
        <f>R.HN!C18</f>
        <v>0</v>
      </c>
      <c r="I10" s="311">
        <f>'R.GUI MAIL'!H8</f>
        <v>0</v>
      </c>
      <c r="J10" s="657"/>
      <c r="K10" s="658" t="s">
        <v>8</v>
      </c>
      <c r="L10" s="1187">
        <f>'R.GUI MAIL'!K8</f>
        <v>0</v>
      </c>
      <c r="M10" s="659" t="s">
        <v>9</v>
      </c>
      <c r="N10" s="656">
        <f>R.HN!D18</f>
        <v>0</v>
      </c>
      <c r="O10" s="311">
        <f>'R.GUI MAIL'!H27</f>
        <v>0</v>
      </c>
      <c r="P10" s="657"/>
      <c r="Q10" s="658" t="s">
        <v>8</v>
      </c>
      <c r="R10" s="1187">
        <f>'R.GUI MAIL'!K27</f>
        <v>0</v>
      </c>
      <c r="S10" s="659" t="s">
        <v>9</v>
      </c>
      <c r="T10" s="656"/>
      <c r="U10" s="311">
        <f>'R.GUI MAIL'!H43</f>
        <v>55</v>
      </c>
      <c r="V10" s="657"/>
      <c r="W10" s="658" t="s">
        <v>8</v>
      </c>
      <c r="X10" s="1187">
        <f>'R.GUI MAIL'!K43</f>
        <v>0</v>
      </c>
      <c r="Y10" s="659" t="str">
        <f>'R.GUI MAIL'!L43</f>
        <v>kg</v>
      </c>
    </row>
    <row r="11" spans="1:25" ht="30.75" customHeight="1">
      <c r="A11" s="651">
        <v>5</v>
      </c>
      <c r="B11" s="3579"/>
      <c r="C11" s="1191"/>
      <c r="D11" s="1192"/>
      <c r="E11" s="3580"/>
      <c r="F11" s="653" t="s">
        <v>727</v>
      </c>
      <c r="G11" s="665">
        <v>6</v>
      </c>
      <c r="H11" s="655">
        <f>R.HN!C19</f>
        <v>0</v>
      </c>
      <c r="I11" s="311">
        <f>'R.GUI MAIL'!H9</f>
        <v>0</v>
      </c>
      <c r="J11" s="657"/>
      <c r="K11" s="658" t="s">
        <v>8</v>
      </c>
      <c r="L11" s="1187">
        <f>'R.GUI MAIL'!K9</f>
        <v>0</v>
      </c>
      <c r="M11" s="659" t="s">
        <v>9</v>
      </c>
      <c r="N11" s="656">
        <f>R.HN!D19</f>
        <v>0</v>
      </c>
      <c r="O11" s="311">
        <f>'R.GUI MAIL'!H28</f>
        <v>0</v>
      </c>
      <c r="P11" s="657"/>
      <c r="Q11" s="658"/>
      <c r="R11" s="1187">
        <f>'R.GUI MAIL'!K28</f>
        <v>0</v>
      </c>
      <c r="S11" s="659" t="s">
        <v>9</v>
      </c>
      <c r="T11" s="656"/>
      <c r="U11" s="311">
        <f>'R.GUI MAIL'!H44</f>
        <v>9.0163934426229506</v>
      </c>
      <c r="V11" s="657"/>
      <c r="W11" s="658" t="s">
        <v>8</v>
      </c>
      <c r="X11" s="1187">
        <f>'R.GUI MAIL'!K44</f>
        <v>0</v>
      </c>
      <c r="Y11" s="659" t="str">
        <f>'R.GUI MAIL'!L44</f>
        <v>kg</v>
      </c>
    </row>
    <row r="12" spans="1:25" ht="30.75" customHeight="1">
      <c r="A12" s="651">
        <v>6</v>
      </c>
      <c r="B12" s="3579"/>
      <c r="C12" s="1191"/>
      <c r="D12" s="1192"/>
      <c r="E12" s="3580"/>
      <c r="F12" s="653" t="s">
        <v>615</v>
      </c>
      <c r="G12" s="665">
        <v>0.4</v>
      </c>
      <c r="H12" s="655">
        <f>R.HN!C20</f>
        <v>0</v>
      </c>
      <c r="I12" s="432">
        <f>'R.GUI MAIL'!H10</f>
        <v>0</v>
      </c>
      <c r="J12" s="657"/>
      <c r="K12" s="658" t="s">
        <v>8</v>
      </c>
      <c r="L12" s="1187">
        <f>'R.GUI MAIL'!K10</f>
        <v>0</v>
      </c>
      <c r="M12" s="659" t="s">
        <v>9</v>
      </c>
      <c r="N12" s="656">
        <f>R.HN!D20</f>
        <v>0</v>
      </c>
      <c r="O12" s="432">
        <f>'R.GUI MAIL'!H29</f>
        <v>0</v>
      </c>
      <c r="P12" s="666"/>
      <c r="Q12" s="667"/>
      <c r="R12" s="1187">
        <f>'R.GUI MAIL'!K29</f>
        <v>0</v>
      </c>
      <c r="S12" s="668" t="s">
        <v>9</v>
      </c>
      <c r="T12" s="669"/>
      <c r="U12" s="432">
        <f>'R.GUI MAIL'!H45</f>
        <v>0.4</v>
      </c>
      <c r="V12" s="657"/>
      <c r="W12" s="658" t="s">
        <v>8</v>
      </c>
      <c r="X12" s="1187">
        <f>'R.GUI MAIL'!K45</f>
        <v>0</v>
      </c>
      <c r="Y12" s="659">
        <f>'R.GUI MAIL'!L45</f>
        <v>0</v>
      </c>
    </row>
    <row r="13" spans="1:25" ht="30.75" hidden="1" customHeight="1">
      <c r="A13" s="651">
        <v>7</v>
      </c>
      <c r="B13" s="3578" t="s">
        <v>744</v>
      </c>
      <c r="C13" s="1189" t="s">
        <v>745</v>
      </c>
      <c r="D13" s="1190">
        <f>R.HN!$C$13</f>
        <v>4</v>
      </c>
      <c r="E13" s="3581" t="s">
        <v>432</v>
      </c>
      <c r="F13" s="653" t="s">
        <v>731</v>
      </c>
      <c r="G13" s="654">
        <v>50</v>
      </c>
      <c r="H13" s="655" t="e">
        <f>R.HN!#REF!</f>
        <v>#REF!</v>
      </c>
      <c r="I13" s="311">
        <f>'R.GUI MAIL'!H11</f>
        <v>0</v>
      </c>
      <c r="J13" s="682"/>
      <c r="K13" s="658" t="s">
        <v>8</v>
      </c>
      <c r="L13" s="1187">
        <f>'R.GUI MAIL'!K11</f>
        <v>0</v>
      </c>
      <c r="M13" s="659" t="s">
        <v>9</v>
      </c>
      <c r="N13" s="656" t="e">
        <f>R.HN!#REF!</f>
        <v>#REF!</v>
      </c>
      <c r="O13" s="661"/>
      <c r="P13" s="661"/>
      <c r="Q13" s="662"/>
      <c r="R13" s="1186"/>
      <c r="S13" s="663"/>
      <c r="T13" s="656"/>
      <c r="U13" s="661"/>
      <c r="V13" s="661"/>
      <c r="W13" s="662"/>
      <c r="X13" s="1186"/>
      <c r="Y13" s="663"/>
    </row>
    <row r="14" spans="1:25" ht="30.75" hidden="1" customHeight="1">
      <c r="A14" s="651">
        <v>8</v>
      </c>
      <c r="B14" s="3579"/>
      <c r="C14" s="1191"/>
      <c r="D14" s="1192"/>
      <c r="E14" s="3581"/>
      <c r="F14" s="653" t="s">
        <v>727</v>
      </c>
      <c r="G14" s="665">
        <v>6</v>
      </c>
      <c r="H14" s="655" t="e">
        <f>R.HN!#REF!</f>
        <v>#REF!</v>
      </c>
      <c r="I14" s="311">
        <f>'R.GUI MAIL'!H12</f>
        <v>0</v>
      </c>
      <c r="J14" s="657"/>
      <c r="K14" s="658" t="s">
        <v>8</v>
      </c>
      <c r="L14" s="1187">
        <f>'R.GUI MAIL'!K12</f>
        <v>0</v>
      </c>
      <c r="M14" s="659" t="s">
        <v>9</v>
      </c>
      <c r="N14" s="656" t="e">
        <f>R.HN!#REF!</f>
        <v>#REF!</v>
      </c>
      <c r="O14" s="661"/>
      <c r="P14" s="661"/>
      <c r="Q14" s="662"/>
      <c r="R14" s="1186"/>
      <c r="S14" s="663"/>
      <c r="T14" s="656"/>
      <c r="U14" s="661"/>
      <c r="V14" s="661"/>
      <c r="W14" s="662"/>
      <c r="X14" s="1186"/>
      <c r="Y14" s="663"/>
    </row>
    <row r="15" spans="1:25" ht="30.75" hidden="1" customHeight="1">
      <c r="A15" s="651">
        <v>9</v>
      </c>
      <c r="B15" s="3579"/>
      <c r="C15" s="1191"/>
      <c r="D15" s="1192"/>
      <c r="E15" s="3581"/>
      <c r="F15" s="653" t="s">
        <v>615</v>
      </c>
      <c r="G15" s="665">
        <v>0.4</v>
      </c>
      <c r="H15" s="655" t="e">
        <f>R.HN!#REF!</f>
        <v>#REF!</v>
      </c>
      <c r="I15" s="432">
        <f>'R.GUI MAIL'!H13</f>
        <v>0</v>
      </c>
      <c r="J15" s="682"/>
      <c r="K15" s="658" t="s">
        <v>8</v>
      </c>
      <c r="L15" s="1187">
        <f>'R.GUI MAIL'!K13</f>
        <v>0</v>
      </c>
      <c r="M15" s="659" t="s">
        <v>9</v>
      </c>
      <c r="N15" s="656" t="e">
        <f>R.HN!#REF!</f>
        <v>#REF!</v>
      </c>
      <c r="O15" s="670"/>
      <c r="P15" s="670"/>
      <c r="Q15" s="671"/>
      <c r="R15" s="1186"/>
      <c r="S15" s="672"/>
      <c r="T15" s="669"/>
      <c r="U15" s="670"/>
      <c r="V15" s="670"/>
      <c r="W15" s="671"/>
      <c r="X15" s="1186"/>
      <c r="Y15" s="672"/>
    </row>
    <row r="16" spans="1:25" ht="30.75" customHeight="1">
      <c r="A16" s="651">
        <v>10</v>
      </c>
      <c r="B16" s="3575" t="s">
        <v>746</v>
      </c>
      <c r="C16" s="3576"/>
      <c r="D16" s="3577"/>
      <c r="E16" s="651" t="s">
        <v>432</v>
      </c>
      <c r="F16" s="673" t="s">
        <v>442</v>
      </c>
      <c r="G16" s="665">
        <v>2</v>
      </c>
      <c r="H16" s="655">
        <f>R.HN!C21</f>
        <v>0</v>
      </c>
      <c r="I16" s="311">
        <f>'R.GUI MAIL'!H14</f>
        <v>0</v>
      </c>
      <c r="J16" s="657"/>
      <c r="K16" s="658" t="s">
        <v>8</v>
      </c>
      <c r="L16" s="1187">
        <f>'R.GUI MAIL'!K14</f>
        <v>0</v>
      </c>
      <c r="M16" s="659" t="s">
        <v>9</v>
      </c>
      <c r="N16" s="656">
        <f>R.HN!D21</f>
        <v>0</v>
      </c>
      <c r="O16" s="311">
        <f>'R.GUI MAIL'!H30</f>
        <v>0</v>
      </c>
      <c r="P16" s="657"/>
      <c r="Q16" s="658" t="s">
        <v>8</v>
      </c>
      <c r="R16" s="1187">
        <f>'R.GUI MAIL'!K30</f>
        <v>0</v>
      </c>
      <c r="S16" s="659" t="s">
        <v>9</v>
      </c>
      <c r="T16" s="656"/>
      <c r="U16" s="311">
        <f>'R.GUI MAIL'!H46</f>
        <v>0.9</v>
      </c>
      <c r="V16" s="657"/>
      <c r="W16" s="658" t="s">
        <v>8</v>
      </c>
      <c r="X16" s="1187">
        <f>'R.GUI MAIL'!K46</f>
        <v>0.12339999999999998</v>
      </c>
      <c r="Y16" s="659" t="str">
        <f>'R.GUI MAIL'!L46</f>
        <v>kg</v>
      </c>
    </row>
    <row r="17" spans="1:25" ht="30.75" customHeight="1">
      <c r="A17" s="651">
        <v>11</v>
      </c>
      <c r="B17" s="3590"/>
      <c r="C17" s="3591"/>
      <c r="D17" s="3592"/>
      <c r="E17" s="651" t="s">
        <v>5</v>
      </c>
      <c r="F17" s="1193" t="s">
        <v>621</v>
      </c>
      <c r="G17" s="674">
        <v>9</v>
      </c>
      <c r="H17" s="655">
        <f>R.HN!C22</f>
        <v>0</v>
      </c>
      <c r="I17" s="311">
        <f>'R.GUI MAIL'!H15</f>
        <v>0</v>
      </c>
      <c r="J17" s="657"/>
      <c r="K17" s="658" t="s">
        <v>8</v>
      </c>
      <c r="L17" s="1187">
        <f>'R.GUI MAIL'!K15</f>
        <v>0</v>
      </c>
      <c r="M17" s="659"/>
      <c r="N17" s="656">
        <f>R.HN!D22</f>
        <v>0</v>
      </c>
      <c r="O17" s="311">
        <f>'R.GUI MAIL'!H31</f>
        <v>0</v>
      </c>
      <c r="P17" s="657"/>
      <c r="Q17" s="658"/>
      <c r="R17" s="1187">
        <f>'R.GUI MAIL'!K31</f>
        <v>0</v>
      </c>
      <c r="S17" s="659"/>
      <c r="T17" s="656"/>
      <c r="U17" s="311">
        <f>'R.GUI MAIL'!H47</f>
        <v>9</v>
      </c>
      <c r="V17" s="657"/>
      <c r="W17" s="658" t="s">
        <v>8</v>
      </c>
      <c r="X17" s="1187">
        <f>'R.GUI MAIL'!K47</f>
        <v>0</v>
      </c>
      <c r="Y17" s="659"/>
    </row>
    <row r="18" spans="1:25" ht="30.75" customHeight="1">
      <c r="A18" s="675"/>
      <c r="B18" s="1936"/>
      <c r="C18" s="676"/>
      <c r="D18" s="676"/>
      <c r="E18" s="676" t="s">
        <v>2</v>
      </c>
      <c r="F18" s="676"/>
      <c r="G18" s="676"/>
      <c r="H18" s="676"/>
      <c r="I18" s="676"/>
      <c r="J18" s="676"/>
      <c r="K18" s="676"/>
      <c r="L18" s="676"/>
      <c r="M18" s="676"/>
      <c r="N18" s="676"/>
      <c r="O18" s="676"/>
      <c r="P18" s="676"/>
      <c r="Q18" s="676"/>
      <c r="R18" s="676"/>
      <c r="S18" s="676"/>
      <c r="T18" s="676"/>
      <c r="U18" s="676"/>
      <c r="V18" s="676"/>
      <c r="W18" s="676"/>
      <c r="X18" s="676"/>
      <c r="Y18" s="1194"/>
    </row>
    <row r="19" spans="1:25" ht="30.75" customHeight="1">
      <c r="A19" s="677" t="s">
        <v>55</v>
      </c>
      <c r="B19" s="3572" t="s">
        <v>747</v>
      </c>
      <c r="C19" s="3573"/>
      <c r="D19" s="3574"/>
      <c r="E19" s="678" t="s">
        <v>748</v>
      </c>
      <c r="F19" s="678" t="s">
        <v>749</v>
      </c>
      <c r="G19" s="679" t="s">
        <v>740</v>
      </c>
      <c r="H19" s="680"/>
      <c r="I19" s="3582" t="s">
        <v>46</v>
      </c>
      <c r="J19" s="3583"/>
      <c r="K19" s="3583"/>
      <c r="L19" s="3584" t="s">
        <v>63</v>
      </c>
      <c r="M19" s="3585"/>
      <c r="N19" s="645"/>
      <c r="O19" s="3582" t="s">
        <v>46</v>
      </c>
      <c r="P19" s="3583"/>
      <c r="Q19" s="3583"/>
      <c r="R19" s="3584" t="s">
        <v>63</v>
      </c>
      <c r="S19" s="3585"/>
      <c r="T19" s="645"/>
      <c r="U19" s="3582" t="s">
        <v>46</v>
      </c>
      <c r="V19" s="3583"/>
      <c r="W19" s="3583"/>
      <c r="X19" s="3584" t="s">
        <v>63</v>
      </c>
      <c r="Y19" s="3585"/>
    </row>
    <row r="20" spans="1:25" ht="30.75" customHeight="1">
      <c r="A20" s="677">
        <v>1</v>
      </c>
      <c r="B20" s="3572" t="s">
        <v>750</v>
      </c>
      <c r="C20" s="3573"/>
      <c r="D20" s="3574"/>
      <c r="E20" s="681" t="s">
        <v>751</v>
      </c>
      <c r="F20" s="673" t="s">
        <v>1121</v>
      </c>
      <c r="G20" s="679"/>
      <c r="H20" s="680"/>
      <c r="I20" s="3586"/>
      <c r="J20" s="3587"/>
      <c r="K20" s="3587"/>
      <c r="L20" s="3587"/>
      <c r="M20" s="3588"/>
      <c r="N20" s="1575"/>
      <c r="O20" s="3589">
        <f>'R.GUI MAIL'!H34</f>
        <v>0</v>
      </c>
      <c r="P20" s="3589"/>
      <c r="Q20" s="3589"/>
      <c r="R20" s="3589">
        <f>'R.GUI MAIL'!K34</f>
        <v>0</v>
      </c>
      <c r="S20" s="3589"/>
      <c r="T20" s="3589"/>
      <c r="U20" s="3589">
        <f>'R.GUI MAIL'!H50</f>
        <v>0</v>
      </c>
      <c r="V20" s="3589"/>
      <c r="W20" s="3589"/>
      <c r="X20" s="3589">
        <f>'R.GUI MAIL'!K50</f>
        <v>60</v>
      </c>
      <c r="Y20" s="3589"/>
    </row>
    <row r="21" spans="1:25" ht="30.75" customHeight="1">
      <c r="A21" s="677">
        <v>2</v>
      </c>
      <c r="B21" s="3572" t="s">
        <v>752</v>
      </c>
      <c r="C21" s="3573"/>
      <c r="D21" s="3574"/>
      <c r="E21" s="681" t="s">
        <v>751</v>
      </c>
      <c r="F21" s="673" t="s">
        <v>753</v>
      </c>
      <c r="G21" s="682" t="str">
        <f>'[7]file goc'!G62</f>
        <v>7:00</v>
      </c>
      <c r="H21" s="682"/>
      <c r="I21" s="3593">
        <f>'R.GUI MAIL'!H18</f>
        <v>0</v>
      </c>
      <c r="J21" s="3595"/>
      <c r="K21" s="3595"/>
      <c r="L21" s="3593">
        <f>'R.GUI MAIL'!K18</f>
        <v>0</v>
      </c>
      <c r="M21" s="3595"/>
      <c r="N21" s="1576"/>
      <c r="O21" s="3593">
        <f>'R.GUI MAIL'!H35</f>
        <v>0</v>
      </c>
      <c r="P21" s="3595"/>
      <c r="Q21" s="3595"/>
      <c r="R21" s="3593">
        <f>'R.GUI MAIL'!K35</f>
        <v>0</v>
      </c>
      <c r="S21" s="3594"/>
      <c r="T21" s="1575"/>
      <c r="U21" s="3593">
        <f>'R.GUI MAIL'!H51</f>
        <v>0</v>
      </c>
      <c r="V21" s="3595"/>
      <c r="W21" s="3594"/>
      <c r="X21" s="3593">
        <f>'R.GUI MAIL'!K51</f>
        <v>69</v>
      </c>
      <c r="Y21" s="3594"/>
    </row>
    <row r="22" spans="1:25" ht="30.75" hidden="1" customHeight="1">
      <c r="A22" s="677">
        <v>3</v>
      </c>
      <c r="B22" s="3572" t="s">
        <v>754</v>
      </c>
      <c r="C22" s="3573"/>
      <c r="D22" s="3574"/>
      <c r="E22" s="681" t="s">
        <v>751</v>
      </c>
      <c r="F22" s="673" t="s">
        <v>753</v>
      </c>
      <c r="G22" s="683" t="str">
        <f>'[7]file goc'!G63</f>
        <v>濃度 g/L</v>
      </c>
      <c r="H22" s="682"/>
      <c r="I22" s="3593">
        <f>'R.GUI MAIL'!H19</f>
        <v>0</v>
      </c>
      <c r="J22" s="3595"/>
      <c r="K22" s="3595"/>
      <c r="L22" s="3593">
        <f>'R.GUI MAIL'!K19</f>
        <v>0</v>
      </c>
      <c r="M22" s="3595"/>
      <c r="N22" s="1575"/>
      <c r="O22" s="1577"/>
      <c r="P22" s="1578"/>
      <c r="Q22" s="1578"/>
      <c r="R22" s="1579"/>
      <c r="S22" s="1580"/>
      <c r="T22" s="1575"/>
      <c r="U22" s="1581"/>
      <c r="V22" s="1581"/>
      <c r="W22" s="1581"/>
      <c r="X22" s="1581"/>
      <c r="Y22" s="1581"/>
    </row>
    <row r="23" spans="1:25" ht="30.75" customHeight="1">
      <c r="A23" s="677">
        <v>6</v>
      </c>
      <c r="B23" s="3572" t="s">
        <v>755</v>
      </c>
      <c r="C23" s="3573"/>
      <c r="D23" s="3574"/>
      <c r="E23" s="681" t="s">
        <v>751</v>
      </c>
      <c r="F23" s="673" t="s">
        <v>756</v>
      </c>
      <c r="G23" s="683">
        <f>'[7]file goc'!G66</f>
        <v>0</v>
      </c>
      <c r="H23" s="682"/>
      <c r="I23" s="3593">
        <f>'R.GUI MAIL'!H20</f>
        <v>0</v>
      </c>
      <c r="J23" s="3595"/>
      <c r="K23" s="3595"/>
      <c r="L23" s="3593">
        <f>'R.GUI MAIL'!K20</f>
        <v>0</v>
      </c>
      <c r="M23" s="3595"/>
      <c r="N23" s="1575"/>
      <c r="O23" s="3593">
        <f>'R.GUI MAIL'!H36</f>
        <v>0</v>
      </c>
      <c r="P23" s="3595"/>
      <c r="Q23" s="3595"/>
      <c r="R23" s="3593">
        <f>'R.GUI MAIL'!K36</f>
        <v>0</v>
      </c>
      <c r="S23" s="3594"/>
      <c r="T23" s="1575"/>
      <c r="U23" s="3593">
        <f>'R.GUI MAIL'!H52</f>
        <v>0</v>
      </c>
      <c r="V23" s="3595"/>
      <c r="W23" s="3594"/>
      <c r="X23" s="3593">
        <f>'R.GUI MAIL'!K52</f>
        <v>84</v>
      </c>
      <c r="Y23" s="3594"/>
    </row>
    <row r="24" spans="1:25" s="642" customFormat="1" ht="30.75" customHeight="1">
      <c r="A24" s="3596" t="s">
        <v>1484</v>
      </c>
      <c r="B24" s="3597"/>
      <c r="C24" s="3569" t="str">
        <f>MENU!$AC$9</f>
        <v>Thứ 3,</v>
      </c>
      <c r="D24" s="3569"/>
      <c r="E24" s="3570" t="str">
        <f>MENU!$AD$9</f>
        <v>2024/01/09</v>
      </c>
      <c r="F24" s="3571"/>
      <c r="G24" s="3571"/>
      <c r="H24" s="3571"/>
      <c r="I24" s="2143" t="s">
        <v>736</v>
      </c>
      <c r="J24" s="2143"/>
      <c r="K24" s="2143"/>
      <c r="L24" s="2143"/>
      <c r="M24" s="2143"/>
      <c r="N24" s="2143"/>
      <c r="O24" s="2143"/>
      <c r="P24" s="2143"/>
      <c r="Q24" s="2143"/>
      <c r="R24" s="2143"/>
      <c r="S24" s="2143"/>
      <c r="T24" s="2143"/>
      <c r="U24" s="2143"/>
      <c r="V24" s="2143"/>
      <c r="W24" s="2143"/>
      <c r="X24" s="2143"/>
      <c r="Y24" s="2144"/>
    </row>
    <row r="25" spans="1:25" ht="30.75" customHeight="1">
      <c r="A25" s="3553" t="s">
        <v>7</v>
      </c>
      <c r="B25" s="2980" t="s">
        <v>737</v>
      </c>
      <c r="C25" s="2981"/>
      <c r="D25" s="3556"/>
      <c r="E25" s="3561" t="s">
        <v>738</v>
      </c>
      <c r="F25" s="3564" t="s">
        <v>739</v>
      </c>
      <c r="G25" s="643"/>
      <c r="H25" s="644"/>
      <c r="I25" s="3567" t="s">
        <v>740</v>
      </c>
      <c r="J25" s="3568"/>
      <c r="K25" s="3568"/>
      <c r="L25" s="3568"/>
      <c r="M25" s="3568"/>
      <c r="N25" s="645"/>
      <c r="O25" s="3567" t="s">
        <v>1307</v>
      </c>
      <c r="P25" s="3568"/>
      <c r="Q25" s="3568"/>
      <c r="R25" s="3568"/>
      <c r="S25" s="3568"/>
      <c r="T25" s="645"/>
      <c r="U25" s="3567" t="s">
        <v>1308</v>
      </c>
      <c r="V25" s="3568"/>
      <c r="W25" s="3568"/>
      <c r="X25" s="3568"/>
      <c r="Y25" s="3568"/>
    </row>
    <row r="26" spans="1:25" ht="30.75" customHeight="1">
      <c r="A26" s="3554"/>
      <c r="B26" s="3557"/>
      <c r="C26" s="3558"/>
      <c r="D26" s="3559"/>
      <c r="E26" s="3562"/>
      <c r="F26" s="3565"/>
      <c r="G26" s="646" t="s">
        <v>423</v>
      </c>
      <c r="H26" s="647"/>
      <c r="I26" s="3544" t="s">
        <v>741</v>
      </c>
      <c r="J26" s="649" t="s">
        <v>742</v>
      </c>
      <c r="K26" s="3546" t="s">
        <v>1</v>
      </c>
      <c r="L26" s="3546"/>
      <c r="M26" s="3547"/>
      <c r="N26" s="648"/>
      <c r="O26" s="3544" t="s">
        <v>741</v>
      </c>
      <c r="P26" s="649" t="s">
        <v>742</v>
      </c>
      <c r="Q26" s="3546" t="s">
        <v>1</v>
      </c>
      <c r="R26" s="3546"/>
      <c r="S26" s="3547"/>
      <c r="T26" s="647"/>
      <c r="U26" s="3544" t="s">
        <v>741</v>
      </c>
      <c r="V26" s="649" t="s">
        <v>742</v>
      </c>
      <c r="W26" s="3546" t="s">
        <v>1</v>
      </c>
      <c r="X26" s="3546"/>
      <c r="Y26" s="3547"/>
    </row>
    <row r="27" spans="1:25" ht="30.75" customHeight="1">
      <c r="A27" s="3555"/>
      <c r="B27" s="2982"/>
      <c r="C27" s="2983"/>
      <c r="D27" s="3560"/>
      <c r="E27" s="3563"/>
      <c r="F27" s="3566"/>
      <c r="G27" s="646"/>
      <c r="H27" s="647"/>
      <c r="I27" s="3545"/>
      <c r="J27" s="650"/>
      <c r="K27" s="3548"/>
      <c r="L27" s="3548"/>
      <c r="M27" s="3549"/>
      <c r="N27" s="648"/>
      <c r="O27" s="3545"/>
      <c r="P27" s="650"/>
      <c r="Q27" s="3548"/>
      <c r="R27" s="3548"/>
      <c r="S27" s="3549"/>
      <c r="T27" s="647"/>
      <c r="U27" s="3545"/>
      <c r="V27" s="650"/>
      <c r="W27" s="3548"/>
      <c r="X27" s="3548"/>
      <c r="Y27" s="3549"/>
    </row>
    <row r="28" spans="1:25" ht="30.75" customHeight="1">
      <c r="A28" s="651">
        <v>1</v>
      </c>
      <c r="B28" s="3572" t="s">
        <v>743</v>
      </c>
      <c r="C28" s="3573"/>
      <c r="D28" s="3574"/>
      <c r="E28" s="652" t="s">
        <v>432</v>
      </c>
      <c r="F28" s="653" t="s">
        <v>729</v>
      </c>
      <c r="G28" s="654">
        <v>40</v>
      </c>
      <c r="H28" s="655" t="e">
        <f>R.HN!#REF!</f>
        <v>#REF!</v>
      </c>
      <c r="I28" s="661"/>
      <c r="J28" s="661"/>
      <c r="K28" s="662"/>
      <c r="L28" s="1186"/>
      <c r="M28" s="663"/>
      <c r="N28" s="656" t="e">
        <f>R.HN!#REF!</f>
        <v>#REF!</v>
      </c>
      <c r="O28" s="311">
        <f>'R.GUI MAIL'!N25</f>
        <v>0</v>
      </c>
      <c r="P28" s="657"/>
      <c r="Q28" s="658" t="s">
        <v>8</v>
      </c>
      <c r="R28" s="1187">
        <f>'R.GUI MAIL'!Q25</f>
        <v>0</v>
      </c>
      <c r="S28" s="659" t="s">
        <v>9</v>
      </c>
      <c r="T28" s="656"/>
      <c r="U28" s="311">
        <f>'R.GUI MAIL'!N41</f>
        <v>48</v>
      </c>
      <c r="V28" s="657"/>
      <c r="W28" s="658" t="s">
        <v>8</v>
      </c>
      <c r="X28" s="1188">
        <f>'R.GUI MAIL'!Q41</f>
        <v>0</v>
      </c>
      <c r="Y28" s="659" t="s">
        <v>9</v>
      </c>
    </row>
    <row r="29" spans="1:25" ht="30.75" customHeight="1">
      <c r="A29" s="651">
        <v>2</v>
      </c>
      <c r="B29" s="3572" t="s">
        <v>426</v>
      </c>
      <c r="C29" s="3573"/>
      <c r="D29" s="3574"/>
      <c r="E29" s="660" t="s">
        <v>3</v>
      </c>
      <c r="F29" s="653" t="s">
        <v>427</v>
      </c>
      <c r="G29" s="654">
        <v>22</v>
      </c>
      <c r="H29" s="655" t="e">
        <f>R.HN!#REF!</f>
        <v>#REF!</v>
      </c>
      <c r="I29" s="311">
        <f>'R.GUI MAIL'!N6</f>
        <v>0</v>
      </c>
      <c r="J29" s="657"/>
      <c r="K29" s="658" t="s">
        <v>8</v>
      </c>
      <c r="L29" s="1187">
        <f>'R.GUI MAIL'!Q6</f>
        <v>0</v>
      </c>
      <c r="M29" s="659" t="s">
        <v>10</v>
      </c>
      <c r="N29" s="656" t="e">
        <f>R.HN!#REF!</f>
        <v>#REF!</v>
      </c>
      <c r="O29" s="311">
        <f>'R.GUI MAIL'!N26</f>
        <v>0</v>
      </c>
      <c r="P29" s="657"/>
      <c r="Q29" s="658" t="s">
        <v>8</v>
      </c>
      <c r="R29" s="1187">
        <f>'R.GUI MAIL'!Q26</f>
        <v>0</v>
      </c>
      <c r="S29" s="659" t="s">
        <v>10</v>
      </c>
      <c r="T29" s="656"/>
      <c r="U29" s="311">
        <f>'R.GUI MAIL'!N42</f>
        <v>11.315000000000001</v>
      </c>
      <c r="V29" s="657"/>
      <c r="W29" s="658" t="s">
        <v>8</v>
      </c>
      <c r="X29" s="1187">
        <f>'R.GUI MAIL'!Q42</f>
        <v>96.466406249999892</v>
      </c>
      <c r="Y29" s="659" t="s">
        <v>10</v>
      </c>
    </row>
    <row r="30" spans="1:25" ht="30.75" hidden="1" customHeight="1">
      <c r="A30" s="651">
        <v>3</v>
      </c>
      <c r="B30" s="3575" t="s">
        <v>392</v>
      </c>
      <c r="C30" s="3576"/>
      <c r="D30" s="3577"/>
      <c r="E30" s="660" t="s">
        <v>3</v>
      </c>
      <c r="F30" s="653" t="s">
        <v>427</v>
      </c>
      <c r="G30" s="654"/>
      <c r="H30" s="655"/>
      <c r="I30" s="1143">
        <f>'R.GUI MAIL'!N7</f>
        <v>0</v>
      </c>
      <c r="J30" s="657"/>
      <c r="K30" s="658" t="s">
        <v>8</v>
      </c>
      <c r="L30" s="1187">
        <f>'R.GUI MAIL'!Q7</f>
        <v>292.1875</v>
      </c>
      <c r="M30" s="659" t="s">
        <v>10</v>
      </c>
      <c r="N30" s="656"/>
      <c r="O30" s="661"/>
      <c r="P30" s="661"/>
      <c r="Q30" s="662"/>
      <c r="R30" s="1186"/>
      <c r="S30" s="663"/>
      <c r="T30" s="664"/>
      <c r="U30" s="1143">
        <f>'R.GUI MAIL'!N42</f>
        <v>11.315000000000001</v>
      </c>
      <c r="V30" s="657"/>
      <c r="W30" s="658" t="s">
        <v>8</v>
      </c>
      <c r="X30" s="1187">
        <f>'R.GUI MAIL'!Q42</f>
        <v>96.466406249999892</v>
      </c>
      <c r="Y30" s="659" t="s">
        <v>10</v>
      </c>
    </row>
    <row r="31" spans="1:25" ht="30.75" customHeight="1">
      <c r="A31" s="651">
        <v>4</v>
      </c>
      <c r="B31" s="3578" t="s">
        <v>744</v>
      </c>
      <c r="C31" s="1189" t="s">
        <v>745</v>
      </c>
      <c r="D31" s="1190">
        <f>R.HN!D12</f>
        <v>3</v>
      </c>
      <c r="E31" s="3581" t="s">
        <v>432</v>
      </c>
      <c r="F31" s="653" t="s">
        <v>731</v>
      </c>
      <c r="G31" s="654">
        <v>50</v>
      </c>
      <c r="H31" s="655">
        <f>R.HN!C27</f>
        <v>5.5</v>
      </c>
      <c r="I31" s="311">
        <f>'R.GUI MAIL'!N8</f>
        <v>0</v>
      </c>
      <c r="J31" s="657"/>
      <c r="K31" s="658" t="s">
        <v>8</v>
      </c>
      <c r="L31" s="1187">
        <f>'R.GUI MAIL'!Q8</f>
        <v>0</v>
      </c>
      <c r="M31" s="659" t="s">
        <v>9</v>
      </c>
      <c r="N31" s="656">
        <f>R.HN!D27</f>
        <v>4.9000000000000004</v>
      </c>
      <c r="O31" s="311">
        <f>'R.GUI MAIL'!N27</f>
        <v>0</v>
      </c>
      <c r="P31" s="657"/>
      <c r="Q31" s="658" t="s">
        <v>8</v>
      </c>
      <c r="R31" s="1187">
        <f>'R.GUI MAIL'!Q27</f>
        <v>0</v>
      </c>
      <c r="S31" s="659" t="s">
        <v>9</v>
      </c>
      <c r="T31" s="656"/>
      <c r="U31" s="311">
        <f>'R.GUI MAIL'!N43</f>
        <v>49</v>
      </c>
      <c r="V31" s="657"/>
      <c r="W31" s="658" t="s">
        <v>8</v>
      </c>
      <c r="X31" s="1187">
        <f>'R.GUI MAIL'!Q43</f>
        <v>4.9349999999999996</v>
      </c>
      <c r="Y31" s="659" t="s">
        <v>9</v>
      </c>
    </row>
    <row r="32" spans="1:25" ht="30.75" customHeight="1">
      <c r="A32" s="651">
        <v>5</v>
      </c>
      <c r="B32" s="3579"/>
      <c r="C32" s="1191"/>
      <c r="D32" s="1192"/>
      <c r="E32" s="3581"/>
      <c r="F32" s="653" t="s">
        <v>727</v>
      </c>
      <c r="G32" s="665">
        <v>6</v>
      </c>
      <c r="H32" s="655">
        <f>R.HN!C28</f>
        <v>6.1</v>
      </c>
      <c r="I32" s="311">
        <f>'R.GUI MAIL'!N9</f>
        <v>0</v>
      </c>
      <c r="J32" s="657"/>
      <c r="K32" s="658" t="s">
        <v>8</v>
      </c>
      <c r="L32" s="1187">
        <f>'R.GUI MAIL'!Q9</f>
        <v>0</v>
      </c>
      <c r="M32" s="659" t="s">
        <v>9</v>
      </c>
      <c r="N32" s="656">
        <f>R.HN!D28</f>
        <v>5</v>
      </c>
      <c r="O32" s="311">
        <f>'R.GUI MAIL'!N28</f>
        <v>0</v>
      </c>
      <c r="P32" s="657"/>
      <c r="Q32" s="658"/>
      <c r="R32" s="1187">
        <f>'R.GUI MAIL'!Q28</f>
        <v>0</v>
      </c>
      <c r="S32" s="659" t="s">
        <v>9</v>
      </c>
      <c r="T32" s="656"/>
      <c r="U32" s="311">
        <f>'R.GUI MAIL'!N44</f>
        <v>9.8000000000000007</v>
      </c>
      <c r="V32" s="657"/>
      <c r="W32" s="658"/>
      <c r="X32" s="1187">
        <f>'R.GUI MAIL'!Q44</f>
        <v>0</v>
      </c>
      <c r="Y32" s="659" t="s">
        <v>9</v>
      </c>
    </row>
    <row r="33" spans="1:25" ht="30.75" customHeight="1">
      <c r="A33" s="651">
        <v>6</v>
      </c>
      <c r="B33" s="3579"/>
      <c r="C33" s="1191"/>
      <c r="D33" s="1192"/>
      <c r="E33" s="3581"/>
      <c r="F33" s="653" t="s">
        <v>615</v>
      </c>
      <c r="G33" s="665">
        <v>0.4</v>
      </c>
      <c r="H33" s="655">
        <f>R.HN!C29</f>
        <v>0.4</v>
      </c>
      <c r="I33" s="432">
        <f>'R.GUI MAIL'!N10</f>
        <v>0</v>
      </c>
      <c r="J33" s="657"/>
      <c r="K33" s="658" t="s">
        <v>8</v>
      </c>
      <c r="L33" s="1187">
        <f>'R.GUI MAIL'!Q10</f>
        <v>0</v>
      </c>
      <c r="M33" s="659" t="s">
        <v>9</v>
      </c>
      <c r="N33" s="656">
        <f>R.HN!D29</f>
        <v>0.42</v>
      </c>
      <c r="O33" s="432">
        <f>'R.GUI MAIL'!N29</f>
        <v>0</v>
      </c>
      <c r="P33" s="666"/>
      <c r="Q33" s="667"/>
      <c r="R33" s="1187">
        <f>'R.GUI MAIL'!Q29</f>
        <v>0</v>
      </c>
      <c r="S33" s="668" t="s">
        <v>9</v>
      </c>
      <c r="T33" s="669"/>
      <c r="U33" s="432">
        <f>'R.GUI MAIL'!N45</f>
        <v>0.42</v>
      </c>
      <c r="V33" s="657"/>
      <c r="W33" s="658"/>
      <c r="X33" s="1187">
        <f>'R.GUI MAIL'!Q45</f>
        <v>0</v>
      </c>
      <c r="Y33" s="659" t="s">
        <v>9</v>
      </c>
    </row>
    <row r="34" spans="1:25" ht="30.75" hidden="1" customHeight="1">
      <c r="A34" s="651">
        <v>7</v>
      </c>
      <c r="B34" s="3578" t="s">
        <v>744</v>
      </c>
      <c r="C34" s="1189" t="s">
        <v>745</v>
      </c>
      <c r="D34" s="1190">
        <f>R.HN!D13</f>
        <v>4</v>
      </c>
      <c r="E34" s="3581" t="s">
        <v>432</v>
      </c>
      <c r="F34" s="653" t="s">
        <v>731</v>
      </c>
      <c r="G34" s="654">
        <v>50</v>
      </c>
      <c r="H34" s="655">
        <f>R.HN!C30</f>
        <v>0</v>
      </c>
      <c r="I34" s="311">
        <f>'R.GUI MAIL'!N11</f>
        <v>0</v>
      </c>
      <c r="J34" s="682"/>
      <c r="K34" s="658" t="s">
        <v>8</v>
      </c>
      <c r="L34" s="1187">
        <f>'R.GUI MAIL'!Q11</f>
        <v>0</v>
      </c>
      <c r="M34" s="659" t="s">
        <v>9</v>
      </c>
      <c r="N34" s="656">
        <f>R.HN!D30</f>
        <v>0</v>
      </c>
      <c r="O34" s="661"/>
      <c r="P34" s="661"/>
      <c r="Q34" s="662"/>
      <c r="R34" s="1186"/>
      <c r="S34" s="663"/>
      <c r="T34" s="656"/>
      <c r="U34" s="661"/>
      <c r="V34" s="661"/>
      <c r="W34" s="662"/>
      <c r="X34" s="1186"/>
      <c r="Y34" s="663"/>
    </row>
    <row r="35" spans="1:25" ht="30.75" hidden="1" customHeight="1">
      <c r="A35" s="651">
        <v>8</v>
      </c>
      <c r="B35" s="3579"/>
      <c r="C35" s="1191"/>
      <c r="D35" s="1192"/>
      <c r="E35" s="3581"/>
      <c r="F35" s="653" t="s">
        <v>727</v>
      </c>
      <c r="G35" s="665">
        <v>6</v>
      </c>
      <c r="H35" s="655">
        <f>R.HN!C31</f>
        <v>0</v>
      </c>
      <c r="I35" s="311">
        <f>'R.GUI MAIL'!N12</f>
        <v>0</v>
      </c>
      <c r="J35" s="657"/>
      <c r="K35" s="658" t="s">
        <v>8</v>
      </c>
      <c r="L35" s="1187">
        <f>'R.GUI MAIL'!Q12</f>
        <v>0</v>
      </c>
      <c r="M35" s="659" t="s">
        <v>9</v>
      </c>
      <c r="N35" s="656">
        <f>R.HN!D31</f>
        <v>0</v>
      </c>
      <c r="O35" s="661"/>
      <c r="P35" s="661"/>
      <c r="Q35" s="662"/>
      <c r="R35" s="1186"/>
      <c r="S35" s="663"/>
      <c r="T35" s="656"/>
      <c r="U35" s="661"/>
      <c r="V35" s="661"/>
      <c r="W35" s="662"/>
      <c r="X35" s="1186"/>
      <c r="Y35" s="663"/>
    </row>
    <row r="36" spans="1:25" ht="30.75" hidden="1" customHeight="1">
      <c r="A36" s="651">
        <v>9</v>
      </c>
      <c r="B36" s="3579"/>
      <c r="C36" s="1191"/>
      <c r="D36" s="1192"/>
      <c r="E36" s="3581"/>
      <c r="F36" s="653" t="s">
        <v>615</v>
      </c>
      <c r="G36" s="665">
        <v>0.4</v>
      </c>
      <c r="H36" s="655">
        <f>R.HN!C32</f>
        <v>0</v>
      </c>
      <c r="I36" s="432">
        <f>'R.GUI MAIL'!N13</f>
        <v>0</v>
      </c>
      <c r="J36" s="682"/>
      <c r="K36" s="658" t="s">
        <v>8</v>
      </c>
      <c r="L36" s="1187">
        <f>'R.GUI MAIL'!Q13</f>
        <v>0</v>
      </c>
      <c r="M36" s="659" t="s">
        <v>9</v>
      </c>
      <c r="N36" s="656">
        <f>R.HN!D32</f>
        <v>0</v>
      </c>
      <c r="O36" s="670"/>
      <c r="P36" s="670"/>
      <c r="Q36" s="671"/>
      <c r="R36" s="1186"/>
      <c r="S36" s="672"/>
      <c r="T36" s="669"/>
      <c r="U36" s="670"/>
      <c r="V36" s="670"/>
      <c r="W36" s="671"/>
      <c r="X36" s="1186"/>
      <c r="Y36" s="672"/>
    </row>
    <row r="37" spans="1:25" ht="30.75" customHeight="1">
      <c r="A37" s="651">
        <v>10</v>
      </c>
      <c r="B37" s="3575" t="s">
        <v>746</v>
      </c>
      <c r="C37" s="3576"/>
      <c r="D37" s="3577"/>
      <c r="E37" s="651" t="s">
        <v>432</v>
      </c>
      <c r="F37" s="673" t="s">
        <v>442</v>
      </c>
      <c r="G37" s="665">
        <v>2</v>
      </c>
      <c r="H37" s="655">
        <f>R.HN!C33</f>
        <v>0.9</v>
      </c>
      <c r="I37" s="311">
        <f>'R.GUI MAIL'!N14</f>
        <v>0</v>
      </c>
      <c r="J37" s="657"/>
      <c r="K37" s="658" t="s">
        <v>8</v>
      </c>
      <c r="L37" s="1195">
        <f>'R.GUI MAIL'!Q14</f>
        <v>0</v>
      </c>
      <c r="M37" s="659" t="s">
        <v>9</v>
      </c>
      <c r="N37" s="656">
        <f>R.HN!D33</f>
        <v>0.95</v>
      </c>
      <c r="O37" s="311">
        <f>'R.GUI MAIL'!N30</f>
        <v>0</v>
      </c>
      <c r="P37" s="657"/>
      <c r="Q37" s="658" t="s">
        <v>8</v>
      </c>
      <c r="R37" s="1187">
        <f>'R.GUI MAIL'!Q30</f>
        <v>0</v>
      </c>
      <c r="S37" s="659" t="s">
        <v>9</v>
      </c>
      <c r="T37" s="656"/>
      <c r="U37" s="311">
        <f>'R.GUI MAIL'!N46</f>
        <v>0.95</v>
      </c>
      <c r="V37" s="657"/>
      <c r="W37" s="658" t="s">
        <v>8</v>
      </c>
      <c r="X37" s="1187">
        <f>'R.GUI MAIL'!Q46</f>
        <v>6.1700000000000053E-2</v>
      </c>
      <c r="Y37" s="659" t="s">
        <v>9</v>
      </c>
    </row>
    <row r="38" spans="1:25" ht="30.75" customHeight="1">
      <c r="A38" s="651">
        <v>11</v>
      </c>
      <c r="B38" s="3590"/>
      <c r="C38" s="3591"/>
      <c r="D38" s="3592"/>
      <c r="E38" s="652" t="s">
        <v>5</v>
      </c>
      <c r="F38" s="1193" t="s">
        <v>621</v>
      </c>
      <c r="G38" s="684">
        <v>9</v>
      </c>
      <c r="H38" s="685">
        <f>R.HN!C34</f>
        <v>9</v>
      </c>
      <c r="I38" s="311">
        <f>'R.GUI MAIL'!N15</f>
        <v>0</v>
      </c>
      <c r="J38" s="687"/>
      <c r="K38" s="688"/>
      <c r="L38" s="1196"/>
      <c r="M38" s="689"/>
      <c r="N38" s="686">
        <f>R.HN!D34</f>
        <v>10</v>
      </c>
      <c r="O38" s="311">
        <f>'R.GUI MAIL'!N31</f>
        <v>0</v>
      </c>
      <c r="P38" s="687"/>
      <c r="Q38" s="688"/>
      <c r="R38" s="1196"/>
      <c r="S38" s="689"/>
      <c r="T38" s="686"/>
      <c r="U38" s="311">
        <f>'R.GUI MAIL'!N47</f>
        <v>10</v>
      </c>
      <c r="V38" s="687"/>
      <c r="W38" s="688"/>
      <c r="X38" s="1187"/>
      <c r="Y38" s="689"/>
    </row>
    <row r="39" spans="1:25" ht="30.75" customHeight="1">
      <c r="A39" s="675"/>
      <c r="B39" s="1936"/>
      <c r="C39" s="676"/>
      <c r="D39" s="676"/>
      <c r="E39" s="676" t="s">
        <v>2</v>
      </c>
      <c r="F39" s="676"/>
      <c r="G39" s="676"/>
      <c r="H39" s="676"/>
      <c r="I39" s="676"/>
      <c r="J39" s="676"/>
      <c r="K39" s="676"/>
      <c r="L39" s="676"/>
      <c r="M39" s="676"/>
      <c r="N39" s="676"/>
      <c r="O39" s="676"/>
      <c r="P39" s="676"/>
      <c r="Q39" s="676"/>
      <c r="R39" s="676"/>
      <c r="S39" s="676"/>
      <c r="T39" s="676"/>
      <c r="U39" s="676"/>
      <c r="V39" s="676"/>
      <c r="W39" s="676"/>
      <c r="X39" s="676"/>
      <c r="Y39" s="1194"/>
    </row>
    <row r="40" spans="1:25" ht="30.75" customHeight="1">
      <c r="A40" s="677" t="s">
        <v>55</v>
      </c>
      <c r="B40" s="3572" t="s">
        <v>747</v>
      </c>
      <c r="C40" s="3573"/>
      <c r="D40" s="3574"/>
      <c r="E40" s="678" t="s">
        <v>748</v>
      </c>
      <c r="F40" s="678" t="s">
        <v>749</v>
      </c>
      <c r="G40" s="679" t="s">
        <v>740</v>
      </c>
      <c r="H40" s="680"/>
      <c r="I40" s="3582" t="s">
        <v>46</v>
      </c>
      <c r="J40" s="3583"/>
      <c r="K40" s="3583"/>
      <c r="L40" s="3584" t="s">
        <v>63</v>
      </c>
      <c r="M40" s="3585"/>
      <c r="N40" s="645"/>
      <c r="O40" s="3582" t="s">
        <v>46</v>
      </c>
      <c r="P40" s="3583"/>
      <c r="Q40" s="3583"/>
      <c r="R40" s="3584" t="s">
        <v>63</v>
      </c>
      <c r="S40" s="3585"/>
      <c r="T40" s="645"/>
      <c r="U40" s="3582" t="s">
        <v>46</v>
      </c>
      <c r="V40" s="3583"/>
      <c r="W40" s="3583"/>
      <c r="X40" s="3584" t="s">
        <v>63</v>
      </c>
      <c r="Y40" s="3585"/>
    </row>
    <row r="41" spans="1:25" ht="30.75" customHeight="1">
      <c r="A41" s="677">
        <v>1</v>
      </c>
      <c r="B41" s="3572" t="s">
        <v>750</v>
      </c>
      <c r="C41" s="3573"/>
      <c r="D41" s="3574"/>
      <c r="E41" s="681" t="s">
        <v>751</v>
      </c>
      <c r="F41" s="673" t="s">
        <v>1121</v>
      </c>
      <c r="G41" s="679"/>
      <c r="H41" s="680"/>
      <c r="I41" s="1582"/>
      <c r="J41" s="1583"/>
      <c r="K41" s="1583"/>
      <c r="L41" s="1584"/>
      <c r="M41" s="1585"/>
      <c r="N41" s="1586"/>
      <c r="O41" s="3522">
        <f>'R.GUI MAIL'!N34</f>
        <v>0</v>
      </c>
      <c r="P41" s="3522"/>
      <c r="Q41" s="3522"/>
      <c r="R41" s="3522">
        <f>'R.GUI MAIL'!Q34</f>
        <v>0</v>
      </c>
      <c r="S41" s="3522"/>
      <c r="T41" s="3522"/>
      <c r="U41" s="3522">
        <f>'R.GUI MAIL'!N50</f>
        <v>0</v>
      </c>
      <c r="V41" s="3522"/>
      <c r="W41" s="3522"/>
      <c r="X41" s="3522">
        <f>'R.GUI MAIL'!Q50</f>
        <v>60</v>
      </c>
      <c r="Y41" s="3522"/>
    </row>
    <row r="42" spans="1:25" ht="30.75" customHeight="1">
      <c r="A42" s="677">
        <v>2</v>
      </c>
      <c r="B42" s="3572" t="s">
        <v>752</v>
      </c>
      <c r="C42" s="3573"/>
      <c r="D42" s="3574"/>
      <c r="E42" s="681" t="s">
        <v>751</v>
      </c>
      <c r="F42" s="673" t="s">
        <v>753</v>
      </c>
      <c r="G42" s="682" t="e">
        <f>'[7]file goc'!G91</f>
        <v>#REF!</v>
      </c>
      <c r="H42" s="682"/>
      <c r="I42" s="3523">
        <f>'R.GUI MAIL'!N18</f>
        <v>0</v>
      </c>
      <c r="J42" s="3524"/>
      <c r="K42" s="3524"/>
      <c r="L42" s="3523">
        <f>'R.GUI MAIL'!Q18</f>
        <v>0</v>
      </c>
      <c r="M42" s="3524"/>
      <c r="N42" s="1541"/>
      <c r="O42" s="3523">
        <f>'R.GUI MAIL'!N35</f>
        <v>0</v>
      </c>
      <c r="P42" s="3524"/>
      <c r="Q42" s="3524"/>
      <c r="R42" s="3523">
        <f>'R.GUI MAIL'!Q35</f>
        <v>0</v>
      </c>
      <c r="S42" s="3525"/>
      <c r="T42" s="1586"/>
      <c r="U42" s="3523">
        <f>'R.GUI MAIL'!N51</f>
        <v>0</v>
      </c>
      <c r="V42" s="3524"/>
      <c r="W42" s="3525"/>
      <c r="X42" s="3523">
        <f>'R.GUI MAIL'!Q51</f>
        <v>69</v>
      </c>
      <c r="Y42" s="3525"/>
    </row>
    <row r="43" spans="1:25" ht="30.75" hidden="1" customHeight="1">
      <c r="A43" s="677">
        <v>3</v>
      </c>
      <c r="B43" s="3572" t="s">
        <v>754</v>
      </c>
      <c r="C43" s="3573"/>
      <c r="D43" s="3574"/>
      <c r="E43" s="681" t="s">
        <v>751</v>
      </c>
      <c r="F43" s="673" t="s">
        <v>753</v>
      </c>
      <c r="G43" s="683" t="str">
        <f>'[7]file goc'!G92</f>
        <v>7:00</v>
      </c>
      <c r="H43" s="682"/>
      <c r="I43" s="3523">
        <f>'R.GUI MAIL'!N19</f>
        <v>0</v>
      </c>
      <c r="J43" s="3524"/>
      <c r="K43" s="3524"/>
      <c r="L43" s="3523">
        <f>'R.GUI MAIL'!Q19</f>
        <v>0</v>
      </c>
      <c r="M43" s="3525"/>
      <c r="N43" s="1586"/>
      <c r="O43" s="1587"/>
      <c r="P43" s="1588"/>
      <c r="Q43" s="1588"/>
      <c r="R43" s="1589"/>
      <c r="S43" s="1590"/>
      <c r="T43" s="1586"/>
      <c r="U43" s="1591"/>
      <c r="V43" s="1591"/>
      <c r="W43" s="1591"/>
      <c r="X43" s="1591"/>
      <c r="Y43" s="1591"/>
    </row>
    <row r="44" spans="1:25" ht="30.75" customHeight="1">
      <c r="A44" s="677">
        <v>6</v>
      </c>
      <c r="B44" s="3572" t="s">
        <v>755</v>
      </c>
      <c r="C44" s="3573"/>
      <c r="D44" s="3574"/>
      <c r="E44" s="681" t="s">
        <v>751</v>
      </c>
      <c r="F44" s="673" t="s">
        <v>756</v>
      </c>
      <c r="G44" s="683">
        <f>'[7]file goc'!G95</f>
        <v>0</v>
      </c>
      <c r="H44" s="682"/>
      <c r="I44" s="3523">
        <f>'R.GUI MAIL'!N20</f>
        <v>0</v>
      </c>
      <c r="J44" s="3524"/>
      <c r="K44" s="3524"/>
      <c r="L44" s="3523">
        <f>'R.GUI MAIL'!Q20</f>
        <v>0</v>
      </c>
      <c r="M44" s="3525"/>
      <c r="N44" s="1586"/>
      <c r="O44" s="3523">
        <f>'R.GUI MAIL'!N36</f>
        <v>0</v>
      </c>
      <c r="P44" s="3524"/>
      <c r="Q44" s="3524"/>
      <c r="R44" s="3523">
        <f>'R.GUI MAIL'!Q36</f>
        <v>0</v>
      </c>
      <c r="S44" s="3525"/>
      <c r="T44" s="1586"/>
      <c r="U44" s="3523">
        <f>'R.GUI MAIL'!N52</f>
        <v>0</v>
      </c>
      <c r="V44" s="3524"/>
      <c r="W44" s="3525"/>
      <c r="X44" s="3523">
        <f>'R.GUI MAIL'!Q52</f>
        <v>79</v>
      </c>
      <c r="Y44" s="3525"/>
    </row>
    <row r="45" spans="1:25" s="642" customFormat="1" ht="30.75" customHeight="1">
      <c r="A45" s="3596" t="s">
        <v>1490</v>
      </c>
      <c r="B45" s="3597"/>
      <c r="C45" s="3569" t="str">
        <f>MENU!$AC$9</f>
        <v>Thứ 3,</v>
      </c>
      <c r="D45" s="3569"/>
      <c r="E45" s="3570" t="str">
        <f>MENU!$AD$9</f>
        <v>2024/01/09</v>
      </c>
      <c r="F45" s="3571"/>
      <c r="G45" s="3571"/>
      <c r="H45" s="3571"/>
      <c r="I45" s="2143" t="s">
        <v>736</v>
      </c>
      <c r="J45" s="2143"/>
      <c r="K45" s="2143"/>
      <c r="L45" s="2143"/>
      <c r="M45" s="2143"/>
      <c r="N45" s="2143"/>
      <c r="O45" s="2143"/>
      <c r="P45" s="2143"/>
      <c r="Q45" s="2143"/>
      <c r="R45" s="2143"/>
      <c r="S45" s="2143"/>
      <c r="T45" s="2143"/>
      <c r="U45" s="2143"/>
      <c r="V45" s="2143"/>
      <c r="W45" s="2143"/>
      <c r="X45" s="2143"/>
      <c r="Y45" s="2144"/>
    </row>
    <row r="46" spans="1:25" ht="30.75" customHeight="1">
      <c r="A46" s="3553" t="s">
        <v>7</v>
      </c>
      <c r="B46" s="2980" t="s">
        <v>737</v>
      </c>
      <c r="C46" s="2981"/>
      <c r="D46" s="3556"/>
      <c r="E46" s="3561" t="s">
        <v>738</v>
      </c>
      <c r="F46" s="3564" t="s">
        <v>739</v>
      </c>
      <c r="G46" s="643"/>
      <c r="H46" s="644"/>
      <c r="I46" s="3567" t="s">
        <v>740</v>
      </c>
      <c r="J46" s="3568"/>
      <c r="K46" s="3568"/>
      <c r="L46" s="3568"/>
      <c r="M46" s="3568"/>
      <c r="N46" s="645"/>
      <c r="O46" s="3567" t="s">
        <v>1307</v>
      </c>
      <c r="P46" s="3568"/>
      <c r="Q46" s="3568"/>
      <c r="R46" s="3568"/>
      <c r="S46" s="3568"/>
      <c r="T46" s="645"/>
      <c r="U46" s="3567" t="s">
        <v>1308</v>
      </c>
      <c r="V46" s="3568"/>
      <c r="W46" s="3568"/>
      <c r="X46" s="3568"/>
      <c r="Y46" s="3568"/>
    </row>
    <row r="47" spans="1:25" ht="30.75" customHeight="1">
      <c r="A47" s="3554"/>
      <c r="B47" s="3557"/>
      <c r="C47" s="3558"/>
      <c r="D47" s="3559"/>
      <c r="E47" s="3562"/>
      <c r="F47" s="3565"/>
      <c r="G47" s="646" t="s">
        <v>423</v>
      </c>
      <c r="H47" s="647"/>
      <c r="I47" s="3544" t="s">
        <v>741</v>
      </c>
      <c r="J47" s="649" t="s">
        <v>742</v>
      </c>
      <c r="K47" s="3546" t="s">
        <v>1</v>
      </c>
      <c r="L47" s="3546"/>
      <c r="M47" s="3547"/>
      <c r="N47" s="648"/>
      <c r="O47" s="3544" t="s">
        <v>741</v>
      </c>
      <c r="P47" s="649" t="s">
        <v>742</v>
      </c>
      <c r="Q47" s="3546" t="s">
        <v>1</v>
      </c>
      <c r="R47" s="3546"/>
      <c r="S47" s="3547"/>
      <c r="T47" s="647"/>
      <c r="U47" s="3544" t="s">
        <v>741</v>
      </c>
      <c r="V47" s="649" t="s">
        <v>742</v>
      </c>
      <c r="W47" s="3546" t="s">
        <v>1</v>
      </c>
      <c r="X47" s="3546"/>
      <c r="Y47" s="3547"/>
    </row>
    <row r="48" spans="1:25" ht="30.75" customHeight="1">
      <c r="A48" s="3555"/>
      <c r="B48" s="2982"/>
      <c r="C48" s="2983"/>
      <c r="D48" s="3560"/>
      <c r="E48" s="3563"/>
      <c r="F48" s="3566"/>
      <c r="G48" s="646"/>
      <c r="H48" s="647"/>
      <c r="I48" s="3545"/>
      <c r="J48" s="650"/>
      <c r="K48" s="3548"/>
      <c r="L48" s="3548"/>
      <c r="M48" s="3549"/>
      <c r="N48" s="648"/>
      <c r="O48" s="3545"/>
      <c r="P48" s="650"/>
      <c r="Q48" s="3548"/>
      <c r="R48" s="3548"/>
      <c r="S48" s="3549"/>
      <c r="T48" s="647"/>
      <c r="U48" s="3545"/>
      <c r="V48" s="650"/>
      <c r="W48" s="3548"/>
      <c r="X48" s="3548"/>
      <c r="Y48" s="3549"/>
    </row>
    <row r="49" spans="1:25" ht="30.75" customHeight="1">
      <c r="A49" s="651">
        <v>1</v>
      </c>
      <c r="B49" s="3572" t="s">
        <v>743</v>
      </c>
      <c r="C49" s="3573"/>
      <c r="D49" s="3574"/>
      <c r="E49" s="652" t="s">
        <v>432</v>
      </c>
      <c r="F49" s="653" t="s">
        <v>729</v>
      </c>
      <c r="G49" s="654">
        <v>40</v>
      </c>
      <c r="H49" s="655">
        <f>R.HN!C52</f>
        <v>1.7</v>
      </c>
      <c r="I49" s="661"/>
      <c r="J49" s="661"/>
      <c r="K49" s="662"/>
      <c r="L49" s="1186"/>
      <c r="M49" s="663"/>
      <c r="N49" s="656">
        <f>R.HN!D52</f>
        <v>1.58</v>
      </c>
      <c r="O49" s="311">
        <f>'R.GUI MAIL'!T25</f>
        <v>0</v>
      </c>
      <c r="P49" s="657"/>
      <c r="Q49" s="658" t="s">
        <v>8</v>
      </c>
      <c r="R49" s="1187">
        <f>'R.GUI MAIL'!W25</f>
        <v>0</v>
      </c>
      <c r="S49" s="659" t="s">
        <v>9</v>
      </c>
      <c r="T49" s="656"/>
      <c r="U49" s="311">
        <f>'R.GUI MAIL'!T41</f>
        <v>46</v>
      </c>
      <c r="V49" s="657"/>
      <c r="W49" s="658" t="s">
        <v>8</v>
      </c>
      <c r="X49" s="1188">
        <f>'R.GUI MAIL'!W41</f>
        <v>0</v>
      </c>
      <c r="Y49" s="659" t="s">
        <v>9</v>
      </c>
    </row>
    <row r="50" spans="1:25" ht="30.75" customHeight="1">
      <c r="A50" s="651">
        <v>2</v>
      </c>
      <c r="B50" s="3572" t="s">
        <v>426</v>
      </c>
      <c r="C50" s="3573"/>
      <c r="D50" s="3574"/>
      <c r="E50" s="660" t="s">
        <v>3</v>
      </c>
      <c r="F50" s="653" t="s">
        <v>427</v>
      </c>
      <c r="G50" s="654">
        <v>22</v>
      </c>
      <c r="H50" s="655">
        <f>R.HN!C53</f>
        <v>3.35</v>
      </c>
      <c r="I50" s="311">
        <f>'R.GUI MAIL'!T6</f>
        <v>0</v>
      </c>
      <c r="J50" s="657"/>
      <c r="K50" s="658" t="s">
        <v>8</v>
      </c>
      <c r="L50" s="1187">
        <f>'R.GUI MAIL'!W6</f>
        <v>0</v>
      </c>
      <c r="M50" s="659" t="s">
        <v>10</v>
      </c>
      <c r="N50" s="656">
        <f>R.HN!D53</f>
        <v>3.5</v>
      </c>
      <c r="O50" s="311">
        <f>'R.GUI MAIL'!T26</f>
        <v>0</v>
      </c>
      <c r="P50" s="657"/>
      <c r="Q50" s="658" t="s">
        <v>8</v>
      </c>
      <c r="R50" s="1187">
        <f>'R.GUI MAIL'!W26</f>
        <v>0</v>
      </c>
      <c r="S50" s="659" t="s">
        <v>10</v>
      </c>
      <c r="T50" s="656"/>
      <c r="U50" s="311">
        <f>'R.GUI MAIL'!T42</f>
        <v>10.219999999999999</v>
      </c>
      <c r="V50" s="657"/>
      <c r="W50" s="658" t="s">
        <v>8</v>
      </c>
      <c r="X50" s="1187">
        <f>'R.GUI MAIL'!W42</f>
        <v>185.6062500000001</v>
      </c>
      <c r="Y50" s="659" t="s">
        <v>10</v>
      </c>
    </row>
    <row r="51" spans="1:25" ht="30.75" hidden="1" customHeight="1">
      <c r="A51" s="651">
        <v>3</v>
      </c>
      <c r="B51" s="3575" t="s">
        <v>392</v>
      </c>
      <c r="C51" s="3576"/>
      <c r="D51" s="3577"/>
      <c r="E51" s="660" t="s">
        <v>3</v>
      </c>
      <c r="F51" s="653" t="s">
        <v>427</v>
      </c>
      <c r="G51" s="654"/>
      <c r="H51" s="655"/>
      <c r="I51" s="1143">
        <f>'R.GUI MAIL'!T7</f>
        <v>0</v>
      </c>
      <c r="J51" s="657"/>
      <c r="K51" s="658" t="s">
        <v>8</v>
      </c>
      <c r="L51" s="1187">
        <f>'R.GUI MAIL'!W7</f>
        <v>292.1875</v>
      </c>
      <c r="M51" s="659" t="s">
        <v>10</v>
      </c>
      <c r="N51" s="656"/>
      <c r="O51" s="661"/>
      <c r="P51" s="661"/>
      <c r="Q51" s="662"/>
      <c r="R51" s="1186"/>
      <c r="S51" s="663"/>
      <c r="T51" s="664"/>
      <c r="U51" s="1143">
        <f>'R.GUI MAIL'!T42</f>
        <v>10.219999999999999</v>
      </c>
      <c r="V51" s="657"/>
      <c r="W51" s="658" t="s">
        <v>8</v>
      </c>
      <c r="X51" s="1187">
        <f>'R.GUI MAIL'!W42</f>
        <v>185.6062500000001</v>
      </c>
      <c r="Y51" s="659" t="s">
        <v>10</v>
      </c>
    </row>
    <row r="52" spans="1:25" ht="30.75" customHeight="1">
      <c r="A52" s="651">
        <v>4</v>
      </c>
      <c r="B52" s="3578" t="s">
        <v>744</v>
      </c>
      <c r="C52" s="1189" t="s">
        <v>745</v>
      </c>
      <c r="D52" s="1190">
        <f>R.HN!E12</f>
        <v>3</v>
      </c>
      <c r="E52" s="3581" t="s">
        <v>432</v>
      </c>
      <c r="F52" s="653" t="s">
        <v>731</v>
      </c>
      <c r="G52" s="654">
        <v>50</v>
      </c>
      <c r="H52" s="655">
        <f>R.HN!C54</f>
        <v>11.6</v>
      </c>
      <c r="I52" s="311">
        <f>'R.GUI MAIL'!T8</f>
        <v>0</v>
      </c>
      <c r="J52" s="657"/>
      <c r="K52" s="658" t="s">
        <v>8</v>
      </c>
      <c r="L52" s="1187">
        <f>'R.GUI MAIL'!W8</f>
        <v>0</v>
      </c>
      <c r="M52" s="659" t="s">
        <v>9</v>
      </c>
      <c r="N52" s="656">
        <f>R.HN!D54</f>
        <v>12.3</v>
      </c>
      <c r="O52" s="311">
        <f>'R.GUI MAIL'!T27</f>
        <v>0</v>
      </c>
      <c r="P52" s="657"/>
      <c r="Q52" s="658" t="s">
        <v>8</v>
      </c>
      <c r="R52" s="1187">
        <f>'R.GUI MAIL'!W27</f>
        <v>0</v>
      </c>
      <c r="S52" s="659" t="s">
        <v>9</v>
      </c>
      <c r="T52" s="656"/>
      <c r="U52" s="311">
        <f>'R.GUI MAIL'!T43</f>
        <v>51</v>
      </c>
      <c r="V52" s="657"/>
      <c r="W52" s="658" t="s">
        <v>8</v>
      </c>
      <c r="X52" s="1187">
        <f>'R.GUI MAIL'!W43</f>
        <v>0</v>
      </c>
      <c r="Y52" s="659" t="s">
        <v>9</v>
      </c>
    </row>
    <row r="53" spans="1:25" ht="30.75" customHeight="1">
      <c r="A53" s="651">
        <v>5</v>
      </c>
      <c r="B53" s="3579"/>
      <c r="C53" s="1191"/>
      <c r="D53" s="1192"/>
      <c r="E53" s="3581"/>
      <c r="F53" s="653" t="s">
        <v>727</v>
      </c>
      <c r="G53" s="665">
        <v>6</v>
      </c>
      <c r="H53" s="655">
        <f>R.HN!C55</f>
        <v>8.1999999999999993</v>
      </c>
      <c r="I53" s="311">
        <f>'R.GUI MAIL'!T9</f>
        <v>0</v>
      </c>
      <c r="J53" s="657"/>
      <c r="K53" s="658" t="s">
        <v>8</v>
      </c>
      <c r="L53" s="1187">
        <f>'R.GUI MAIL'!W9</f>
        <v>0</v>
      </c>
      <c r="M53" s="659" t="s">
        <v>9</v>
      </c>
      <c r="N53" s="656">
        <f>R.HN!D55</f>
        <v>8.1</v>
      </c>
      <c r="O53" s="311">
        <f>'R.GUI MAIL'!T28</f>
        <v>0</v>
      </c>
      <c r="P53" s="657"/>
      <c r="Q53" s="658"/>
      <c r="R53" s="1187">
        <f>'R.GUI MAIL'!W28</f>
        <v>0</v>
      </c>
      <c r="S53" s="659" t="s">
        <v>9</v>
      </c>
      <c r="T53" s="656"/>
      <c r="U53" s="311">
        <f>'R.GUI MAIL'!T44</f>
        <v>10.199999999999999</v>
      </c>
      <c r="V53" s="657"/>
      <c r="W53" s="658"/>
      <c r="X53" s="1187">
        <f>'R.GUI MAIL'!W44</f>
        <v>0</v>
      </c>
      <c r="Y53" s="659" t="s">
        <v>9</v>
      </c>
    </row>
    <row r="54" spans="1:25" ht="30.75" customHeight="1">
      <c r="A54" s="651">
        <v>6</v>
      </c>
      <c r="B54" s="3579"/>
      <c r="C54" s="1191"/>
      <c r="D54" s="1192"/>
      <c r="E54" s="3581"/>
      <c r="F54" s="653" t="s">
        <v>615</v>
      </c>
      <c r="G54" s="665">
        <v>0.4</v>
      </c>
      <c r="H54" s="655">
        <f>R.HN!C56</f>
        <v>11.2</v>
      </c>
      <c r="I54" s="432">
        <f>'R.GUI MAIL'!T10</f>
        <v>0</v>
      </c>
      <c r="J54" s="657"/>
      <c r="K54" s="658" t="s">
        <v>8</v>
      </c>
      <c r="L54" s="1187">
        <f>'R.GUI MAIL'!W10</f>
        <v>0</v>
      </c>
      <c r="M54" s="659" t="s">
        <v>9</v>
      </c>
      <c r="N54" s="656">
        <f>R.HN!D56</f>
        <v>11.6</v>
      </c>
      <c r="O54" s="432">
        <f>'R.GUI MAIL'!T29</f>
        <v>0</v>
      </c>
      <c r="P54" s="666"/>
      <c r="Q54" s="667"/>
      <c r="R54" s="1187">
        <f>'R.GUI MAIL'!W29</f>
        <v>0</v>
      </c>
      <c r="S54" s="668" t="s">
        <v>9</v>
      </c>
      <c r="T54" s="669"/>
      <c r="U54" s="432">
        <f>'R.GUI MAIL'!T45</f>
        <v>0.72</v>
      </c>
      <c r="V54" s="657"/>
      <c r="W54" s="658"/>
      <c r="X54" s="1187">
        <f>'R.GUI MAIL'!W45</f>
        <v>0</v>
      </c>
      <c r="Y54" s="659" t="s">
        <v>9</v>
      </c>
    </row>
    <row r="55" spans="1:25" ht="30.75" hidden="1" customHeight="1">
      <c r="A55" s="651">
        <v>7</v>
      </c>
      <c r="B55" s="3578" t="s">
        <v>744</v>
      </c>
      <c r="C55" s="1189" t="s">
        <v>745</v>
      </c>
      <c r="D55" s="1190">
        <f>R.HN!E13</f>
        <v>4</v>
      </c>
      <c r="E55" s="3581" t="s">
        <v>432</v>
      </c>
      <c r="F55" s="653" t="s">
        <v>731</v>
      </c>
      <c r="G55" s="654">
        <v>50</v>
      </c>
      <c r="H55" s="655">
        <f>R.HN!C57</f>
        <v>8</v>
      </c>
      <c r="I55" s="311">
        <f>'R.GUI MAIL'!T11</f>
        <v>0</v>
      </c>
      <c r="J55" s="682"/>
      <c r="K55" s="658" t="s">
        <v>8</v>
      </c>
      <c r="L55" s="1187">
        <f>'R.GUI MAIL'!W11</f>
        <v>0</v>
      </c>
      <c r="M55" s="659" t="s">
        <v>9</v>
      </c>
      <c r="N55" s="656">
        <f>R.HN!D57</f>
        <v>7.6</v>
      </c>
      <c r="O55" s="661"/>
      <c r="P55" s="661"/>
      <c r="Q55" s="662"/>
      <c r="R55" s="1186"/>
      <c r="S55" s="663"/>
      <c r="T55" s="656"/>
      <c r="U55" s="661"/>
      <c r="V55" s="661"/>
      <c r="W55" s="662"/>
      <c r="X55" s="1186"/>
      <c r="Y55" s="663"/>
    </row>
    <row r="56" spans="1:25" ht="30.75" hidden="1" customHeight="1">
      <c r="A56" s="651">
        <v>8</v>
      </c>
      <c r="B56" s="3579"/>
      <c r="C56" s="1191"/>
      <c r="D56" s="1192"/>
      <c r="E56" s="3581"/>
      <c r="F56" s="653" t="s">
        <v>727</v>
      </c>
      <c r="G56" s="665">
        <v>6</v>
      </c>
      <c r="H56" s="655">
        <f>R.HN!C58</f>
        <v>10.3</v>
      </c>
      <c r="I56" s="311">
        <f>'R.GUI MAIL'!T12</f>
        <v>0</v>
      </c>
      <c r="J56" s="657"/>
      <c r="K56" s="658" t="s">
        <v>8</v>
      </c>
      <c r="L56" s="1187">
        <f>'R.GUI MAIL'!W12</f>
        <v>0</v>
      </c>
      <c r="M56" s="659" t="s">
        <v>9</v>
      </c>
      <c r="N56" s="656">
        <f>R.HN!D58</f>
        <v>10.5</v>
      </c>
      <c r="O56" s="661"/>
      <c r="P56" s="661"/>
      <c r="Q56" s="662"/>
      <c r="R56" s="1186"/>
      <c r="S56" s="663"/>
      <c r="T56" s="656"/>
      <c r="U56" s="661"/>
      <c r="V56" s="661"/>
      <c r="W56" s="662"/>
      <c r="X56" s="1186"/>
      <c r="Y56" s="663"/>
    </row>
    <row r="57" spans="1:25" ht="30.75" hidden="1" customHeight="1">
      <c r="A57" s="651">
        <v>9</v>
      </c>
      <c r="B57" s="3579"/>
      <c r="C57" s="1191"/>
      <c r="D57" s="1192"/>
      <c r="E57" s="3581"/>
      <c r="F57" s="653" t="s">
        <v>615</v>
      </c>
      <c r="G57" s="665">
        <v>0.4</v>
      </c>
      <c r="H57" s="655">
        <f>R.HN!C59</f>
        <v>6.4</v>
      </c>
      <c r="I57" s="432">
        <f>'R.GUI MAIL'!T13</f>
        <v>0</v>
      </c>
      <c r="J57" s="682"/>
      <c r="K57" s="658" t="s">
        <v>8</v>
      </c>
      <c r="L57" s="1187">
        <f>'R.GUI MAIL'!W13</f>
        <v>0</v>
      </c>
      <c r="M57" s="659" t="s">
        <v>9</v>
      </c>
      <c r="N57" s="656">
        <f>R.HN!D59</f>
        <v>7.2</v>
      </c>
      <c r="O57" s="670"/>
      <c r="P57" s="670"/>
      <c r="Q57" s="671"/>
      <c r="R57" s="1186"/>
      <c r="S57" s="672"/>
      <c r="T57" s="669"/>
      <c r="U57" s="670"/>
      <c r="V57" s="670"/>
      <c r="W57" s="671"/>
      <c r="X57" s="1186"/>
      <c r="Y57" s="672"/>
    </row>
    <row r="58" spans="1:25" ht="30.75" customHeight="1">
      <c r="A58" s="651">
        <v>10</v>
      </c>
      <c r="B58" s="3575" t="s">
        <v>746</v>
      </c>
      <c r="C58" s="3576"/>
      <c r="D58" s="3577"/>
      <c r="E58" s="651" t="s">
        <v>432</v>
      </c>
      <c r="F58" s="673" t="s">
        <v>442</v>
      </c>
      <c r="G58" s="665">
        <v>2</v>
      </c>
      <c r="H58" s="655">
        <f>R.HN!C41</f>
        <v>9.6</v>
      </c>
      <c r="I58" s="311">
        <f>'R.GUI MAIL'!T14</f>
        <v>0</v>
      </c>
      <c r="J58" s="657"/>
      <c r="K58" s="658" t="s">
        <v>8</v>
      </c>
      <c r="L58" s="1195">
        <f>'R.GUI MAIL'!W14</f>
        <v>0</v>
      </c>
      <c r="M58" s="659" t="s">
        <v>9</v>
      </c>
      <c r="N58" s="656">
        <f>R.HN!D41</f>
        <v>9.6999999999999993</v>
      </c>
      <c r="O58" s="311">
        <f>'R.GUI MAIL'!T30</f>
        <v>0</v>
      </c>
      <c r="P58" s="657"/>
      <c r="Q58" s="658" t="s">
        <v>8</v>
      </c>
      <c r="R58" s="1187">
        <f>'R.GUI MAIL'!W30</f>
        <v>0</v>
      </c>
      <c r="S58" s="659" t="s">
        <v>9</v>
      </c>
      <c r="T58" s="656"/>
      <c r="U58" s="311">
        <f>'R.GUI MAIL'!T46</f>
        <v>0.9</v>
      </c>
      <c r="V58" s="657"/>
      <c r="W58" s="658" t="s">
        <v>8</v>
      </c>
      <c r="X58" s="1187">
        <f>'R.GUI MAIL'!W46</f>
        <v>0.12339999999999998</v>
      </c>
      <c r="Y58" s="659" t="s">
        <v>9</v>
      </c>
    </row>
    <row r="59" spans="1:25" ht="30.75" customHeight="1">
      <c r="A59" s="651">
        <v>11</v>
      </c>
      <c r="B59" s="3590"/>
      <c r="C59" s="3591"/>
      <c r="D59" s="3592"/>
      <c r="E59" s="651" t="s">
        <v>5</v>
      </c>
      <c r="F59" s="1193" t="s">
        <v>621</v>
      </c>
      <c r="G59" s="674">
        <v>9</v>
      </c>
      <c r="H59" s="655">
        <f>R.HN!C42</f>
        <v>0</v>
      </c>
      <c r="I59" s="311">
        <f>'R.GUI MAIL'!T15</f>
        <v>0</v>
      </c>
      <c r="J59" s="657"/>
      <c r="K59" s="658"/>
      <c r="L59" s="1187"/>
      <c r="M59" s="659"/>
      <c r="N59" s="656">
        <f>R.HN!D42</f>
        <v>0</v>
      </c>
      <c r="O59" s="311">
        <f>'R.GUI MAIL'!T31</f>
        <v>0</v>
      </c>
      <c r="P59" s="657"/>
      <c r="Q59" s="658"/>
      <c r="R59" s="1187"/>
      <c r="S59" s="659"/>
      <c r="T59" s="656"/>
      <c r="U59" s="311">
        <f>'R.GUI MAIL'!T47</f>
        <v>10</v>
      </c>
      <c r="V59" s="657"/>
      <c r="W59" s="658"/>
      <c r="X59" s="1187"/>
      <c r="Y59" s="659"/>
    </row>
    <row r="60" spans="1:25" ht="30.75" customHeight="1">
      <c r="A60" s="675"/>
      <c r="B60" s="1936"/>
      <c r="C60" s="676"/>
      <c r="D60" s="676"/>
      <c r="E60" s="676" t="s">
        <v>2</v>
      </c>
      <c r="F60" s="676"/>
      <c r="G60" s="676"/>
      <c r="H60" s="676"/>
      <c r="I60" s="676"/>
      <c r="J60" s="676"/>
      <c r="K60" s="676"/>
      <c r="L60" s="676"/>
      <c r="M60" s="676"/>
      <c r="N60" s="676"/>
      <c r="O60" s="676"/>
      <c r="P60" s="676"/>
      <c r="Q60" s="676"/>
      <c r="R60" s="676"/>
      <c r="S60" s="676"/>
      <c r="T60" s="676"/>
      <c r="U60" s="676"/>
      <c r="V60" s="676"/>
      <c r="W60" s="676"/>
      <c r="X60" s="676"/>
      <c r="Y60" s="1194"/>
    </row>
    <row r="61" spans="1:25" ht="30.75" customHeight="1">
      <c r="A61" s="677" t="s">
        <v>55</v>
      </c>
      <c r="B61" s="3572" t="s">
        <v>747</v>
      </c>
      <c r="C61" s="3573"/>
      <c r="D61" s="3574"/>
      <c r="E61" s="678" t="s">
        <v>748</v>
      </c>
      <c r="F61" s="678" t="s">
        <v>749</v>
      </c>
      <c r="G61" s="679" t="s">
        <v>740</v>
      </c>
      <c r="H61" s="680"/>
      <c r="I61" s="3582" t="s">
        <v>46</v>
      </c>
      <c r="J61" s="3583"/>
      <c r="K61" s="3583"/>
      <c r="L61" s="3584" t="s">
        <v>63</v>
      </c>
      <c r="M61" s="3585"/>
      <c r="N61" s="645"/>
      <c r="O61" s="3582" t="s">
        <v>46</v>
      </c>
      <c r="P61" s="3583"/>
      <c r="Q61" s="3583"/>
      <c r="R61" s="3584" t="s">
        <v>63</v>
      </c>
      <c r="S61" s="3585"/>
      <c r="T61" s="645"/>
      <c r="U61" s="3582" t="s">
        <v>46</v>
      </c>
      <c r="V61" s="3583"/>
      <c r="W61" s="3583"/>
      <c r="X61" s="3584" t="s">
        <v>63</v>
      </c>
      <c r="Y61" s="3585"/>
    </row>
    <row r="62" spans="1:25" ht="30.75" customHeight="1">
      <c r="A62" s="677">
        <v>1</v>
      </c>
      <c r="B62" s="3572" t="s">
        <v>750</v>
      </c>
      <c r="C62" s="3573"/>
      <c r="D62" s="3574"/>
      <c r="E62" s="681" t="s">
        <v>751</v>
      </c>
      <c r="F62" s="673" t="s">
        <v>1121</v>
      </c>
      <c r="G62" s="679"/>
      <c r="H62" s="680"/>
      <c r="I62" s="1587"/>
      <c r="J62" s="1588"/>
      <c r="K62" s="1588"/>
      <c r="L62" s="1584"/>
      <c r="M62" s="1585"/>
      <c r="N62" s="1586"/>
      <c r="O62" s="3522">
        <f>'R.GUI MAIL'!T34</f>
        <v>0</v>
      </c>
      <c r="P62" s="3522"/>
      <c r="Q62" s="3522"/>
      <c r="R62" s="3522">
        <f>'R.GUI MAIL'!W34</f>
        <v>0</v>
      </c>
      <c r="S62" s="3522"/>
      <c r="T62" s="3522"/>
      <c r="U62" s="3522">
        <f>'R.GUI MAIL'!T50</f>
        <v>0</v>
      </c>
      <c r="V62" s="3522"/>
      <c r="W62" s="3522"/>
      <c r="X62" s="3522">
        <f>'R.GUI MAIL'!W50</f>
        <v>59</v>
      </c>
      <c r="Y62" s="3522"/>
    </row>
    <row r="63" spans="1:25" ht="30.75" customHeight="1">
      <c r="A63" s="677">
        <v>2</v>
      </c>
      <c r="B63" s="3572" t="s">
        <v>752</v>
      </c>
      <c r="C63" s="3573"/>
      <c r="D63" s="3574"/>
      <c r="E63" s="681" t="s">
        <v>751</v>
      </c>
      <c r="F63" s="673" t="s">
        <v>753</v>
      </c>
      <c r="G63" s="682" t="e">
        <f>'[7]file goc'!G125</f>
        <v>#REF!</v>
      </c>
      <c r="H63" s="682"/>
      <c r="I63" s="3523">
        <f>'R.GUI MAIL'!T18</f>
        <v>0</v>
      </c>
      <c r="J63" s="3524"/>
      <c r="K63" s="3524"/>
      <c r="L63" s="3523">
        <f>'R.GUI MAIL'!W18</f>
        <v>0</v>
      </c>
      <c r="M63" s="3524"/>
      <c r="N63" s="1541"/>
      <c r="O63" s="3523">
        <f>'R.GUI MAIL'!T35</f>
        <v>0</v>
      </c>
      <c r="P63" s="3524"/>
      <c r="Q63" s="3524"/>
      <c r="R63" s="3523">
        <f>'R.GUI MAIL'!W35</f>
        <v>0</v>
      </c>
      <c r="S63" s="3525"/>
      <c r="T63" s="1586"/>
      <c r="U63" s="3523">
        <f>'R.GUI MAIL'!T51</f>
        <v>0</v>
      </c>
      <c r="V63" s="3524"/>
      <c r="W63" s="3525"/>
      <c r="X63" s="3523">
        <f>'R.GUI MAIL'!W51</f>
        <v>70</v>
      </c>
      <c r="Y63" s="3525"/>
    </row>
    <row r="64" spans="1:25" ht="30.75" hidden="1" customHeight="1">
      <c r="A64" s="677">
        <v>3</v>
      </c>
      <c r="B64" s="3572" t="s">
        <v>754</v>
      </c>
      <c r="C64" s="3573"/>
      <c r="D64" s="3574"/>
      <c r="E64" s="681" t="s">
        <v>751</v>
      </c>
      <c r="F64" s="673" t="s">
        <v>753</v>
      </c>
      <c r="G64" s="683" t="e">
        <f>'[7]file goc'!G126</f>
        <v>#REF!</v>
      </c>
      <c r="H64" s="682"/>
      <c r="I64" s="3523">
        <f>'R.GUI MAIL'!T19</f>
        <v>0</v>
      </c>
      <c r="J64" s="3524"/>
      <c r="K64" s="3524"/>
      <c r="L64" s="3523">
        <f>'R.GUI MAIL'!W19</f>
        <v>0</v>
      </c>
      <c r="M64" s="3525"/>
      <c r="N64" s="1586"/>
      <c r="O64" s="1587"/>
      <c r="P64" s="1588"/>
      <c r="Q64" s="1588"/>
      <c r="R64" s="1589"/>
      <c r="S64" s="1590"/>
      <c r="T64" s="1586"/>
      <c r="U64" s="1591"/>
      <c r="V64" s="1591"/>
      <c r="W64" s="1591"/>
      <c r="X64" s="1591"/>
      <c r="Y64" s="1591"/>
    </row>
    <row r="65" spans="1:25" ht="30.75" customHeight="1">
      <c r="A65" s="677">
        <v>6</v>
      </c>
      <c r="B65" s="3572" t="s">
        <v>755</v>
      </c>
      <c r="C65" s="3573"/>
      <c r="D65" s="3574"/>
      <c r="E65" s="681" t="s">
        <v>751</v>
      </c>
      <c r="F65" s="673" t="s">
        <v>756</v>
      </c>
      <c r="G65" s="683" t="e">
        <f>'[7]file goc'!G129</f>
        <v>#REF!</v>
      </c>
      <c r="H65" s="682"/>
      <c r="I65" s="3523">
        <f>'R.GUI MAIL'!T20</f>
        <v>0</v>
      </c>
      <c r="J65" s="3524"/>
      <c r="K65" s="3524"/>
      <c r="L65" s="3523">
        <f>'R.GUI MAIL'!W20</f>
        <v>0</v>
      </c>
      <c r="M65" s="3525"/>
      <c r="N65" s="1586"/>
      <c r="O65" s="3523">
        <f>'R.GUI MAIL'!T36</f>
        <v>0</v>
      </c>
      <c r="P65" s="3524"/>
      <c r="Q65" s="3524"/>
      <c r="R65" s="3523">
        <f>'R.GUI MAIL'!W36</f>
        <v>0</v>
      </c>
      <c r="S65" s="3525"/>
      <c r="T65" s="1586"/>
      <c r="U65" s="3523">
        <f>'R.GUI MAIL'!T52</f>
        <v>0</v>
      </c>
      <c r="V65" s="3524"/>
      <c r="W65" s="3525"/>
      <c r="X65" s="3523">
        <f>'R.GUI MAIL'!W52</f>
        <v>85</v>
      </c>
      <c r="Y65" s="3525"/>
    </row>
    <row r="66" spans="1:25" s="642" customFormat="1" ht="30.75" customHeight="1">
      <c r="A66" s="3596" t="s">
        <v>1486</v>
      </c>
      <c r="B66" s="3597"/>
      <c r="C66" s="3569" t="str">
        <f>MENU!$AC$9</f>
        <v>Thứ 3,</v>
      </c>
      <c r="D66" s="3569"/>
      <c r="E66" s="3570" t="str">
        <f>MENU!$AD$9</f>
        <v>2024/01/09</v>
      </c>
      <c r="F66" s="3571"/>
      <c r="G66" s="3571"/>
      <c r="H66" s="3571"/>
      <c r="I66" s="2143" t="s">
        <v>736</v>
      </c>
      <c r="J66" s="2143"/>
      <c r="K66" s="2143"/>
      <c r="L66" s="2143"/>
      <c r="M66" s="2143"/>
      <c r="N66" s="2143"/>
      <c r="O66" s="2143"/>
      <c r="P66" s="2143"/>
      <c r="Q66" s="2143"/>
      <c r="R66" s="2143"/>
      <c r="S66" s="2143"/>
      <c r="T66" s="2143"/>
      <c r="U66" s="2143"/>
      <c r="V66" s="2143"/>
      <c r="W66" s="2143"/>
      <c r="X66" s="2143"/>
      <c r="Y66" s="2144"/>
    </row>
    <row r="67" spans="1:25" ht="30.75" customHeight="1">
      <c r="A67" s="3553" t="s">
        <v>7</v>
      </c>
      <c r="B67" s="2980" t="s">
        <v>737</v>
      </c>
      <c r="C67" s="2981"/>
      <c r="D67" s="3556"/>
      <c r="E67" s="3561" t="s">
        <v>738</v>
      </c>
      <c r="F67" s="3564" t="s">
        <v>739</v>
      </c>
      <c r="G67" s="643"/>
      <c r="H67" s="644"/>
      <c r="I67" s="3567" t="s">
        <v>740</v>
      </c>
      <c r="J67" s="3568"/>
      <c r="K67" s="3568"/>
      <c r="L67" s="3568"/>
      <c r="M67" s="3568"/>
      <c r="N67" s="645"/>
      <c r="O67" s="3567" t="s">
        <v>1307</v>
      </c>
      <c r="P67" s="3568"/>
      <c r="Q67" s="3568"/>
      <c r="R67" s="3568"/>
      <c r="S67" s="3568"/>
      <c r="T67" s="645"/>
      <c r="U67" s="3567" t="s">
        <v>1308</v>
      </c>
      <c r="V67" s="3568"/>
      <c r="W67" s="3568"/>
      <c r="X67" s="3568"/>
      <c r="Y67" s="3568"/>
    </row>
    <row r="68" spans="1:25" ht="30.75" customHeight="1">
      <c r="A68" s="3554"/>
      <c r="B68" s="3557"/>
      <c r="C68" s="3558"/>
      <c r="D68" s="3559"/>
      <c r="E68" s="3562"/>
      <c r="F68" s="3565"/>
      <c r="G68" s="646" t="s">
        <v>423</v>
      </c>
      <c r="H68" s="647"/>
      <c r="I68" s="3544" t="s">
        <v>741</v>
      </c>
      <c r="J68" s="649" t="s">
        <v>742</v>
      </c>
      <c r="K68" s="3546" t="s">
        <v>1</v>
      </c>
      <c r="L68" s="3546"/>
      <c r="M68" s="3547"/>
      <c r="N68" s="648"/>
      <c r="O68" s="3544" t="s">
        <v>741</v>
      </c>
      <c r="P68" s="649" t="s">
        <v>742</v>
      </c>
      <c r="Q68" s="3546" t="s">
        <v>1</v>
      </c>
      <c r="R68" s="3546"/>
      <c r="S68" s="3547"/>
      <c r="T68" s="647"/>
      <c r="U68" s="3544" t="s">
        <v>741</v>
      </c>
      <c r="V68" s="649" t="s">
        <v>742</v>
      </c>
      <c r="W68" s="3546" t="s">
        <v>1</v>
      </c>
      <c r="X68" s="3546"/>
      <c r="Y68" s="3547"/>
    </row>
    <row r="69" spans="1:25" ht="30.75" customHeight="1">
      <c r="A69" s="3555"/>
      <c r="B69" s="2982"/>
      <c r="C69" s="2983"/>
      <c r="D69" s="3560"/>
      <c r="E69" s="3563"/>
      <c r="F69" s="3566"/>
      <c r="G69" s="646"/>
      <c r="H69" s="647"/>
      <c r="I69" s="3545"/>
      <c r="J69" s="650"/>
      <c r="K69" s="3548"/>
      <c r="L69" s="3548"/>
      <c r="M69" s="3549"/>
      <c r="N69" s="648"/>
      <c r="O69" s="3545"/>
      <c r="P69" s="650"/>
      <c r="Q69" s="3548"/>
      <c r="R69" s="3548"/>
      <c r="S69" s="3549"/>
      <c r="T69" s="647"/>
      <c r="U69" s="3545"/>
      <c r="V69" s="650"/>
      <c r="W69" s="3548"/>
      <c r="X69" s="3548"/>
      <c r="Y69" s="3549"/>
    </row>
    <row r="70" spans="1:25" ht="30.75" customHeight="1">
      <c r="A70" s="651">
        <v>1</v>
      </c>
      <c r="B70" s="3572" t="s">
        <v>743</v>
      </c>
      <c r="C70" s="3573"/>
      <c r="D70" s="3574"/>
      <c r="E70" s="652" t="s">
        <v>432</v>
      </c>
      <c r="F70" s="653" t="s">
        <v>729</v>
      </c>
      <c r="G70" s="654">
        <v>40</v>
      </c>
      <c r="H70" s="655">
        <f>R.HN!C73</f>
        <v>0</v>
      </c>
      <c r="I70" s="661"/>
      <c r="J70" s="670"/>
      <c r="K70" s="671"/>
      <c r="L70" s="1186"/>
      <c r="M70" s="672"/>
      <c r="N70" s="656">
        <f>R.HN!D73</f>
        <v>0</v>
      </c>
      <c r="O70" s="311">
        <f>'R.GUI MAIL'!Z25</f>
        <v>0</v>
      </c>
      <c r="P70" s="657"/>
      <c r="Q70" s="658" t="s">
        <v>8</v>
      </c>
      <c r="R70" s="1187">
        <f>'R.GUI MAIL'!AC25</f>
        <v>0</v>
      </c>
      <c r="S70" s="659" t="s">
        <v>9</v>
      </c>
      <c r="T70" s="656"/>
      <c r="U70" s="311">
        <f>'R.GUI MAIL'!Z41</f>
        <v>45</v>
      </c>
      <c r="V70" s="657"/>
      <c r="W70" s="658" t="s">
        <v>8</v>
      </c>
      <c r="X70" s="1188">
        <f>'R.GUI MAIL'!AC41</f>
        <v>0</v>
      </c>
      <c r="Y70" s="659" t="s">
        <v>9</v>
      </c>
    </row>
    <row r="71" spans="1:25" ht="30.75" customHeight="1">
      <c r="A71" s="651">
        <v>2</v>
      </c>
      <c r="B71" s="3572" t="s">
        <v>426</v>
      </c>
      <c r="C71" s="3573"/>
      <c r="D71" s="3574"/>
      <c r="E71" s="660" t="s">
        <v>3</v>
      </c>
      <c r="F71" s="653" t="s">
        <v>427</v>
      </c>
      <c r="G71" s="654">
        <v>22</v>
      </c>
      <c r="H71" s="655">
        <f>R.HN!C74</f>
        <v>0</v>
      </c>
      <c r="I71" s="311">
        <f>'R.GUI MAIL'!Z6</f>
        <v>0</v>
      </c>
      <c r="J71" s="657"/>
      <c r="K71" s="658" t="s">
        <v>8</v>
      </c>
      <c r="L71" s="1187">
        <f>'R.GUI MAIL'!AC6</f>
        <v>0</v>
      </c>
      <c r="M71" s="1197" t="s">
        <v>10</v>
      </c>
      <c r="N71" s="656">
        <f>R.HN!D74</f>
        <v>0</v>
      </c>
      <c r="O71" s="311">
        <f>'R.GUI MAIL'!Z26</f>
        <v>0</v>
      </c>
      <c r="P71" s="657"/>
      <c r="Q71" s="658" t="s">
        <v>8</v>
      </c>
      <c r="R71" s="1187">
        <f>'R.GUI MAIL'!AC26</f>
        <v>0</v>
      </c>
      <c r="S71" s="659" t="s">
        <v>10</v>
      </c>
      <c r="T71" s="656"/>
      <c r="U71" s="311">
        <f>'R.GUI MAIL'!Z42</f>
        <v>10.584999999999999</v>
      </c>
      <c r="V71" s="657"/>
      <c r="W71" s="658" t="s">
        <v>8</v>
      </c>
      <c r="X71" s="1187">
        <f>'R.GUI MAIL'!AC42</f>
        <v>155.89296875000008</v>
      </c>
      <c r="Y71" s="659" t="s">
        <v>10</v>
      </c>
    </row>
    <row r="72" spans="1:25" ht="30.75" hidden="1" customHeight="1">
      <c r="A72" s="651">
        <v>3</v>
      </c>
      <c r="B72" s="3575" t="s">
        <v>392</v>
      </c>
      <c r="C72" s="3576"/>
      <c r="D72" s="3577"/>
      <c r="E72" s="660" t="s">
        <v>3</v>
      </c>
      <c r="F72" s="653" t="s">
        <v>427</v>
      </c>
      <c r="G72" s="654"/>
      <c r="H72" s="655"/>
      <c r="I72" s="1143">
        <f>'R.GUI MAIL'!Z7</f>
        <v>0</v>
      </c>
      <c r="J72" s="657"/>
      <c r="K72" s="658" t="s">
        <v>8</v>
      </c>
      <c r="L72" s="1187">
        <f>'R.GUI MAIL'!AC7</f>
        <v>292.1875</v>
      </c>
      <c r="M72" s="1197" t="s">
        <v>10</v>
      </c>
      <c r="N72" s="656"/>
      <c r="O72" s="661"/>
      <c r="P72" s="661"/>
      <c r="Q72" s="662"/>
      <c r="R72" s="1186"/>
      <c r="S72" s="663"/>
      <c r="T72" s="664"/>
      <c r="U72" s="1143">
        <f>'R.GUI MAIL'!Z42</f>
        <v>10.584999999999999</v>
      </c>
      <c r="V72" s="657"/>
      <c r="W72" s="658" t="s">
        <v>8</v>
      </c>
      <c r="X72" s="1187">
        <f>'R.GUI MAIL'!AC42</f>
        <v>155.89296875000008</v>
      </c>
      <c r="Y72" s="659" t="s">
        <v>10</v>
      </c>
    </row>
    <row r="73" spans="1:25" ht="30.75" customHeight="1">
      <c r="A73" s="651">
        <v>4</v>
      </c>
      <c r="B73" s="3578" t="s">
        <v>744</v>
      </c>
      <c r="C73" s="1189" t="s">
        <v>745</v>
      </c>
      <c r="D73" s="1190">
        <f>R.HN!F12</f>
        <v>3</v>
      </c>
      <c r="E73" s="3581" t="s">
        <v>432</v>
      </c>
      <c r="F73" s="653" t="s">
        <v>731</v>
      </c>
      <c r="G73" s="654">
        <v>50</v>
      </c>
      <c r="H73" s="655">
        <f>R.HN!C75</f>
        <v>0</v>
      </c>
      <c r="I73" s="311">
        <f>'R.GUI MAIL'!Z8</f>
        <v>0</v>
      </c>
      <c r="J73" s="657"/>
      <c r="K73" s="658" t="s">
        <v>8</v>
      </c>
      <c r="L73" s="1187">
        <f>'R.GUI MAIL'!AC8</f>
        <v>0</v>
      </c>
      <c r="M73" s="1197" t="s">
        <v>9</v>
      </c>
      <c r="N73" s="656">
        <f>R.HN!D75</f>
        <v>0</v>
      </c>
      <c r="O73" s="311">
        <f>'R.GUI MAIL'!Z27</f>
        <v>0</v>
      </c>
      <c r="P73" s="657"/>
      <c r="Q73" s="658" t="s">
        <v>8</v>
      </c>
      <c r="R73" s="1187">
        <f>'R.GUI MAIL'!AC27</f>
        <v>0</v>
      </c>
      <c r="S73" s="659" t="s">
        <v>9</v>
      </c>
      <c r="T73" s="656"/>
      <c r="U73" s="311">
        <f>'R.GUI MAIL'!Z43</f>
        <v>50</v>
      </c>
      <c r="V73" s="657"/>
      <c r="W73" s="658" t="s">
        <v>8</v>
      </c>
      <c r="X73" s="1187">
        <f>'R.GUI MAIL'!AC43</f>
        <v>0</v>
      </c>
      <c r="Y73" s="659" t="s">
        <v>9</v>
      </c>
    </row>
    <row r="74" spans="1:25" ht="30.75" customHeight="1">
      <c r="A74" s="651">
        <v>5</v>
      </c>
      <c r="B74" s="3579"/>
      <c r="C74" s="1191"/>
      <c r="D74" s="1192"/>
      <c r="E74" s="3581"/>
      <c r="F74" s="653" t="s">
        <v>727</v>
      </c>
      <c r="G74" s="665">
        <v>6</v>
      </c>
      <c r="H74" s="655">
        <f>R.HN!C76</f>
        <v>0</v>
      </c>
      <c r="I74" s="311">
        <f>'R.GUI MAIL'!Z9</f>
        <v>0</v>
      </c>
      <c r="J74" s="657"/>
      <c r="K74" s="658" t="s">
        <v>8</v>
      </c>
      <c r="L74" s="1187">
        <f>'R.GUI MAIL'!AC9</f>
        <v>0</v>
      </c>
      <c r="M74" s="1197" t="s">
        <v>9</v>
      </c>
      <c r="N74" s="656">
        <f>R.HN!D76</f>
        <v>0</v>
      </c>
      <c r="O74" s="311">
        <f>'R.GUI MAIL'!Z28</f>
        <v>0</v>
      </c>
      <c r="P74" s="657"/>
      <c r="Q74" s="658"/>
      <c r="R74" s="1187">
        <f>'R.GUI MAIL'!AC28</f>
        <v>0</v>
      </c>
      <c r="S74" s="659" t="s">
        <v>9</v>
      </c>
      <c r="T74" s="656"/>
      <c r="U74" s="311">
        <f>'R.GUI MAIL'!Z44</f>
        <v>9.615384615384615</v>
      </c>
      <c r="V74" s="657"/>
      <c r="W74" s="658"/>
      <c r="X74" s="1187">
        <f>'R.GUI MAIL'!AC44</f>
        <v>0</v>
      </c>
      <c r="Y74" s="659" t="s">
        <v>9</v>
      </c>
    </row>
    <row r="75" spans="1:25" ht="30.75" customHeight="1">
      <c r="A75" s="651">
        <v>6</v>
      </c>
      <c r="B75" s="3579"/>
      <c r="C75" s="1191"/>
      <c r="D75" s="1192"/>
      <c r="E75" s="3581"/>
      <c r="F75" s="653" t="s">
        <v>615</v>
      </c>
      <c r="G75" s="665">
        <v>0.4</v>
      </c>
      <c r="H75" s="655">
        <f>R.HN!C77</f>
        <v>0</v>
      </c>
      <c r="I75" s="432">
        <f>'R.GUI MAIL'!Z10</f>
        <v>0</v>
      </c>
      <c r="J75" s="657"/>
      <c r="K75" s="658" t="s">
        <v>8</v>
      </c>
      <c r="L75" s="1187">
        <f>'R.GUI MAIL'!AC10</f>
        <v>0</v>
      </c>
      <c r="M75" s="1197" t="s">
        <v>9</v>
      </c>
      <c r="N75" s="656">
        <f>R.HN!D77</f>
        <v>0</v>
      </c>
      <c r="O75" s="432">
        <f>'R.GUI MAIL'!Z29</f>
        <v>0</v>
      </c>
      <c r="P75" s="657"/>
      <c r="Q75" s="658"/>
      <c r="R75" s="1187">
        <f>'R.GUI MAIL'!AC29</f>
        <v>0</v>
      </c>
      <c r="S75" s="659" t="s">
        <v>9</v>
      </c>
      <c r="T75" s="656"/>
      <c r="U75" s="432">
        <f>'R.GUI MAIL'!Z45</f>
        <v>0.56000000000000005</v>
      </c>
      <c r="V75" s="657"/>
      <c r="W75" s="658"/>
      <c r="X75" s="1187">
        <f>'R.GUI MAIL'!AC45</f>
        <v>0</v>
      </c>
      <c r="Y75" s="659" t="s">
        <v>9</v>
      </c>
    </row>
    <row r="76" spans="1:25" ht="30.75" hidden="1" customHeight="1">
      <c r="A76" s="651">
        <v>7</v>
      </c>
      <c r="B76" s="3578" t="s">
        <v>744</v>
      </c>
      <c r="C76" s="1189" t="s">
        <v>745</v>
      </c>
      <c r="D76" s="1190">
        <f>R.HN!F13</f>
        <v>4</v>
      </c>
      <c r="E76" s="3581" t="s">
        <v>432</v>
      </c>
      <c r="F76" s="653" t="s">
        <v>731</v>
      </c>
      <c r="G76" s="654">
        <v>50</v>
      </c>
      <c r="H76" s="655">
        <f>R.HN!C78</f>
        <v>0</v>
      </c>
      <c r="I76" s="311">
        <f>'R.GUI MAIL'!Z11</f>
        <v>0</v>
      </c>
      <c r="J76" s="682"/>
      <c r="K76" s="658" t="s">
        <v>8</v>
      </c>
      <c r="L76" s="1187">
        <f>'R.GUI MAIL'!AC11</f>
        <v>0</v>
      </c>
      <c r="M76" s="1197" t="s">
        <v>9</v>
      </c>
      <c r="N76" s="656">
        <f>R.HN!D78</f>
        <v>0</v>
      </c>
      <c r="O76" s="661"/>
      <c r="P76" s="670"/>
      <c r="Q76" s="671"/>
      <c r="R76" s="1186"/>
      <c r="S76" s="672"/>
      <c r="T76" s="669"/>
      <c r="U76" s="661"/>
      <c r="V76" s="661"/>
      <c r="W76" s="662"/>
      <c r="X76" s="1186"/>
      <c r="Y76" s="663"/>
    </row>
    <row r="77" spans="1:25" ht="30.75" hidden="1" customHeight="1">
      <c r="A77" s="651">
        <v>8</v>
      </c>
      <c r="B77" s="3579"/>
      <c r="C77" s="1191"/>
      <c r="D77" s="1192"/>
      <c r="E77" s="3581"/>
      <c r="F77" s="653" t="s">
        <v>727</v>
      </c>
      <c r="G77" s="665">
        <v>6</v>
      </c>
      <c r="H77" s="655">
        <f>R.HN!C79</f>
        <v>0</v>
      </c>
      <c r="I77" s="311">
        <f>'R.GUI MAIL'!Z12</f>
        <v>0</v>
      </c>
      <c r="J77" s="657"/>
      <c r="K77" s="658" t="s">
        <v>8</v>
      </c>
      <c r="L77" s="1187">
        <f>'R.GUI MAIL'!AC12</f>
        <v>0</v>
      </c>
      <c r="M77" s="1197" t="s">
        <v>9</v>
      </c>
      <c r="N77" s="656">
        <f>R.HN!D79</f>
        <v>0</v>
      </c>
      <c r="O77" s="661"/>
      <c r="P77" s="670"/>
      <c r="Q77" s="671"/>
      <c r="R77" s="1186"/>
      <c r="S77" s="672"/>
      <c r="T77" s="656"/>
      <c r="U77" s="661"/>
      <c r="V77" s="661"/>
      <c r="W77" s="662"/>
      <c r="X77" s="1186"/>
      <c r="Y77" s="663"/>
    </row>
    <row r="78" spans="1:25" ht="30.75" hidden="1" customHeight="1">
      <c r="A78" s="651">
        <v>9</v>
      </c>
      <c r="B78" s="3579"/>
      <c r="C78" s="1191"/>
      <c r="D78" s="1192"/>
      <c r="E78" s="3581"/>
      <c r="F78" s="653" t="s">
        <v>615</v>
      </c>
      <c r="G78" s="665">
        <v>0.4</v>
      </c>
      <c r="H78" s="655">
        <f>R.HN!C80</f>
        <v>0</v>
      </c>
      <c r="I78" s="432">
        <f>'R.GUI MAIL'!Z13</f>
        <v>0</v>
      </c>
      <c r="J78" s="682"/>
      <c r="K78" s="658" t="s">
        <v>8</v>
      </c>
      <c r="L78" s="1187">
        <f>'R.GUI MAIL'!AC13</f>
        <v>0</v>
      </c>
      <c r="M78" s="1197" t="s">
        <v>9</v>
      </c>
      <c r="N78" s="656">
        <f>R.HN!D80</f>
        <v>0</v>
      </c>
      <c r="O78" s="670"/>
      <c r="P78" s="670"/>
      <c r="Q78" s="671"/>
      <c r="R78" s="1186"/>
      <c r="S78" s="672"/>
      <c r="T78" s="669"/>
      <c r="U78" s="670"/>
      <c r="V78" s="670"/>
      <c r="W78" s="671"/>
      <c r="X78" s="1186"/>
      <c r="Y78" s="672"/>
    </row>
    <row r="79" spans="1:25" ht="30.75" customHeight="1">
      <c r="A79" s="651">
        <v>10</v>
      </c>
      <c r="B79" s="3575" t="s">
        <v>746</v>
      </c>
      <c r="C79" s="3576"/>
      <c r="D79" s="3577"/>
      <c r="E79" s="651" t="s">
        <v>432</v>
      </c>
      <c r="F79" s="673" t="s">
        <v>442</v>
      </c>
      <c r="G79" s="665">
        <v>2</v>
      </c>
      <c r="H79" s="655">
        <f>R.HN!C87</f>
        <v>0</v>
      </c>
      <c r="I79" s="311">
        <f>'R.GUI MAIL'!Z14</f>
        <v>0</v>
      </c>
      <c r="J79" s="657"/>
      <c r="K79" s="658" t="s">
        <v>8</v>
      </c>
      <c r="L79" s="1195">
        <f>'R.GUI MAIL'!AC14</f>
        <v>0</v>
      </c>
      <c r="M79" s="1197" t="s">
        <v>9</v>
      </c>
      <c r="N79" s="656">
        <f>R.HN!D87</f>
        <v>0</v>
      </c>
      <c r="O79" s="311">
        <f>'R.GUI MAIL'!Z30</f>
        <v>0</v>
      </c>
      <c r="P79" s="657"/>
      <c r="Q79" s="658" t="s">
        <v>8</v>
      </c>
      <c r="R79" s="1187">
        <f>'R.GUI MAIL'!AC30</f>
        <v>0</v>
      </c>
      <c r="S79" s="659" t="s">
        <v>9</v>
      </c>
      <c r="T79" s="656"/>
      <c r="U79" s="311">
        <f>'R.GUI MAIL'!Z46</f>
        <v>0.95</v>
      </c>
      <c r="V79" s="657"/>
      <c r="W79" s="658" t="s">
        <v>8</v>
      </c>
      <c r="X79" s="1187">
        <f>'R.GUI MAIL'!AC46</f>
        <v>6.1700000000000053E-2</v>
      </c>
      <c r="Y79" s="659" t="s">
        <v>9</v>
      </c>
    </row>
    <row r="80" spans="1:25" ht="30.75" customHeight="1">
      <c r="A80" s="651">
        <v>11</v>
      </c>
      <c r="B80" s="3590"/>
      <c r="C80" s="3591"/>
      <c r="D80" s="3592"/>
      <c r="E80" s="651" t="s">
        <v>5</v>
      </c>
      <c r="F80" s="1193" t="s">
        <v>621</v>
      </c>
      <c r="G80" s="674">
        <v>9</v>
      </c>
      <c r="H80" s="655">
        <f>R.HN!C88</f>
        <v>0</v>
      </c>
      <c r="I80" s="311">
        <f>'R.GUI MAIL'!Z15</f>
        <v>0</v>
      </c>
      <c r="J80" s="657"/>
      <c r="K80" s="658"/>
      <c r="L80" s="1187"/>
      <c r="M80" s="659"/>
      <c r="N80" s="656">
        <f>R.HN!D88</f>
        <v>0</v>
      </c>
      <c r="O80" s="311">
        <f>'R.GUI MAIL'!Z31</f>
        <v>0</v>
      </c>
      <c r="P80" s="657"/>
      <c r="Q80" s="658"/>
      <c r="R80" s="1187"/>
      <c r="S80" s="659"/>
      <c r="T80" s="656"/>
      <c r="U80" s="311">
        <f>'R.GUI MAIL'!Z47</f>
        <v>9.5</v>
      </c>
      <c r="V80" s="657"/>
      <c r="W80" s="658"/>
      <c r="X80" s="1187"/>
      <c r="Y80" s="659"/>
    </row>
    <row r="81" spans="1:25" ht="30.75" customHeight="1">
      <c r="A81" s="675"/>
      <c r="B81" s="1936"/>
      <c r="C81" s="676"/>
      <c r="D81" s="676"/>
      <c r="E81" s="676" t="s">
        <v>2</v>
      </c>
      <c r="F81" s="676"/>
      <c r="G81" s="676"/>
      <c r="H81" s="676"/>
      <c r="I81" s="676"/>
      <c r="J81" s="676"/>
      <c r="K81" s="676"/>
      <c r="L81" s="676"/>
      <c r="M81" s="676"/>
      <c r="N81" s="676"/>
      <c r="O81" s="676"/>
      <c r="P81" s="676"/>
      <c r="Q81" s="676"/>
      <c r="R81" s="676"/>
      <c r="S81" s="676"/>
      <c r="T81" s="676"/>
      <c r="U81" s="676"/>
      <c r="V81" s="676"/>
      <c r="W81" s="676"/>
      <c r="X81" s="676"/>
      <c r="Y81" s="1194"/>
    </row>
    <row r="82" spans="1:25" ht="30.75" customHeight="1">
      <c r="A82" s="677" t="s">
        <v>55</v>
      </c>
      <c r="B82" s="3572" t="s">
        <v>747</v>
      </c>
      <c r="C82" s="3573"/>
      <c r="D82" s="3574"/>
      <c r="E82" s="678" t="s">
        <v>748</v>
      </c>
      <c r="F82" s="678" t="s">
        <v>749</v>
      </c>
      <c r="G82" s="679" t="s">
        <v>740</v>
      </c>
      <c r="H82" s="680"/>
      <c r="I82" s="3582" t="s">
        <v>46</v>
      </c>
      <c r="J82" s="3583"/>
      <c r="K82" s="3583"/>
      <c r="L82" s="3584" t="s">
        <v>63</v>
      </c>
      <c r="M82" s="3585"/>
      <c r="N82" s="645"/>
      <c r="O82" s="3582" t="s">
        <v>46</v>
      </c>
      <c r="P82" s="3583"/>
      <c r="Q82" s="3583"/>
      <c r="R82" s="3584" t="s">
        <v>63</v>
      </c>
      <c r="S82" s="3585"/>
      <c r="T82" s="645"/>
      <c r="U82" s="3582" t="s">
        <v>46</v>
      </c>
      <c r="V82" s="3583"/>
      <c r="W82" s="3583"/>
      <c r="X82" s="3584" t="s">
        <v>63</v>
      </c>
      <c r="Y82" s="3585"/>
    </row>
    <row r="83" spans="1:25" ht="30.75" customHeight="1">
      <c r="A83" s="677">
        <v>1</v>
      </c>
      <c r="B83" s="3572" t="s">
        <v>750</v>
      </c>
      <c r="C83" s="3573"/>
      <c r="D83" s="3574"/>
      <c r="E83" s="681" t="s">
        <v>751</v>
      </c>
      <c r="F83" s="673" t="s">
        <v>1121</v>
      </c>
      <c r="G83" s="679"/>
      <c r="H83" s="680"/>
      <c r="I83" s="1582"/>
      <c r="J83" s="1583"/>
      <c r="K83" s="1583"/>
      <c r="L83" s="1584"/>
      <c r="M83" s="1585"/>
      <c r="N83" s="1586"/>
      <c r="O83" s="3522">
        <f>'R.GUI MAIL'!Z34</f>
        <v>0</v>
      </c>
      <c r="P83" s="3522"/>
      <c r="Q83" s="3522"/>
      <c r="R83" s="3522">
        <f>'R.GUI MAIL'!AC34</f>
        <v>0</v>
      </c>
      <c r="S83" s="3522"/>
      <c r="T83" s="3522"/>
      <c r="U83" s="3522">
        <f>'R.GUI MAIL'!Z50</f>
        <v>0</v>
      </c>
      <c r="V83" s="3522"/>
      <c r="W83" s="3522"/>
      <c r="X83" s="3522">
        <f>'R.GUI MAIL'!AC50</f>
        <v>60</v>
      </c>
      <c r="Y83" s="3522"/>
    </row>
    <row r="84" spans="1:25" ht="30.75" customHeight="1">
      <c r="A84" s="677">
        <v>2</v>
      </c>
      <c r="B84" s="3572" t="s">
        <v>752</v>
      </c>
      <c r="C84" s="3573"/>
      <c r="D84" s="3574"/>
      <c r="E84" s="681" t="s">
        <v>751</v>
      </c>
      <c r="F84" s="673" t="s">
        <v>753</v>
      </c>
      <c r="G84" s="682" t="e">
        <f>'[7]file goc'!G158</f>
        <v>#REF!</v>
      </c>
      <c r="H84" s="682"/>
      <c r="I84" s="3523">
        <f>'R.GUI MAIL'!Z18</f>
        <v>0</v>
      </c>
      <c r="J84" s="3524"/>
      <c r="K84" s="3524"/>
      <c r="L84" s="3523">
        <f>'R.GUI MAIL'!AC18</f>
        <v>0</v>
      </c>
      <c r="M84" s="3524"/>
      <c r="N84" s="1541"/>
      <c r="O84" s="3523">
        <f>'R.GUI MAIL'!Z35</f>
        <v>0</v>
      </c>
      <c r="P84" s="3524"/>
      <c r="Q84" s="3524"/>
      <c r="R84" s="3523">
        <f>'R.GUI MAIL'!AC35</f>
        <v>0</v>
      </c>
      <c r="S84" s="3525"/>
      <c r="T84" s="1586"/>
      <c r="U84" s="3523">
        <f>'R.GUI MAIL'!Z51</f>
        <v>0</v>
      </c>
      <c r="V84" s="3524"/>
      <c r="W84" s="3525"/>
      <c r="X84" s="3523">
        <f>'R.GUI MAIL'!AC51</f>
        <v>70</v>
      </c>
      <c r="Y84" s="3525"/>
    </row>
    <row r="85" spans="1:25" ht="30.75" hidden="1" customHeight="1">
      <c r="A85" s="677">
        <v>3</v>
      </c>
      <c r="B85" s="3572" t="s">
        <v>754</v>
      </c>
      <c r="C85" s="3573"/>
      <c r="D85" s="3574"/>
      <c r="E85" s="681" t="s">
        <v>751</v>
      </c>
      <c r="F85" s="673" t="s">
        <v>753</v>
      </c>
      <c r="G85" s="683" t="e">
        <f>'[7]file goc'!G159</f>
        <v>#REF!</v>
      </c>
      <c r="H85" s="682"/>
      <c r="I85" s="3523">
        <f>'R.GUI MAIL'!Z19</f>
        <v>0</v>
      </c>
      <c r="J85" s="3524"/>
      <c r="K85" s="3524"/>
      <c r="L85" s="3523">
        <f>'R.GUI MAIL'!AC19</f>
        <v>0</v>
      </c>
      <c r="M85" s="3525"/>
      <c r="N85" s="1586"/>
      <c r="O85" s="1587"/>
      <c r="P85" s="1588"/>
      <c r="Q85" s="1588"/>
      <c r="R85" s="1589"/>
      <c r="S85" s="1590"/>
      <c r="T85" s="1586"/>
      <c r="U85" s="1591"/>
      <c r="V85" s="1591"/>
      <c r="W85" s="1591"/>
      <c r="X85" s="1591"/>
      <c r="Y85" s="1591"/>
    </row>
    <row r="86" spans="1:25" ht="30.75" customHeight="1">
      <c r="A86" s="677">
        <v>6</v>
      </c>
      <c r="B86" s="3572" t="s">
        <v>755</v>
      </c>
      <c r="C86" s="3573"/>
      <c r="D86" s="3574"/>
      <c r="E86" s="681" t="s">
        <v>751</v>
      </c>
      <c r="F86" s="673" t="s">
        <v>756</v>
      </c>
      <c r="G86" s="683" t="e">
        <f>'[7]file goc'!G162</f>
        <v>#REF!</v>
      </c>
      <c r="H86" s="682"/>
      <c r="I86" s="3523">
        <f>'R.GUI MAIL'!Z20</f>
        <v>0</v>
      </c>
      <c r="J86" s="3524"/>
      <c r="K86" s="3524"/>
      <c r="L86" s="3523">
        <f>'R.GUI MAIL'!AC20</f>
        <v>0</v>
      </c>
      <c r="M86" s="3525"/>
      <c r="N86" s="1586"/>
      <c r="O86" s="3523">
        <f>'R.GUI MAIL'!Z36</f>
        <v>0</v>
      </c>
      <c r="P86" s="3524"/>
      <c r="Q86" s="3524"/>
      <c r="R86" s="3523">
        <f>'R.GUI MAIL'!AC36</f>
        <v>0</v>
      </c>
      <c r="S86" s="3525"/>
      <c r="T86" s="1586"/>
      <c r="U86" s="3523">
        <f>'R.GUI MAIL'!Z52</f>
        <v>0</v>
      </c>
      <c r="V86" s="3524"/>
      <c r="W86" s="3525"/>
      <c r="X86" s="3523">
        <f>'R.GUI MAIL'!AC52</f>
        <v>81</v>
      </c>
      <c r="Y86" s="3525"/>
    </row>
    <row r="87" spans="1:25" ht="33" customHeight="1">
      <c r="A87" s="3596" t="s">
        <v>1487</v>
      </c>
      <c r="B87" s="3597"/>
      <c r="C87" s="3569" t="str">
        <f>MENU!$AC$9</f>
        <v>Thứ 3,</v>
      </c>
      <c r="D87" s="3569"/>
      <c r="E87" s="3570" t="str">
        <f>MENU!$AD$9</f>
        <v>2024/01/09</v>
      </c>
      <c r="F87" s="3571"/>
      <c r="G87" s="3571"/>
      <c r="H87" s="3571"/>
      <c r="I87" s="2143" t="s">
        <v>736</v>
      </c>
      <c r="J87" s="2143"/>
      <c r="K87" s="2143"/>
      <c r="L87" s="2143"/>
      <c r="M87" s="2143"/>
      <c r="N87" s="2143"/>
      <c r="O87" s="2143"/>
      <c r="P87" s="2143"/>
      <c r="Q87" s="2143"/>
      <c r="R87" s="2143"/>
      <c r="S87" s="2143"/>
      <c r="T87" s="2143"/>
      <c r="U87" s="2143"/>
      <c r="V87" s="2143"/>
      <c r="W87" s="2143"/>
      <c r="X87" s="2143"/>
      <c r="Y87" s="2144"/>
    </row>
    <row r="88" spans="1:25" ht="27" customHeight="1">
      <c r="A88" s="3553" t="s">
        <v>7</v>
      </c>
      <c r="B88" s="2980" t="s">
        <v>737</v>
      </c>
      <c r="C88" s="2981"/>
      <c r="D88" s="3556"/>
      <c r="E88" s="3561" t="s">
        <v>738</v>
      </c>
      <c r="F88" s="3564" t="s">
        <v>739</v>
      </c>
      <c r="G88" s="643"/>
      <c r="H88" s="644"/>
      <c r="I88" s="3567" t="s">
        <v>740</v>
      </c>
      <c r="J88" s="3568"/>
      <c r="K88" s="3568"/>
      <c r="L88" s="3568"/>
      <c r="M88" s="3568"/>
      <c r="N88" s="645"/>
      <c r="O88" s="3567" t="s">
        <v>1307</v>
      </c>
      <c r="P88" s="3568"/>
      <c r="Q88" s="3568"/>
      <c r="R88" s="3568"/>
      <c r="S88" s="3568"/>
      <c r="T88" s="645"/>
      <c r="U88" s="3567" t="s">
        <v>1308</v>
      </c>
      <c r="V88" s="3568"/>
      <c r="W88" s="3568"/>
      <c r="X88" s="3568"/>
      <c r="Y88" s="3568"/>
    </row>
    <row r="89" spans="1:25" ht="17.25">
      <c r="A89" s="3554"/>
      <c r="B89" s="3557"/>
      <c r="C89" s="3558"/>
      <c r="D89" s="3559"/>
      <c r="E89" s="3562"/>
      <c r="F89" s="3565"/>
      <c r="G89" s="646" t="s">
        <v>423</v>
      </c>
      <c r="H89" s="647"/>
      <c r="I89" s="3544" t="s">
        <v>741</v>
      </c>
      <c r="J89" s="649" t="s">
        <v>742</v>
      </c>
      <c r="K89" s="3546" t="s">
        <v>1</v>
      </c>
      <c r="L89" s="3546"/>
      <c r="M89" s="3547"/>
      <c r="N89" s="648"/>
      <c r="O89" s="3544" t="s">
        <v>741</v>
      </c>
      <c r="P89" s="649" t="s">
        <v>742</v>
      </c>
      <c r="Q89" s="3546" t="s">
        <v>1</v>
      </c>
      <c r="R89" s="3546"/>
      <c r="S89" s="3547"/>
      <c r="T89" s="647"/>
      <c r="U89" s="3544" t="s">
        <v>741</v>
      </c>
      <c r="V89" s="649" t="s">
        <v>742</v>
      </c>
      <c r="W89" s="3546" t="s">
        <v>1</v>
      </c>
      <c r="X89" s="3546"/>
      <c r="Y89" s="3547"/>
    </row>
    <row r="90" spans="1:25" ht="17.25">
      <c r="A90" s="3555"/>
      <c r="B90" s="2982"/>
      <c r="C90" s="2983"/>
      <c r="D90" s="3560"/>
      <c r="E90" s="3563"/>
      <c r="F90" s="3566"/>
      <c r="G90" s="646"/>
      <c r="H90" s="647"/>
      <c r="I90" s="3545"/>
      <c r="J90" s="650"/>
      <c r="K90" s="3548"/>
      <c r="L90" s="3548"/>
      <c r="M90" s="3549"/>
      <c r="N90" s="648"/>
      <c r="O90" s="3545"/>
      <c r="P90" s="650"/>
      <c r="Q90" s="3548"/>
      <c r="R90" s="3548"/>
      <c r="S90" s="3549"/>
      <c r="T90" s="647"/>
      <c r="U90" s="3545"/>
      <c r="V90" s="650"/>
      <c r="W90" s="3548"/>
      <c r="X90" s="3548"/>
      <c r="Y90" s="3549"/>
    </row>
    <row r="91" spans="1:25" ht="33.75" customHeight="1">
      <c r="A91" s="651">
        <v>1</v>
      </c>
      <c r="B91" s="3572" t="s">
        <v>743</v>
      </c>
      <c r="C91" s="3573"/>
      <c r="D91" s="3574"/>
      <c r="E91" s="652" t="s">
        <v>432</v>
      </c>
      <c r="F91" s="653" t="s">
        <v>729</v>
      </c>
      <c r="G91" s="654">
        <v>40</v>
      </c>
      <c r="H91" s="655">
        <f>R.HN!C95</f>
        <v>0</v>
      </c>
      <c r="I91" s="661"/>
      <c r="J91" s="670"/>
      <c r="K91" s="671"/>
      <c r="L91" s="1186"/>
      <c r="M91" s="672"/>
      <c r="N91" s="656">
        <f>R.HN!D95</f>
        <v>0</v>
      </c>
      <c r="O91" s="311">
        <f>'R.GUI MAIL'!AF25</f>
        <v>0</v>
      </c>
      <c r="P91" s="657"/>
      <c r="Q91" s="658" t="s">
        <v>8</v>
      </c>
      <c r="R91" s="1187">
        <f>'R.GUI MAIL'!AI25</f>
        <v>0</v>
      </c>
      <c r="S91" s="659" t="s">
        <v>9</v>
      </c>
      <c r="T91" s="656"/>
      <c r="U91" s="311">
        <f>'R.GUI MAIL'!AF41</f>
        <v>40</v>
      </c>
      <c r="V91" s="657"/>
      <c r="W91" s="658" t="s">
        <v>8</v>
      </c>
      <c r="X91" s="1188">
        <f>'R.GUI MAIL'!AI41</f>
        <v>0</v>
      </c>
      <c r="Y91" s="659" t="s">
        <v>9</v>
      </c>
    </row>
    <row r="92" spans="1:25" ht="33.75" customHeight="1">
      <c r="A92" s="651">
        <v>2</v>
      </c>
      <c r="B92" s="3572" t="s">
        <v>426</v>
      </c>
      <c r="C92" s="3573"/>
      <c r="D92" s="3574"/>
      <c r="E92" s="660" t="s">
        <v>3</v>
      </c>
      <c r="F92" s="653" t="s">
        <v>427</v>
      </c>
      <c r="G92" s="654">
        <v>22</v>
      </c>
      <c r="H92" s="655">
        <f>R.HN!C96</f>
        <v>0</v>
      </c>
      <c r="I92" s="311">
        <f>'R.GUI MAIL'!AF6</f>
        <v>0</v>
      </c>
      <c r="J92" s="657"/>
      <c r="K92" s="658" t="s">
        <v>8</v>
      </c>
      <c r="L92" s="1187">
        <f>'R.GUI MAIL'!AI6</f>
        <v>0</v>
      </c>
      <c r="M92" s="1197" t="s">
        <v>10</v>
      </c>
      <c r="N92" s="656">
        <f>R.HN!D96</f>
        <v>0</v>
      </c>
      <c r="O92" s="311">
        <f>'R.GUI MAIL'!AF26</f>
        <v>0</v>
      </c>
      <c r="P92" s="657"/>
      <c r="Q92" s="658" t="s">
        <v>8</v>
      </c>
      <c r="R92" s="1187">
        <f>'R.GUI MAIL'!AI26</f>
        <v>0</v>
      </c>
      <c r="S92" s="659" t="s">
        <v>10</v>
      </c>
      <c r="T92" s="656"/>
      <c r="U92" s="311">
        <f>'R.GUI MAIL'!AF42</f>
        <v>9.125</v>
      </c>
      <c r="V92" s="311"/>
      <c r="W92" s="1198" t="s">
        <v>8</v>
      </c>
      <c r="X92" s="1187">
        <f>'R.GUI MAIL'!AI42</f>
        <v>274.74609375</v>
      </c>
      <c r="Y92" s="1197" t="s">
        <v>10</v>
      </c>
    </row>
    <row r="93" spans="1:25" ht="33.75" hidden="1" customHeight="1">
      <c r="A93" s="651">
        <v>3</v>
      </c>
      <c r="B93" s="3575" t="s">
        <v>392</v>
      </c>
      <c r="C93" s="3576"/>
      <c r="D93" s="3577"/>
      <c r="E93" s="660" t="s">
        <v>3</v>
      </c>
      <c r="F93" s="653" t="s">
        <v>427</v>
      </c>
      <c r="G93" s="654"/>
      <c r="H93" s="655"/>
      <c r="I93" s="1143">
        <f>'R.GUI MAIL'!AF7</f>
        <v>0</v>
      </c>
      <c r="J93" s="657"/>
      <c r="K93" s="658" t="s">
        <v>8</v>
      </c>
      <c r="L93" s="1187">
        <f>'R.GUI MAIL'!AI7</f>
        <v>292.1875</v>
      </c>
      <c r="M93" s="1197" t="s">
        <v>10</v>
      </c>
      <c r="N93" s="656"/>
      <c r="O93" s="661"/>
      <c r="P93" s="661"/>
      <c r="Q93" s="662"/>
      <c r="R93" s="1186"/>
      <c r="S93" s="663"/>
      <c r="T93" s="664"/>
      <c r="U93" s="1143">
        <f>'R.GUI MAIL'!AF42</f>
        <v>9.125</v>
      </c>
      <c r="V93" s="311"/>
      <c r="W93" s="1198" t="s">
        <v>8</v>
      </c>
      <c r="X93" s="1187">
        <f>'R.GUI MAIL'!AI42</f>
        <v>274.74609375</v>
      </c>
      <c r="Y93" s="1197" t="s">
        <v>10</v>
      </c>
    </row>
    <row r="94" spans="1:25" ht="33.75" customHeight="1">
      <c r="A94" s="651">
        <v>4</v>
      </c>
      <c r="B94" s="3578" t="s">
        <v>744</v>
      </c>
      <c r="C94" s="1189" t="s">
        <v>745</v>
      </c>
      <c r="D94" s="1190">
        <f>R.HN!$C$12</f>
        <v>3</v>
      </c>
      <c r="E94" s="3581" t="s">
        <v>432</v>
      </c>
      <c r="F94" s="653" t="s">
        <v>731</v>
      </c>
      <c r="G94" s="654">
        <v>50</v>
      </c>
      <c r="H94" s="655">
        <f>R.HN!C97</f>
        <v>0</v>
      </c>
      <c r="I94" s="311">
        <f>'R.GUI MAIL'!AF8</f>
        <v>0</v>
      </c>
      <c r="J94" s="657"/>
      <c r="K94" s="658" t="s">
        <v>8</v>
      </c>
      <c r="L94" s="1187">
        <f>'R.GUI MAIL'!AI8</f>
        <v>0</v>
      </c>
      <c r="M94" s="1197" t="s">
        <v>9</v>
      </c>
      <c r="N94" s="656">
        <f>R.HN!D97</f>
        <v>0</v>
      </c>
      <c r="O94" s="311">
        <f>'R.GUI MAIL'!AF27</f>
        <v>0</v>
      </c>
      <c r="P94" s="657"/>
      <c r="Q94" s="658" t="s">
        <v>8</v>
      </c>
      <c r="R94" s="1187">
        <f>'R.GUI MAIL'!AI27</f>
        <v>0</v>
      </c>
      <c r="S94" s="659" t="s">
        <v>9</v>
      </c>
      <c r="T94" s="656"/>
      <c r="U94" s="311">
        <f>'R.GUI MAIL'!AF43</f>
        <v>45</v>
      </c>
      <c r="V94" s="311"/>
      <c r="W94" s="1198" t="s">
        <v>8</v>
      </c>
      <c r="X94" s="1187">
        <f>'R.GUI MAIL'!AI43</f>
        <v>24.675000000000001</v>
      </c>
      <c r="Y94" s="1197" t="s">
        <v>9</v>
      </c>
    </row>
    <row r="95" spans="1:25" ht="33.75" customHeight="1">
      <c r="A95" s="651">
        <v>5</v>
      </c>
      <c r="B95" s="3579"/>
      <c r="C95" s="1191"/>
      <c r="D95" s="1192"/>
      <c r="E95" s="3581"/>
      <c r="F95" s="653" t="s">
        <v>727</v>
      </c>
      <c r="G95" s="665">
        <v>6</v>
      </c>
      <c r="H95" s="655">
        <f>R.HN!C98</f>
        <v>0</v>
      </c>
      <c r="I95" s="311">
        <f>'R.GUI MAIL'!AF9</f>
        <v>0</v>
      </c>
      <c r="J95" s="657"/>
      <c r="K95" s="658" t="s">
        <v>8</v>
      </c>
      <c r="L95" s="1187">
        <f>'R.GUI MAIL'!AI9</f>
        <v>0</v>
      </c>
      <c r="M95" s="1197" t="s">
        <v>9</v>
      </c>
      <c r="N95" s="656">
        <f>R.HN!D98</f>
        <v>0</v>
      </c>
      <c r="O95" s="311">
        <f>'R.GUI MAIL'!AF28</f>
        <v>0</v>
      </c>
      <c r="P95" s="657"/>
      <c r="Q95" s="658"/>
      <c r="R95" s="1187">
        <f>'R.GUI MAIL'!AI28</f>
        <v>0</v>
      </c>
      <c r="S95" s="659" t="s">
        <v>9</v>
      </c>
      <c r="T95" s="656"/>
      <c r="U95" s="311">
        <f>'R.GUI MAIL'!AF44</f>
        <v>8.6538461538461533</v>
      </c>
      <c r="V95" s="311"/>
      <c r="W95" s="1198"/>
      <c r="X95" s="1187">
        <f>'R.GUI MAIL'!AI44</f>
        <v>0</v>
      </c>
      <c r="Y95" s="1197" t="s">
        <v>9</v>
      </c>
    </row>
    <row r="96" spans="1:25" ht="33.75" customHeight="1">
      <c r="A96" s="651">
        <v>6</v>
      </c>
      <c r="B96" s="3579"/>
      <c r="C96" s="1191"/>
      <c r="D96" s="1192"/>
      <c r="E96" s="3581"/>
      <c r="F96" s="653" t="s">
        <v>615</v>
      </c>
      <c r="G96" s="665">
        <v>0.4</v>
      </c>
      <c r="H96" s="655">
        <f>R.HN!C99</f>
        <v>0</v>
      </c>
      <c r="I96" s="432">
        <f>'R.GUI MAIL'!AF10</f>
        <v>0</v>
      </c>
      <c r="J96" s="657"/>
      <c r="K96" s="658" t="s">
        <v>8</v>
      </c>
      <c r="L96" s="1187">
        <f>'R.GUI MAIL'!AI10</f>
        <v>0</v>
      </c>
      <c r="M96" s="1197" t="s">
        <v>9</v>
      </c>
      <c r="N96" s="656">
        <f>R.HN!D99</f>
        <v>0</v>
      </c>
      <c r="O96" s="432">
        <f>'R.GUI MAIL'!AF29</f>
        <v>0</v>
      </c>
      <c r="P96" s="657"/>
      <c r="Q96" s="658"/>
      <c r="R96" s="1187">
        <f>'R.GUI MAIL'!AI29</f>
        <v>0</v>
      </c>
      <c r="S96" s="659" t="s">
        <v>9</v>
      </c>
      <c r="T96" s="656"/>
      <c r="U96" s="432">
        <f>'R.GUI MAIL'!AF45</f>
        <v>0.8</v>
      </c>
      <c r="V96" s="311"/>
      <c r="W96" s="1198"/>
      <c r="X96" s="1187">
        <f>'R.GUI MAIL'!AI45</f>
        <v>0</v>
      </c>
      <c r="Y96" s="1197" t="s">
        <v>9</v>
      </c>
    </row>
    <row r="97" spans="1:25" ht="33.75" hidden="1" customHeight="1">
      <c r="A97" s="651">
        <v>7</v>
      </c>
      <c r="B97" s="3578" t="s">
        <v>744</v>
      </c>
      <c r="C97" s="1189" t="s">
        <v>745</v>
      </c>
      <c r="D97" s="1190">
        <f>R.HN!$C$13</f>
        <v>4</v>
      </c>
      <c r="E97" s="3581" t="s">
        <v>432</v>
      </c>
      <c r="F97" s="653" t="s">
        <v>731</v>
      </c>
      <c r="G97" s="654">
        <v>50</v>
      </c>
      <c r="H97" s="655">
        <f>R.HN!C100</f>
        <v>0</v>
      </c>
      <c r="I97" s="311">
        <f>'R.GUI MAIL'!AF11</f>
        <v>0</v>
      </c>
      <c r="J97" s="682"/>
      <c r="K97" s="658" t="s">
        <v>8</v>
      </c>
      <c r="L97" s="1187">
        <f>'R.GUI MAIL'!AI11</f>
        <v>0</v>
      </c>
      <c r="M97" s="1197" t="s">
        <v>9</v>
      </c>
      <c r="N97" s="656">
        <f>R.HN!D100</f>
        <v>0</v>
      </c>
      <c r="O97" s="661"/>
      <c r="P97" s="670"/>
      <c r="Q97" s="671"/>
      <c r="R97" s="1186"/>
      <c r="S97" s="672"/>
      <c r="T97" s="669"/>
      <c r="U97" s="661"/>
      <c r="V97" s="661"/>
      <c r="W97" s="662"/>
      <c r="X97" s="1186"/>
      <c r="Y97" s="663"/>
    </row>
    <row r="98" spans="1:25" ht="33.75" hidden="1" customHeight="1">
      <c r="A98" s="651">
        <v>8</v>
      </c>
      <c r="B98" s="3579"/>
      <c r="C98" s="1191"/>
      <c r="D98" s="1192"/>
      <c r="E98" s="3581"/>
      <c r="F98" s="653" t="s">
        <v>727</v>
      </c>
      <c r="G98" s="665">
        <v>6</v>
      </c>
      <c r="H98" s="655">
        <f>R.HN!C101</f>
        <v>0</v>
      </c>
      <c r="I98" s="311">
        <f>'R.GUI MAIL'!AF12</f>
        <v>0</v>
      </c>
      <c r="J98" s="657"/>
      <c r="K98" s="658" t="s">
        <v>8</v>
      </c>
      <c r="L98" s="1187">
        <f>'R.GUI MAIL'!AI12</f>
        <v>0</v>
      </c>
      <c r="M98" s="1197" t="s">
        <v>9</v>
      </c>
      <c r="N98" s="656">
        <f>R.HN!D101</f>
        <v>0</v>
      </c>
      <c r="O98" s="661"/>
      <c r="P98" s="670"/>
      <c r="Q98" s="671"/>
      <c r="R98" s="1186"/>
      <c r="S98" s="672"/>
      <c r="T98" s="656"/>
      <c r="U98" s="661"/>
      <c r="V98" s="661"/>
      <c r="W98" s="662"/>
      <c r="X98" s="1186"/>
      <c r="Y98" s="663"/>
    </row>
    <row r="99" spans="1:25" ht="33.75" hidden="1" customHeight="1">
      <c r="A99" s="651">
        <v>9</v>
      </c>
      <c r="B99" s="3579"/>
      <c r="C99" s="1191"/>
      <c r="D99" s="1192"/>
      <c r="E99" s="3581"/>
      <c r="F99" s="653" t="s">
        <v>615</v>
      </c>
      <c r="G99" s="665">
        <v>0.4</v>
      </c>
      <c r="H99" s="655">
        <f>R.HN!C102</f>
        <v>0</v>
      </c>
      <c r="I99" s="432">
        <f>'R.GUI MAIL'!AF13</f>
        <v>0</v>
      </c>
      <c r="J99" s="682"/>
      <c r="K99" s="658" t="s">
        <v>8</v>
      </c>
      <c r="L99" s="1187">
        <f>'R.GUI MAIL'!AI13</f>
        <v>0</v>
      </c>
      <c r="M99" s="1197" t="s">
        <v>9</v>
      </c>
      <c r="N99" s="656">
        <f>R.HN!D102</f>
        <v>0</v>
      </c>
      <c r="O99" s="670"/>
      <c r="P99" s="670"/>
      <c r="Q99" s="671"/>
      <c r="R99" s="1186"/>
      <c r="S99" s="672"/>
      <c r="T99" s="669"/>
      <c r="U99" s="670"/>
      <c r="V99" s="670"/>
      <c r="W99" s="671"/>
      <c r="X99" s="1186"/>
      <c r="Y99" s="672"/>
    </row>
    <row r="100" spans="1:25" ht="33.75" customHeight="1">
      <c r="A100" s="651">
        <v>10</v>
      </c>
      <c r="B100" s="3575" t="s">
        <v>746</v>
      </c>
      <c r="C100" s="3576"/>
      <c r="D100" s="3577"/>
      <c r="E100" s="651" t="s">
        <v>432</v>
      </c>
      <c r="F100" s="673" t="s">
        <v>442</v>
      </c>
      <c r="G100" s="665">
        <v>2</v>
      </c>
      <c r="H100" s="655">
        <f>R.HN!C109</f>
        <v>0</v>
      </c>
      <c r="I100" s="311">
        <f>'R.GUI MAIL'!AF14</f>
        <v>0</v>
      </c>
      <c r="J100" s="657"/>
      <c r="K100" s="658" t="s">
        <v>8</v>
      </c>
      <c r="L100" s="1195">
        <f>'R.GUI MAIL'!AI14</f>
        <v>0</v>
      </c>
      <c r="M100" s="1197" t="s">
        <v>9</v>
      </c>
      <c r="N100" s="656">
        <f>R.HN!D109</f>
        <v>0</v>
      </c>
      <c r="O100" s="311">
        <f>'R.GUI MAIL'!AF30</f>
        <v>0</v>
      </c>
      <c r="P100" s="657"/>
      <c r="Q100" s="658" t="s">
        <v>8</v>
      </c>
      <c r="R100" s="1187">
        <f>'R.GUI MAIL'!AI30</f>
        <v>0</v>
      </c>
      <c r="S100" s="659" t="s">
        <v>9</v>
      </c>
      <c r="T100" s="656"/>
      <c r="U100" s="311">
        <f>'R.GUI MAIL'!AF46</f>
        <v>0.95</v>
      </c>
      <c r="V100" s="311"/>
      <c r="W100" s="1198" t="s">
        <v>8</v>
      </c>
      <c r="X100" s="1187">
        <f>'R.GUI MAIL'!AI46</f>
        <v>6.1700000000000053E-2</v>
      </c>
      <c r="Y100" s="1197" t="s">
        <v>9</v>
      </c>
    </row>
    <row r="101" spans="1:25" ht="33.75" customHeight="1">
      <c r="A101" s="651">
        <v>11</v>
      </c>
      <c r="B101" s="3590"/>
      <c r="C101" s="3591"/>
      <c r="D101" s="3592"/>
      <c r="E101" s="651" t="s">
        <v>5</v>
      </c>
      <c r="F101" s="1193" t="s">
        <v>621</v>
      </c>
      <c r="G101" s="674">
        <v>9</v>
      </c>
      <c r="H101" s="655">
        <f>R.HN!C110</f>
        <v>0</v>
      </c>
      <c r="I101" s="311">
        <f>'R.GUI MAIL'!AF15</f>
        <v>0</v>
      </c>
      <c r="J101" s="657"/>
      <c r="K101" s="658"/>
      <c r="L101" s="1187"/>
      <c r="M101" s="659"/>
      <c r="N101" s="656">
        <f>R.HN!D110</f>
        <v>0</v>
      </c>
      <c r="O101" s="311">
        <f>'R.GUI MAIL'!AF31</f>
        <v>0</v>
      </c>
      <c r="P101" s="657"/>
      <c r="Q101" s="658"/>
      <c r="R101" s="1187">
        <f>'R.GUI MAIL'!AI31</f>
        <v>0</v>
      </c>
      <c r="S101" s="659"/>
      <c r="T101" s="656"/>
      <c r="U101" s="311">
        <f>'R.GUI MAIL'!AF47</f>
        <v>10</v>
      </c>
      <c r="V101" s="311"/>
      <c r="W101" s="1198"/>
      <c r="X101" s="1187"/>
      <c r="Y101" s="1197"/>
    </row>
    <row r="102" spans="1:25" ht="33.75" customHeight="1">
      <c r="A102" s="675"/>
      <c r="B102" s="1936"/>
      <c r="C102" s="676"/>
      <c r="D102" s="676"/>
      <c r="E102" s="676" t="s">
        <v>2</v>
      </c>
      <c r="F102" s="676"/>
      <c r="G102" s="676"/>
      <c r="H102" s="676"/>
      <c r="I102" s="676"/>
      <c r="J102" s="676"/>
      <c r="K102" s="676"/>
      <c r="L102" s="676"/>
      <c r="M102" s="676"/>
      <c r="N102" s="676"/>
      <c r="O102" s="676"/>
      <c r="P102" s="676"/>
      <c r="Q102" s="676"/>
      <c r="R102" s="676"/>
      <c r="S102" s="676"/>
      <c r="T102" s="676"/>
      <c r="U102" s="676"/>
      <c r="V102" s="676"/>
      <c r="W102" s="676"/>
      <c r="X102" s="676"/>
      <c r="Y102" s="1194"/>
    </row>
    <row r="103" spans="1:25" ht="33.75" customHeight="1">
      <c r="A103" s="677" t="s">
        <v>55</v>
      </c>
      <c r="B103" s="3572" t="s">
        <v>747</v>
      </c>
      <c r="C103" s="3573"/>
      <c r="D103" s="3574"/>
      <c r="E103" s="678" t="s">
        <v>748</v>
      </c>
      <c r="F103" s="678" t="s">
        <v>749</v>
      </c>
      <c r="G103" s="679" t="s">
        <v>740</v>
      </c>
      <c r="H103" s="680"/>
      <c r="I103" s="3582" t="s">
        <v>46</v>
      </c>
      <c r="J103" s="3584"/>
      <c r="K103" s="3584"/>
      <c r="L103" s="3584" t="s">
        <v>63</v>
      </c>
      <c r="M103" s="3585"/>
      <c r="N103" s="645"/>
      <c r="O103" s="3582" t="s">
        <v>46</v>
      </c>
      <c r="P103" s="3584"/>
      <c r="Q103" s="3584"/>
      <c r="R103" s="3584" t="s">
        <v>63</v>
      </c>
      <c r="S103" s="3585"/>
      <c r="T103" s="645"/>
      <c r="U103" s="3582" t="s">
        <v>46</v>
      </c>
      <c r="V103" s="3583"/>
      <c r="W103" s="3583"/>
      <c r="X103" s="3584" t="s">
        <v>63</v>
      </c>
      <c r="Y103" s="3585"/>
    </row>
    <row r="104" spans="1:25" ht="33.75" customHeight="1">
      <c r="A104" s="677">
        <v>1</v>
      </c>
      <c r="B104" s="3572" t="s">
        <v>750</v>
      </c>
      <c r="C104" s="3573"/>
      <c r="D104" s="3574"/>
      <c r="E104" s="681" t="s">
        <v>751</v>
      </c>
      <c r="F104" s="673" t="s">
        <v>1121</v>
      </c>
      <c r="G104" s="679"/>
      <c r="H104" s="680"/>
      <c r="I104" s="1587"/>
      <c r="J104" s="1588"/>
      <c r="K104" s="1588"/>
      <c r="L104" s="1584"/>
      <c r="M104" s="1585"/>
      <c r="N104" s="1586"/>
      <c r="O104" s="3522">
        <f>'R.GUI MAIL'!AF34</f>
        <v>0</v>
      </c>
      <c r="P104" s="3522"/>
      <c r="Q104" s="3522"/>
      <c r="R104" s="3522">
        <f>'R.GUI MAIL'!AI34</f>
        <v>0</v>
      </c>
      <c r="S104" s="3522"/>
      <c r="T104" s="3522"/>
      <c r="U104" s="3522">
        <f>'R.GUI MAIL'!AF50</f>
        <v>0</v>
      </c>
      <c r="V104" s="3522"/>
      <c r="W104" s="3522"/>
      <c r="X104" s="3522">
        <f>'R.GUI MAIL'!AI50</f>
        <v>58</v>
      </c>
      <c r="Y104" s="3522"/>
    </row>
    <row r="105" spans="1:25" ht="33.75" customHeight="1">
      <c r="A105" s="677">
        <v>2</v>
      </c>
      <c r="B105" s="3572" t="s">
        <v>752</v>
      </c>
      <c r="C105" s="3573"/>
      <c r="D105" s="3574"/>
      <c r="E105" s="681" t="s">
        <v>751</v>
      </c>
      <c r="F105" s="673" t="s">
        <v>753</v>
      </c>
      <c r="G105" s="682" t="e">
        <f>'[7]file goc'!G180</f>
        <v>#REF!</v>
      </c>
      <c r="H105" s="682"/>
      <c r="I105" s="3523">
        <f>'R.GUI MAIL'!AF18</f>
        <v>0</v>
      </c>
      <c r="J105" s="3524"/>
      <c r="K105" s="3524"/>
      <c r="L105" s="3523">
        <f>'R.GUI MAIL'!AI18</f>
        <v>0</v>
      </c>
      <c r="M105" s="3524"/>
      <c r="N105" s="1541"/>
      <c r="O105" s="3523">
        <f>'R.GUI MAIL'!AF35</f>
        <v>0</v>
      </c>
      <c r="P105" s="3524"/>
      <c r="Q105" s="3524"/>
      <c r="R105" s="3523">
        <f>'R.GUI MAIL'!AI35</f>
        <v>0</v>
      </c>
      <c r="S105" s="3525"/>
      <c r="T105" s="1586"/>
      <c r="U105" s="3523">
        <f>'R.GUI MAIL'!AF51</f>
        <v>0</v>
      </c>
      <c r="V105" s="3524"/>
      <c r="W105" s="3525"/>
      <c r="X105" s="3523">
        <f>'R.GUI MAIL'!AI51</f>
        <v>70</v>
      </c>
      <c r="Y105" s="3525"/>
    </row>
    <row r="106" spans="1:25" ht="33.75" hidden="1" customHeight="1">
      <c r="A106" s="677">
        <v>3</v>
      </c>
      <c r="B106" s="3572" t="s">
        <v>754</v>
      </c>
      <c r="C106" s="3573"/>
      <c r="D106" s="3574"/>
      <c r="E106" s="681" t="s">
        <v>751</v>
      </c>
      <c r="F106" s="673" t="s">
        <v>753</v>
      </c>
      <c r="G106" s="683" t="e">
        <f>'[7]file goc'!G181</f>
        <v>#REF!</v>
      </c>
      <c r="H106" s="682"/>
      <c r="I106" s="3523">
        <f>'R.GUI MAIL'!AF19</f>
        <v>0</v>
      </c>
      <c r="J106" s="3524"/>
      <c r="K106" s="3524"/>
      <c r="L106" s="3523">
        <f>'R.GUI MAIL'!AI19</f>
        <v>0</v>
      </c>
      <c r="M106" s="3525"/>
      <c r="N106" s="1586"/>
      <c r="O106" s="1587"/>
      <c r="P106" s="1588"/>
      <c r="Q106" s="1588"/>
      <c r="R106" s="1589"/>
      <c r="S106" s="1590"/>
      <c r="T106" s="1586"/>
      <c r="U106" s="1591"/>
      <c r="V106" s="1591"/>
      <c r="W106" s="1591"/>
      <c r="X106" s="1591"/>
      <c r="Y106" s="1591"/>
    </row>
    <row r="107" spans="1:25" ht="33.75" customHeight="1">
      <c r="A107" s="677">
        <v>6</v>
      </c>
      <c r="B107" s="3572" t="s">
        <v>755</v>
      </c>
      <c r="C107" s="3573"/>
      <c r="D107" s="3574"/>
      <c r="E107" s="681" t="s">
        <v>751</v>
      </c>
      <c r="F107" s="673" t="s">
        <v>756</v>
      </c>
      <c r="G107" s="683" t="e">
        <f>'[7]file goc'!G184</f>
        <v>#REF!</v>
      </c>
      <c r="H107" s="682"/>
      <c r="I107" s="3523">
        <f>'R.GUI MAIL'!AF20</f>
        <v>0</v>
      </c>
      <c r="J107" s="3524"/>
      <c r="K107" s="3524"/>
      <c r="L107" s="3523">
        <f>'R.GUI MAIL'!AI20</f>
        <v>0</v>
      </c>
      <c r="M107" s="3525"/>
      <c r="N107" s="1586"/>
      <c r="O107" s="3523">
        <f>'R.GUI MAIL'!AF36</f>
        <v>0</v>
      </c>
      <c r="P107" s="3524"/>
      <c r="Q107" s="3524"/>
      <c r="R107" s="3523">
        <f>'R.GUI MAIL'!AI36</f>
        <v>0</v>
      </c>
      <c r="S107" s="3525"/>
      <c r="T107" s="1586"/>
      <c r="U107" s="3523">
        <f>'R.GUI MAIL'!AF52</f>
        <v>0</v>
      </c>
      <c r="V107" s="3524"/>
      <c r="W107" s="3525"/>
      <c r="X107" s="3523">
        <f>'R.GUI MAIL'!AI52</f>
        <v>79</v>
      </c>
      <c r="Y107" s="3525"/>
    </row>
    <row r="108" spans="1:25" ht="26.25" customHeight="1">
      <c r="A108" s="3596" t="s">
        <v>1491</v>
      </c>
      <c r="B108" s="3597"/>
      <c r="C108" s="3569" t="str">
        <f>MENU!$AC$9</f>
        <v>Thứ 3,</v>
      </c>
      <c r="D108" s="3569"/>
      <c r="E108" s="3570" t="str">
        <f>MENU!$AD$9</f>
        <v>2024/01/09</v>
      </c>
      <c r="F108" s="3571"/>
      <c r="G108" s="3571"/>
      <c r="H108" s="3571"/>
      <c r="I108" s="2143" t="s">
        <v>736</v>
      </c>
      <c r="J108" s="2143"/>
      <c r="K108" s="2143"/>
      <c r="L108" s="2143"/>
      <c r="M108" s="2143"/>
      <c r="N108" s="2143"/>
      <c r="O108" s="2143"/>
      <c r="P108" s="2143"/>
      <c r="Q108" s="2143"/>
      <c r="R108" s="2143"/>
      <c r="S108" s="2143"/>
      <c r="T108" s="2143"/>
      <c r="U108" s="2143"/>
      <c r="V108" s="2143"/>
      <c r="W108" s="2143"/>
      <c r="X108" s="2143"/>
      <c r="Y108" s="2144"/>
    </row>
    <row r="109" spans="1:25" ht="27" customHeight="1">
      <c r="A109" s="3553" t="s">
        <v>7</v>
      </c>
      <c r="B109" s="2980" t="s">
        <v>737</v>
      </c>
      <c r="C109" s="2981"/>
      <c r="D109" s="3556"/>
      <c r="E109" s="3561" t="s">
        <v>738</v>
      </c>
      <c r="F109" s="3564" t="s">
        <v>739</v>
      </c>
      <c r="G109" s="643"/>
      <c r="H109" s="644"/>
      <c r="I109" s="3567" t="s">
        <v>740</v>
      </c>
      <c r="J109" s="3568"/>
      <c r="K109" s="3568"/>
      <c r="L109" s="3568"/>
      <c r="M109" s="3568"/>
      <c r="N109" s="645"/>
      <c r="O109" s="3567" t="s">
        <v>1307</v>
      </c>
      <c r="P109" s="3568"/>
      <c r="Q109" s="3568"/>
      <c r="R109" s="3568"/>
      <c r="S109" s="3568"/>
      <c r="T109" s="645"/>
      <c r="U109" s="3567" t="s">
        <v>1308</v>
      </c>
      <c r="V109" s="3568"/>
      <c r="W109" s="3568"/>
      <c r="X109" s="3568"/>
      <c r="Y109" s="3568"/>
    </row>
    <row r="110" spans="1:25" ht="17.25">
      <c r="A110" s="3554"/>
      <c r="B110" s="3557"/>
      <c r="C110" s="3558"/>
      <c r="D110" s="3559"/>
      <c r="E110" s="3562"/>
      <c r="F110" s="3565"/>
      <c r="G110" s="646" t="s">
        <v>423</v>
      </c>
      <c r="H110" s="647"/>
      <c r="I110" s="3544" t="s">
        <v>741</v>
      </c>
      <c r="J110" s="649" t="s">
        <v>742</v>
      </c>
      <c r="K110" s="3546" t="s">
        <v>1</v>
      </c>
      <c r="L110" s="3546"/>
      <c r="M110" s="3547"/>
      <c r="N110" s="648"/>
      <c r="O110" s="3544" t="s">
        <v>741</v>
      </c>
      <c r="P110" s="649" t="s">
        <v>742</v>
      </c>
      <c r="Q110" s="3546" t="s">
        <v>1</v>
      </c>
      <c r="R110" s="3546"/>
      <c r="S110" s="3547"/>
      <c r="T110" s="647"/>
      <c r="U110" s="3544" t="s">
        <v>741</v>
      </c>
      <c r="V110" s="649" t="s">
        <v>742</v>
      </c>
      <c r="W110" s="3546" t="s">
        <v>1</v>
      </c>
      <c r="X110" s="3546"/>
      <c r="Y110" s="3547"/>
    </row>
    <row r="111" spans="1:25" ht="17.25">
      <c r="A111" s="3555"/>
      <c r="B111" s="2982"/>
      <c r="C111" s="2983"/>
      <c r="D111" s="3560"/>
      <c r="E111" s="3563"/>
      <c r="F111" s="3566"/>
      <c r="G111" s="646"/>
      <c r="H111" s="647"/>
      <c r="I111" s="3545"/>
      <c r="J111" s="650"/>
      <c r="K111" s="3548"/>
      <c r="L111" s="3548"/>
      <c r="M111" s="3549"/>
      <c r="N111" s="648"/>
      <c r="O111" s="3545"/>
      <c r="P111" s="650"/>
      <c r="Q111" s="3548"/>
      <c r="R111" s="3548"/>
      <c r="S111" s="3549"/>
      <c r="T111" s="647"/>
      <c r="U111" s="3545"/>
      <c r="V111" s="650"/>
      <c r="W111" s="3548"/>
      <c r="X111" s="3548"/>
      <c r="Y111" s="3549"/>
    </row>
    <row r="112" spans="1:25" ht="33.75" customHeight="1">
      <c r="A112" s="651">
        <v>1</v>
      </c>
      <c r="B112" s="3572" t="s">
        <v>743</v>
      </c>
      <c r="C112" s="3573"/>
      <c r="D112" s="3574"/>
      <c r="E112" s="652" t="s">
        <v>432</v>
      </c>
      <c r="F112" s="653" t="s">
        <v>729</v>
      </c>
      <c r="G112" s="654">
        <v>40</v>
      </c>
      <c r="H112" s="655">
        <f>R.HN!C117</f>
        <v>0</v>
      </c>
      <c r="I112" s="661"/>
      <c r="J112" s="670"/>
      <c r="K112" s="671"/>
      <c r="L112" s="1186"/>
      <c r="M112" s="672"/>
      <c r="N112" s="656">
        <f>R.HN!D117</f>
        <v>0</v>
      </c>
      <c r="O112" s="311">
        <f>'R.GUI MAIL'!AL25</f>
        <v>0</v>
      </c>
      <c r="P112" s="657"/>
      <c r="Q112" s="658" t="s">
        <v>8</v>
      </c>
      <c r="R112" s="1187">
        <f>'R.GUI MAIL'!AO25</f>
        <v>0</v>
      </c>
      <c r="S112" s="659" t="s">
        <v>9</v>
      </c>
      <c r="T112" s="656"/>
      <c r="U112" s="311">
        <f>'R.GUI MAIL'!AL41</f>
        <v>37</v>
      </c>
      <c r="V112" s="657"/>
      <c r="W112" s="658" t="s">
        <v>8</v>
      </c>
      <c r="X112" s="1188">
        <f>'R.GUI MAIL'!AO41</f>
        <v>6.99</v>
      </c>
      <c r="Y112" s="659" t="s">
        <v>9</v>
      </c>
    </row>
    <row r="113" spans="1:25" ht="33.75" customHeight="1">
      <c r="A113" s="651">
        <v>2</v>
      </c>
      <c r="B113" s="3572" t="s">
        <v>426</v>
      </c>
      <c r="C113" s="3573"/>
      <c r="D113" s="3574"/>
      <c r="E113" s="660" t="s">
        <v>3</v>
      </c>
      <c r="F113" s="653" t="s">
        <v>427</v>
      </c>
      <c r="G113" s="654">
        <v>22</v>
      </c>
      <c r="H113" s="655">
        <f>R.HN!C118</f>
        <v>0</v>
      </c>
      <c r="I113" s="311">
        <f>'R.GUI MAIL'!AL6</f>
        <v>0</v>
      </c>
      <c r="J113" s="657"/>
      <c r="K113" s="658" t="s">
        <v>8</v>
      </c>
      <c r="L113" s="1187">
        <f>'R.GUI MAIL'!AO6</f>
        <v>0</v>
      </c>
      <c r="M113" s="1197" t="s">
        <v>10</v>
      </c>
      <c r="N113" s="656">
        <f>R.HN!D118</f>
        <v>0</v>
      </c>
      <c r="O113" s="311">
        <f>'R.GUI MAIL'!AL26</f>
        <v>0</v>
      </c>
      <c r="P113" s="657"/>
      <c r="Q113" s="658" t="s">
        <v>8</v>
      </c>
      <c r="R113" s="1187">
        <f>'R.GUI MAIL'!AO26</f>
        <v>0</v>
      </c>
      <c r="S113" s="659" t="s">
        <v>10</v>
      </c>
      <c r="T113" s="656"/>
      <c r="U113" s="311">
        <f>'R.GUI MAIL'!AL42</f>
        <v>10.584999999999999</v>
      </c>
      <c r="V113" s="311"/>
      <c r="W113" s="1198" t="s">
        <v>8</v>
      </c>
      <c r="X113" s="1187">
        <f>'R.GUI MAIL'!AO42</f>
        <v>155.89296875000008</v>
      </c>
      <c r="Y113" s="1197" t="s">
        <v>10</v>
      </c>
    </row>
    <row r="114" spans="1:25" ht="33.75" hidden="1" customHeight="1">
      <c r="A114" s="651">
        <v>3</v>
      </c>
      <c r="B114" s="3575" t="s">
        <v>392</v>
      </c>
      <c r="C114" s="3576"/>
      <c r="D114" s="3577"/>
      <c r="E114" s="660" t="s">
        <v>3</v>
      </c>
      <c r="F114" s="653" t="s">
        <v>427</v>
      </c>
      <c r="G114" s="654"/>
      <c r="H114" s="655"/>
      <c r="I114" s="1143">
        <f>'R.GUI MAIL'!AL7</f>
        <v>0</v>
      </c>
      <c r="J114" s="657"/>
      <c r="K114" s="658" t="s">
        <v>8</v>
      </c>
      <c r="L114" s="1187">
        <f>'R.GUI MAIL'!AO7</f>
        <v>292.1875</v>
      </c>
      <c r="M114" s="1197" t="s">
        <v>10</v>
      </c>
      <c r="N114" s="656"/>
      <c r="O114" s="661"/>
      <c r="P114" s="661"/>
      <c r="Q114" s="662"/>
      <c r="R114" s="1186"/>
      <c r="S114" s="663"/>
      <c r="T114" s="664"/>
      <c r="U114" s="1143">
        <f>'R.GUI MAIL'!AL42</f>
        <v>10.584999999999999</v>
      </c>
      <c r="V114" s="311"/>
      <c r="W114" s="1198" t="s">
        <v>8</v>
      </c>
      <c r="X114" s="1187">
        <f>'R.GUI MAIL'!AO42</f>
        <v>155.89296875000008</v>
      </c>
      <c r="Y114" s="1197" t="s">
        <v>10</v>
      </c>
    </row>
    <row r="115" spans="1:25" ht="33.75" customHeight="1">
      <c r="A115" s="651">
        <v>4</v>
      </c>
      <c r="B115" s="3578" t="s">
        <v>744</v>
      </c>
      <c r="C115" s="1189" t="s">
        <v>745</v>
      </c>
      <c r="D115" s="1190">
        <f>R.HN!$C$12</f>
        <v>3</v>
      </c>
      <c r="E115" s="3581" t="s">
        <v>432</v>
      </c>
      <c r="F115" s="653" t="s">
        <v>731</v>
      </c>
      <c r="G115" s="654">
        <v>50</v>
      </c>
      <c r="H115" s="655">
        <f>R.HN!C119</f>
        <v>0</v>
      </c>
      <c r="I115" s="311">
        <f>'R.GUI MAIL'!AL8</f>
        <v>0</v>
      </c>
      <c r="J115" s="657"/>
      <c r="K115" s="658" t="s">
        <v>8</v>
      </c>
      <c r="L115" s="1187">
        <f>'R.GUI MAIL'!AO8</f>
        <v>0</v>
      </c>
      <c r="M115" s="1197" t="s">
        <v>9</v>
      </c>
      <c r="N115" s="656">
        <f>R.HN!D119</f>
        <v>0</v>
      </c>
      <c r="O115" s="311">
        <f>'R.GUI MAIL'!AL27</f>
        <v>0</v>
      </c>
      <c r="P115" s="657"/>
      <c r="Q115" s="658" t="s">
        <v>8</v>
      </c>
      <c r="R115" s="1187">
        <f>'R.GUI MAIL'!AO27</f>
        <v>0</v>
      </c>
      <c r="S115" s="659" t="s">
        <v>9</v>
      </c>
      <c r="T115" s="656"/>
      <c r="U115" s="311">
        <f>'R.GUI MAIL'!AL43</f>
        <v>45</v>
      </c>
      <c r="V115" s="311"/>
      <c r="W115" s="1198" t="s">
        <v>8</v>
      </c>
      <c r="X115" s="1187">
        <f>'R.GUI MAIL'!AO43</f>
        <v>24.675000000000001</v>
      </c>
      <c r="Y115" s="1197" t="s">
        <v>9</v>
      </c>
    </row>
    <row r="116" spans="1:25" ht="33.75" customHeight="1">
      <c r="A116" s="651">
        <v>5</v>
      </c>
      <c r="B116" s="3579"/>
      <c r="C116" s="1191"/>
      <c r="D116" s="1192"/>
      <c r="E116" s="3581"/>
      <c r="F116" s="653" t="s">
        <v>727</v>
      </c>
      <c r="G116" s="665">
        <v>6</v>
      </c>
      <c r="H116" s="655">
        <f>R.HN!C120</f>
        <v>0</v>
      </c>
      <c r="I116" s="311">
        <f>'R.GUI MAIL'!AL9</f>
        <v>0</v>
      </c>
      <c r="J116" s="657"/>
      <c r="K116" s="658" t="s">
        <v>8</v>
      </c>
      <c r="L116" s="1187">
        <f>'R.GUI MAIL'!AO9</f>
        <v>0</v>
      </c>
      <c r="M116" s="1197" t="s">
        <v>9</v>
      </c>
      <c r="N116" s="656">
        <f>R.HN!D120</f>
        <v>0</v>
      </c>
      <c r="O116" s="311">
        <f>'R.GUI MAIL'!AL28</f>
        <v>0</v>
      </c>
      <c r="P116" s="657"/>
      <c r="Q116" s="658"/>
      <c r="R116" s="1187">
        <f>'R.GUI MAIL'!AO28</f>
        <v>0</v>
      </c>
      <c r="S116" s="659" t="s">
        <v>9</v>
      </c>
      <c r="T116" s="656"/>
      <c r="U116" s="311">
        <f>'R.GUI MAIL'!AL44</f>
        <v>8.4905660377358494</v>
      </c>
      <c r="V116" s="311"/>
      <c r="W116" s="1198"/>
      <c r="X116" s="1187">
        <f>'R.GUI MAIL'!AO44</f>
        <v>0</v>
      </c>
      <c r="Y116" s="1197" t="s">
        <v>9</v>
      </c>
    </row>
    <row r="117" spans="1:25" ht="33.75" customHeight="1">
      <c r="A117" s="651">
        <v>6</v>
      </c>
      <c r="B117" s="3579"/>
      <c r="C117" s="1191"/>
      <c r="D117" s="1192"/>
      <c r="E117" s="3581"/>
      <c r="F117" s="653" t="s">
        <v>615</v>
      </c>
      <c r="G117" s="665">
        <v>0.4</v>
      </c>
      <c r="H117" s="655">
        <f>R.HN!C121</f>
        <v>0</v>
      </c>
      <c r="I117" s="432">
        <f>'R.GUI MAIL'!AL10</f>
        <v>0</v>
      </c>
      <c r="J117" s="657"/>
      <c r="K117" s="658" t="s">
        <v>8</v>
      </c>
      <c r="L117" s="1187">
        <f>'R.GUI MAIL'!AO10</f>
        <v>0</v>
      </c>
      <c r="M117" s="1197" t="s">
        <v>9</v>
      </c>
      <c r="N117" s="656">
        <f>R.HN!D121</f>
        <v>0</v>
      </c>
      <c r="O117" s="432">
        <f>'R.GUI MAIL'!AL29</f>
        <v>0</v>
      </c>
      <c r="P117" s="657"/>
      <c r="Q117" s="658"/>
      <c r="R117" s="1187">
        <f>'R.GUI MAIL'!AO29</f>
        <v>0</v>
      </c>
      <c r="S117" s="659" t="s">
        <v>9</v>
      </c>
      <c r="T117" s="656"/>
      <c r="U117" s="432">
        <f>'R.GUI MAIL'!AL45</f>
        <v>0.64</v>
      </c>
      <c r="V117" s="311"/>
      <c r="W117" s="1198"/>
      <c r="X117" s="1187">
        <f>'R.GUI MAIL'!AO45</f>
        <v>0</v>
      </c>
      <c r="Y117" s="1197" t="s">
        <v>9</v>
      </c>
    </row>
    <row r="118" spans="1:25" ht="33.75" hidden="1" customHeight="1">
      <c r="A118" s="651">
        <v>7</v>
      </c>
      <c r="B118" s="3578" t="s">
        <v>744</v>
      </c>
      <c r="C118" s="1189" t="s">
        <v>745</v>
      </c>
      <c r="D118" s="1190">
        <f>R.HN!$C$13</f>
        <v>4</v>
      </c>
      <c r="E118" s="3581" t="s">
        <v>432</v>
      </c>
      <c r="F118" s="653" t="s">
        <v>731</v>
      </c>
      <c r="G118" s="654">
        <v>50</v>
      </c>
      <c r="H118" s="655">
        <f>R.HN!C122</f>
        <v>0</v>
      </c>
      <c r="I118" s="311">
        <f>'R.GUI MAIL'!AL11</f>
        <v>0</v>
      </c>
      <c r="J118" s="682"/>
      <c r="K118" s="658" t="s">
        <v>8</v>
      </c>
      <c r="L118" s="1187">
        <f>'R.GUI MAIL'!AO11</f>
        <v>0</v>
      </c>
      <c r="M118" s="1197" t="s">
        <v>9</v>
      </c>
      <c r="N118" s="656">
        <f>R.HN!D122</f>
        <v>0</v>
      </c>
      <c r="O118" s="661"/>
      <c r="P118" s="670"/>
      <c r="Q118" s="671"/>
      <c r="R118" s="1186"/>
      <c r="S118" s="672"/>
      <c r="T118" s="669"/>
      <c r="U118" s="661"/>
      <c r="V118" s="661"/>
      <c r="W118" s="662"/>
      <c r="X118" s="1186"/>
      <c r="Y118" s="663"/>
    </row>
    <row r="119" spans="1:25" ht="33.75" hidden="1" customHeight="1">
      <c r="A119" s="651">
        <v>8</v>
      </c>
      <c r="B119" s="3579"/>
      <c r="C119" s="1191"/>
      <c r="D119" s="1192"/>
      <c r="E119" s="3581"/>
      <c r="F119" s="653" t="s">
        <v>727</v>
      </c>
      <c r="G119" s="665">
        <v>6</v>
      </c>
      <c r="H119" s="655">
        <f>R.HN!C123</f>
        <v>0</v>
      </c>
      <c r="I119" s="311">
        <f>'R.GUI MAIL'!AL12</f>
        <v>0</v>
      </c>
      <c r="J119" s="657"/>
      <c r="K119" s="658" t="s">
        <v>8</v>
      </c>
      <c r="L119" s="1187">
        <f>'R.GUI MAIL'!AO12</f>
        <v>0</v>
      </c>
      <c r="M119" s="1197" t="s">
        <v>9</v>
      </c>
      <c r="N119" s="656">
        <f>R.HN!D123</f>
        <v>0</v>
      </c>
      <c r="O119" s="661"/>
      <c r="P119" s="670"/>
      <c r="Q119" s="671"/>
      <c r="R119" s="1186"/>
      <c r="S119" s="672"/>
      <c r="T119" s="656"/>
      <c r="U119" s="661"/>
      <c r="V119" s="661"/>
      <c r="W119" s="662"/>
      <c r="X119" s="1186"/>
      <c r="Y119" s="663"/>
    </row>
    <row r="120" spans="1:25" ht="33.75" hidden="1" customHeight="1">
      <c r="A120" s="651">
        <v>9</v>
      </c>
      <c r="B120" s="3579"/>
      <c r="C120" s="1191"/>
      <c r="D120" s="1192"/>
      <c r="E120" s="3581"/>
      <c r="F120" s="653" t="s">
        <v>615</v>
      </c>
      <c r="G120" s="665">
        <v>0.4</v>
      </c>
      <c r="H120" s="655">
        <f>R.HN!C124</f>
        <v>0</v>
      </c>
      <c r="I120" s="432">
        <f>'R.GUI MAIL'!AL13</f>
        <v>0</v>
      </c>
      <c r="J120" s="682"/>
      <c r="K120" s="658" t="s">
        <v>8</v>
      </c>
      <c r="L120" s="1187">
        <f>'R.GUI MAIL'!AO13</f>
        <v>0</v>
      </c>
      <c r="M120" s="1197" t="s">
        <v>9</v>
      </c>
      <c r="N120" s="656">
        <f>R.HN!D124</f>
        <v>0</v>
      </c>
      <c r="O120" s="670"/>
      <c r="P120" s="670"/>
      <c r="Q120" s="671"/>
      <c r="R120" s="1186"/>
      <c r="S120" s="672"/>
      <c r="T120" s="669"/>
      <c r="U120" s="670"/>
      <c r="V120" s="670"/>
      <c r="W120" s="671"/>
      <c r="X120" s="1186"/>
      <c r="Y120" s="672"/>
    </row>
    <row r="121" spans="1:25" ht="33.75" customHeight="1">
      <c r="A121" s="651">
        <v>10</v>
      </c>
      <c r="B121" s="3575" t="s">
        <v>746</v>
      </c>
      <c r="C121" s="3576"/>
      <c r="D121" s="3577"/>
      <c r="E121" s="651" t="s">
        <v>432</v>
      </c>
      <c r="F121" s="673" t="s">
        <v>442</v>
      </c>
      <c r="G121" s="665">
        <v>2</v>
      </c>
      <c r="H121" s="655">
        <f>R.HN!C131</f>
        <v>0</v>
      </c>
      <c r="I121" s="311">
        <f>'R.GUI MAIL'!AL14</f>
        <v>0</v>
      </c>
      <c r="J121" s="657"/>
      <c r="K121" s="658" t="s">
        <v>8</v>
      </c>
      <c r="L121" s="1195">
        <f>'R.GUI MAIL'!AO14</f>
        <v>0</v>
      </c>
      <c r="M121" s="1197" t="s">
        <v>9</v>
      </c>
      <c r="N121" s="656">
        <f>R.HN!D131</f>
        <v>0</v>
      </c>
      <c r="O121" s="311">
        <f>'R.GUI MAIL'!AL30</f>
        <v>0</v>
      </c>
      <c r="P121" s="657"/>
      <c r="Q121" s="658" t="s">
        <v>8</v>
      </c>
      <c r="R121" s="1187">
        <f>'R.GUI MAIL'!AO30</f>
        <v>0</v>
      </c>
      <c r="S121" s="659" t="s">
        <v>9</v>
      </c>
      <c r="T121" s="656"/>
      <c r="U121" s="311">
        <f>'R.GUI MAIL'!AL46</f>
        <v>0.9</v>
      </c>
      <c r="V121" s="311"/>
      <c r="W121" s="1198" t="s">
        <v>8</v>
      </c>
      <c r="X121" s="1187">
        <f>'R.GUI MAIL'!AO46</f>
        <v>0.12339999999999998</v>
      </c>
      <c r="Y121" s="1197" t="s">
        <v>9</v>
      </c>
    </row>
    <row r="122" spans="1:25" ht="33.75" customHeight="1">
      <c r="A122" s="651">
        <v>11</v>
      </c>
      <c r="B122" s="3590"/>
      <c r="C122" s="3591"/>
      <c r="D122" s="3592"/>
      <c r="E122" s="651" t="s">
        <v>5</v>
      </c>
      <c r="F122" s="1193" t="s">
        <v>621</v>
      </c>
      <c r="G122" s="674">
        <v>9</v>
      </c>
      <c r="H122" s="655">
        <f>R.HN!C132</f>
        <v>0</v>
      </c>
      <c r="I122" s="311">
        <f>'R.GUI MAIL'!AL15</f>
        <v>0</v>
      </c>
      <c r="J122" s="657"/>
      <c r="K122" s="658"/>
      <c r="L122" s="1187"/>
      <c r="M122" s="659"/>
      <c r="N122" s="656">
        <f>R.HN!D132</f>
        <v>0</v>
      </c>
      <c r="O122" s="311">
        <f>'R.GUI MAIL'!AL31</f>
        <v>0</v>
      </c>
      <c r="P122" s="657"/>
      <c r="Q122" s="658"/>
      <c r="R122" s="1187"/>
      <c r="S122" s="659"/>
      <c r="T122" s="656"/>
      <c r="U122" s="311">
        <f>'R.GUI MAIL'!AL47</f>
        <v>9</v>
      </c>
      <c r="V122" s="311"/>
      <c r="W122" s="1198"/>
      <c r="X122" s="1187"/>
      <c r="Y122" s="1197"/>
    </row>
    <row r="123" spans="1:25" ht="33.75" customHeight="1">
      <c r="A123" s="675"/>
      <c r="B123" s="1936"/>
      <c r="C123" s="676"/>
      <c r="D123" s="676"/>
      <c r="E123" s="676" t="s">
        <v>2</v>
      </c>
      <c r="F123" s="676"/>
      <c r="G123" s="676"/>
      <c r="H123" s="676"/>
      <c r="I123" s="676"/>
      <c r="J123" s="676"/>
      <c r="K123" s="676"/>
      <c r="L123" s="676"/>
      <c r="M123" s="676"/>
      <c r="N123" s="676"/>
      <c r="O123" s="676"/>
      <c r="P123" s="676"/>
      <c r="Q123" s="676"/>
      <c r="R123" s="676"/>
      <c r="S123" s="676"/>
      <c r="T123" s="676"/>
      <c r="U123" s="676"/>
      <c r="V123" s="676"/>
      <c r="W123" s="676"/>
      <c r="X123" s="676"/>
      <c r="Y123" s="1194"/>
    </row>
    <row r="124" spans="1:25" ht="33.75" customHeight="1">
      <c r="A124" s="677" t="s">
        <v>55</v>
      </c>
      <c r="B124" s="3572" t="s">
        <v>747</v>
      </c>
      <c r="C124" s="3573"/>
      <c r="D124" s="3574"/>
      <c r="E124" s="678" t="s">
        <v>748</v>
      </c>
      <c r="F124" s="678" t="s">
        <v>749</v>
      </c>
      <c r="G124" s="679" t="s">
        <v>740</v>
      </c>
      <c r="H124" s="680"/>
      <c r="I124" s="3582" t="s">
        <v>46</v>
      </c>
      <c r="J124" s="3583"/>
      <c r="K124" s="3583"/>
      <c r="L124" s="3584" t="s">
        <v>63</v>
      </c>
      <c r="M124" s="3585"/>
      <c r="N124" s="645"/>
      <c r="O124" s="3582" t="s">
        <v>46</v>
      </c>
      <c r="P124" s="3583"/>
      <c r="Q124" s="3583"/>
      <c r="R124" s="3584" t="s">
        <v>63</v>
      </c>
      <c r="S124" s="3585"/>
      <c r="T124" s="645"/>
      <c r="U124" s="3582" t="s">
        <v>46</v>
      </c>
      <c r="V124" s="3583"/>
      <c r="W124" s="3583"/>
      <c r="X124" s="3584" t="s">
        <v>63</v>
      </c>
      <c r="Y124" s="3585"/>
    </row>
    <row r="125" spans="1:25" ht="33.75" customHeight="1">
      <c r="A125" s="677">
        <v>1</v>
      </c>
      <c r="B125" s="3572" t="s">
        <v>750</v>
      </c>
      <c r="C125" s="3573"/>
      <c r="D125" s="3574"/>
      <c r="E125" s="681" t="s">
        <v>751</v>
      </c>
      <c r="F125" s="673" t="s">
        <v>1121</v>
      </c>
      <c r="G125" s="679"/>
      <c r="H125" s="680"/>
      <c r="I125" s="1587"/>
      <c r="J125" s="1588"/>
      <c r="K125" s="1588"/>
      <c r="L125" s="1584"/>
      <c r="M125" s="1585"/>
      <c r="N125" s="1586"/>
      <c r="O125" s="3522">
        <f>'R.GUI MAIL'!AL34</f>
        <v>0</v>
      </c>
      <c r="P125" s="3522"/>
      <c r="Q125" s="3522"/>
      <c r="R125" s="3522">
        <f>'R.GUI MAIL'!AO34</f>
        <v>0</v>
      </c>
      <c r="S125" s="3522"/>
      <c r="T125" s="3522"/>
      <c r="U125" s="3522">
        <f>'R.GUI MAIL'!AL50</f>
        <v>0</v>
      </c>
      <c r="V125" s="3522"/>
      <c r="W125" s="3522"/>
      <c r="X125" s="3522">
        <f>'R.GUI MAIL'!AO50</f>
        <v>60</v>
      </c>
      <c r="Y125" s="3522"/>
    </row>
    <row r="126" spans="1:25" ht="33.75" customHeight="1">
      <c r="A126" s="677">
        <v>2</v>
      </c>
      <c r="B126" s="3572" t="s">
        <v>752</v>
      </c>
      <c r="C126" s="3573"/>
      <c r="D126" s="3574"/>
      <c r="E126" s="681" t="s">
        <v>751</v>
      </c>
      <c r="F126" s="673" t="s">
        <v>753</v>
      </c>
      <c r="G126" s="682" t="e">
        <f>'[7]file goc'!G202</f>
        <v>#REF!</v>
      </c>
      <c r="H126" s="682"/>
      <c r="I126" s="3523">
        <f>'R.GUI MAIL'!AL18</f>
        <v>0</v>
      </c>
      <c r="J126" s="3524"/>
      <c r="K126" s="3524"/>
      <c r="L126" s="3523">
        <f>'R.GUI MAIL'!AO18</f>
        <v>0</v>
      </c>
      <c r="M126" s="3524"/>
      <c r="N126" s="1541"/>
      <c r="O126" s="3523">
        <f>'R.GUI MAIL'!AL35</f>
        <v>0</v>
      </c>
      <c r="P126" s="3524"/>
      <c r="Q126" s="3524"/>
      <c r="R126" s="3523">
        <f>'R.GUI MAIL'!AO35</f>
        <v>0</v>
      </c>
      <c r="S126" s="3525"/>
      <c r="T126" s="1586"/>
      <c r="U126" s="3523">
        <f>'R.GUI MAIL'!AL51</f>
        <v>0</v>
      </c>
      <c r="V126" s="3524"/>
      <c r="W126" s="3525"/>
      <c r="X126" s="3523">
        <f>'R.GUI MAIL'!AO51</f>
        <v>70</v>
      </c>
      <c r="Y126" s="3525"/>
    </row>
    <row r="127" spans="1:25" ht="33.75" hidden="1" customHeight="1">
      <c r="A127" s="677">
        <v>3</v>
      </c>
      <c r="B127" s="3572" t="s">
        <v>754</v>
      </c>
      <c r="C127" s="3573"/>
      <c r="D127" s="3574"/>
      <c r="E127" s="681" t="s">
        <v>751</v>
      </c>
      <c r="F127" s="673" t="s">
        <v>753</v>
      </c>
      <c r="G127" s="683" t="e">
        <f>'[7]file goc'!G203</f>
        <v>#REF!</v>
      </c>
      <c r="H127" s="682"/>
      <c r="I127" s="3523">
        <f>'R.GUI MAIL'!AL19</f>
        <v>0</v>
      </c>
      <c r="J127" s="3524"/>
      <c r="K127" s="3524"/>
      <c r="L127" s="3523">
        <f>'R.GUI MAIL'!AO19</f>
        <v>0</v>
      </c>
      <c r="M127" s="3525"/>
      <c r="N127" s="1586"/>
      <c r="O127" s="1587"/>
      <c r="P127" s="1588"/>
      <c r="Q127" s="1588"/>
      <c r="R127" s="1589"/>
      <c r="S127" s="1590"/>
      <c r="T127" s="1586"/>
      <c r="U127" s="1591"/>
      <c r="V127" s="1591"/>
      <c r="W127" s="1591"/>
      <c r="X127" s="1591"/>
      <c r="Y127" s="1591"/>
    </row>
    <row r="128" spans="1:25" ht="33.75" customHeight="1">
      <c r="A128" s="677">
        <v>6</v>
      </c>
      <c r="B128" s="3572" t="s">
        <v>755</v>
      </c>
      <c r="C128" s="3573"/>
      <c r="D128" s="3574"/>
      <c r="E128" s="681" t="s">
        <v>751</v>
      </c>
      <c r="F128" s="673" t="s">
        <v>756</v>
      </c>
      <c r="G128" s="683" t="e">
        <f>'[7]file goc'!G206</f>
        <v>#REF!</v>
      </c>
      <c r="H128" s="682"/>
      <c r="I128" s="3523">
        <f>'R.GUI MAIL'!AL20</f>
        <v>0</v>
      </c>
      <c r="J128" s="3524"/>
      <c r="K128" s="3524"/>
      <c r="L128" s="3523">
        <f>'R.GUI MAIL'!AO20</f>
        <v>0</v>
      </c>
      <c r="M128" s="3525"/>
      <c r="N128" s="1586"/>
      <c r="O128" s="3523">
        <f>'R.GUI MAIL'!AL36</f>
        <v>0</v>
      </c>
      <c r="P128" s="3524"/>
      <c r="Q128" s="3524"/>
      <c r="R128" s="3523">
        <f>'R.GUI MAIL'!AO36</f>
        <v>0</v>
      </c>
      <c r="S128" s="3525"/>
      <c r="T128" s="1586"/>
      <c r="U128" s="3523">
        <f>'R.GUI MAIL'!AL52</f>
        <v>0</v>
      </c>
      <c r="V128" s="3524"/>
      <c r="W128" s="3525"/>
      <c r="X128" s="3523">
        <f>'R.GUI MAIL'!AO52</f>
        <v>79</v>
      </c>
      <c r="Y128" s="3525"/>
    </row>
  </sheetData>
  <sheetProtection formatCells="0" formatColumns="0" formatRows="0" insertColumns="0" insertRows="0" insertHyperlinks="0" deleteColumns="0" deleteRows="0" selectLockedCells="1" sort="0" autoFilter="0" pivotTables="0"/>
  <mergeCells count="320">
    <mergeCell ref="X128:Y128"/>
    <mergeCell ref="B128:D128"/>
    <mergeCell ref="I128:K128"/>
    <mergeCell ref="L128:M128"/>
    <mergeCell ref="O128:Q128"/>
    <mergeCell ref="R128:S128"/>
    <mergeCell ref="U128:W128"/>
    <mergeCell ref="U126:W126"/>
    <mergeCell ref="X126:Y126"/>
    <mergeCell ref="B127:D127"/>
    <mergeCell ref="I127:K127"/>
    <mergeCell ref="L127:M127"/>
    <mergeCell ref="U124:W124"/>
    <mergeCell ref="X124:Y124"/>
    <mergeCell ref="B125:D125"/>
    <mergeCell ref="O125:Q125"/>
    <mergeCell ref="B126:D126"/>
    <mergeCell ref="I126:K126"/>
    <mergeCell ref="L126:M126"/>
    <mergeCell ref="O126:Q126"/>
    <mergeCell ref="R126:S126"/>
    <mergeCell ref="U125:W125"/>
    <mergeCell ref="X125:Y125"/>
    <mergeCell ref="R125:T125"/>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I110:I111"/>
    <mergeCell ref="K110:M111"/>
    <mergeCell ref="O110:O111"/>
    <mergeCell ref="Q110:S111"/>
    <mergeCell ref="U110:U111"/>
    <mergeCell ref="W110:Y111"/>
    <mergeCell ref="X107:Y107"/>
    <mergeCell ref="A108:B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C108:D108"/>
    <mergeCell ref="E108:H108"/>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I89:I90"/>
    <mergeCell ref="K89:M90"/>
    <mergeCell ref="O89:O90"/>
    <mergeCell ref="Q89:S90"/>
    <mergeCell ref="U89:U90"/>
    <mergeCell ref="W89:Y90"/>
    <mergeCell ref="X86:Y86"/>
    <mergeCell ref="A87:B87"/>
    <mergeCell ref="A88:A90"/>
    <mergeCell ref="B88:D90"/>
    <mergeCell ref="E88:E90"/>
    <mergeCell ref="F88:F90"/>
    <mergeCell ref="I88:M88"/>
    <mergeCell ref="O88:S88"/>
    <mergeCell ref="U88:Y88"/>
    <mergeCell ref="B86:D86"/>
    <mergeCell ref="I86:K86"/>
    <mergeCell ref="L86:M86"/>
    <mergeCell ref="O86:Q86"/>
    <mergeCell ref="R86:S86"/>
    <mergeCell ref="U86:W86"/>
    <mergeCell ref="C87:D87"/>
    <mergeCell ref="E87:H87"/>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B79:D80"/>
    <mergeCell ref="B82:D82"/>
    <mergeCell ref="I82:K82"/>
    <mergeCell ref="L82:M82"/>
    <mergeCell ref="O82:Q82"/>
    <mergeCell ref="R82:S82"/>
    <mergeCell ref="B70:D70"/>
    <mergeCell ref="B71:D71"/>
    <mergeCell ref="B72:D72"/>
    <mergeCell ref="B73:B75"/>
    <mergeCell ref="E73:E75"/>
    <mergeCell ref="B76:B78"/>
    <mergeCell ref="E76:E78"/>
    <mergeCell ref="I68:I69"/>
    <mergeCell ref="K68:M69"/>
    <mergeCell ref="O68:O69"/>
    <mergeCell ref="Q68:S69"/>
    <mergeCell ref="U68:U69"/>
    <mergeCell ref="W68:Y69"/>
    <mergeCell ref="X65:Y65"/>
    <mergeCell ref="A66:B66"/>
    <mergeCell ref="A67:A69"/>
    <mergeCell ref="B67:D69"/>
    <mergeCell ref="E67:E69"/>
    <mergeCell ref="F67:F69"/>
    <mergeCell ref="I67:M67"/>
    <mergeCell ref="O67:S67"/>
    <mergeCell ref="U67:Y67"/>
    <mergeCell ref="B65:D65"/>
    <mergeCell ref="I65:K65"/>
    <mergeCell ref="L65:M65"/>
    <mergeCell ref="O65:Q65"/>
    <mergeCell ref="R65:S65"/>
    <mergeCell ref="U65:W65"/>
    <mergeCell ref="C66:D66"/>
    <mergeCell ref="E66:H66"/>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B58:D59"/>
    <mergeCell ref="B61:D61"/>
    <mergeCell ref="I61:K61"/>
    <mergeCell ref="L61:M61"/>
    <mergeCell ref="O61:Q61"/>
    <mergeCell ref="R61:S61"/>
    <mergeCell ref="B49:D49"/>
    <mergeCell ref="B50:D50"/>
    <mergeCell ref="B51:D51"/>
    <mergeCell ref="B52:B54"/>
    <mergeCell ref="E52:E54"/>
    <mergeCell ref="B55:B57"/>
    <mergeCell ref="E55:E57"/>
    <mergeCell ref="I47:I48"/>
    <mergeCell ref="K47:M48"/>
    <mergeCell ref="O47:O48"/>
    <mergeCell ref="Q47:S48"/>
    <mergeCell ref="U47:U48"/>
    <mergeCell ref="W47:Y48"/>
    <mergeCell ref="X44:Y44"/>
    <mergeCell ref="A45:B45"/>
    <mergeCell ref="A46:A48"/>
    <mergeCell ref="B46:D48"/>
    <mergeCell ref="E46:E48"/>
    <mergeCell ref="F46:F48"/>
    <mergeCell ref="I46:M46"/>
    <mergeCell ref="O46:S46"/>
    <mergeCell ref="U46:Y46"/>
    <mergeCell ref="B44:D44"/>
    <mergeCell ref="I44:K44"/>
    <mergeCell ref="L44:M44"/>
    <mergeCell ref="O44:Q44"/>
    <mergeCell ref="R44:S44"/>
    <mergeCell ref="U44:W44"/>
    <mergeCell ref="C45:D45"/>
    <mergeCell ref="E45:H45"/>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B37:D38"/>
    <mergeCell ref="B40:D40"/>
    <mergeCell ref="I40:K40"/>
    <mergeCell ref="L40:M40"/>
    <mergeCell ref="O40:Q40"/>
    <mergeCell ref="R40:S40"/>
    <mergeCell ref="B28:D28"/>
    <mergeCell ref="B29:D29"/>
    <mergeCell ref="B30:D30"/>
    <mergeCell ref="B31:B33"/>
    <mergeCell ref="E31:E33"/>
    <mergeCell ref="B34:B36"/>
    <mergeCell ref="E34:E36"/>
    <mergeCell ref="I26:I27"/>
    <mergeCell ref="K26:M27"/>
    <mergeCell ref="O26:O27"/>
    <mergeCell ref="Q26:S27"/>
    <mergeCell ref="U26:U27"/>
    <mergeCell ref="W26:Y27"/>
    <mergeCell ref="X23:Y23"/>
    <mergeCell ref="A24:B24"/>
    <mergeCell ref="A25:A27"/>
    <mergeCell ref="B25:D27"/>
    <mergeCell ref="E25:E27"/>
    <mergeCell ref="F25:F27"/>
    <mergeCell ref="I25:M25"/>
    <mergeCell ref="O25:S25"/>
    <mergeCell ref="U25:Y25"/>
    <mergeCell ref="B23:D23"/>
    <mergeCell ref="I23:K23"/>
    <mergeCell ref="L23:M23"/>
    <mergeCell ref="O23:Q23"/>
    <mergeCell ref="R23:S23"/>
    <mergeCell ref="U23:W23"/>
    <mergeCell ref="C24:D24"/>
    <mergeCell ref="E24:H24"/>
    <mergeCell ref="X21:Y21"/>
    <mergeCell ref="B22:D22"/>
    <mergeCell ref="I22:K22"/>
    <mergeCell ref="L22:M22"/>
    <mergeCell ref="B21:D21"/>
    <mergeCell ref="I21:K21"/>
    <mergeCell ref="L21:M21"/>
    <mergeCell ref="O21:Q21"/>
    <mergeCell ref="R21:S21"/>
    <mergeCell ref="U21:W21"/>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B7:D7"/>
    <mergeCell ref="B8:D8"/>
    <mergeCell ref="B9:D9"/>
    <mergeCell ref="B10:B12"/>
    <mergeCell ref="E10:E12"/>
    <mergeCell ref="B13:B15"/>
    <mergeCell ref="E13:E15"/>
    <mergeCell ref="I5:I6"/>
    <mergeCell ref="K5:M6"/>
    <mergeCell ref="O5:O6"/>
    <mergeCell ref="Q5:S6"/>
    <mergeCell ref="U5:U6"/>
    <mergeCell ref="W5:Y6"/>
    <mergeCell ref="A1:Y1"/>
    <mergeCell ref="A3:B3"/>
    <mergeCell ref="A4:A6"/>
    <mergeCell ref="B4:D6"/>
    <mergeCell ref="E4:E6"/>
    <mergeCell ref="F4:F6"/>
    <mergeCell ref="I4:M4"/>
    <mergeCell ref="O4:S4"/>
    <mergeCell ref="U4:Y4"/>
    <mergeCell ref="C3:D3"/>
    <mergeCell ref="E3:H3"/>
  </mergeCells>
  <phoneticPr fontId="7" type="noConversion"/>
  <conditionalFormatting sqref="O71 O50 O29 I8:I9 O8 O113 U113:U114 I29:I30 U29:U30 I50:I51 U50:U51 I71:I72 U71:U72 I92:I93 U92:U93 I113:I114 O92 U8:U9">
    <cfRule type="expression" dxfId="20" priority="148">
      <formula>I8&lt;10</formula>
    </cfRule>
    <cfRule type="expression" dxfId="19" priority="149">
      <formula>I8&gt;15</formula>
    </cfRule>
  </conditionalFormatting>
  <conditionalFormatting sqref="I73 I76 O73 U73 I115 I52 I55 O52 U52 I118 I31 I34 O31 U31 U115 I10 I13 O10 U10 O115 O94 I94 I97 U94">
    <cfRule type="expression" dxfId="18" priority="146">
      <formula>I10&lt;40</formula>
    </cfRule>
    <cfRule type="expression" dxfId="17" priority="147">
      <formula>I10&gt;60</formula>
    </cfRule>
  </conditionalFormatting>
  <conditionalFormatting sqref="I74 O74 U74 I77 I116 I56 I119 I53 O53 U53 I32 O32 U32 I35 U116 O116 U11 I14 I11 O11 O95 I95 I98 U95">
    <cfRule type="expression" dxfId="16" priority="144">
      <formula>I11&lt;5.2</formula>
    </cfRule>
    <cfRule type="expression" dxfId="15" priority="145">
      <formula>I11&gt;7.8</formula>
    </cfRule>
  </conditionalFormatting>
  <conditionalFormatting sqref="I75 I78 O75 U75 I117 I54 I57 O54 U54 I120 I33 I36 O33 U33 U117 I12 I15 O12 U12 O117 O96 I96 I99 U96">
    <cfRule type="expression" dxfId="14" priority="143">
      <formula>I12&gt;0.4</formula>
    </cfRule>
  </conditionalFormatting>
  <conditionalFormatting sqref="I79 O79 U79 I58 O58 U58 I37 O37 U37 I16 O16 U16 O100 I100 U100 O121 I121 U121">
    <cfRule type="expression" dxfId="13" priority="141">
      <formula>I16&lt;0.8</formula>
    </cfRule>
    <cfRule type="expression" dxfId="12" priority="142">
      <formula>I16&gt;1.2</formula>
    </cfRule>
  </conditionalFormatting>
  <conditionalFormatting sqref="I80 U80 O80 U59 I59 O59 U38 I38 O38 U17 O17 I17 O101 I101 U101 O122 I122 U122">
    <cfRule type="expression" dxfId="11" priority="139">
      <formula>I17&lt;8</formula>
    </cfRule>
    <cfRule type="expression" dxfId="10" priority="140">
      <formula>I17&gt;10</formula>
    </cfRule>
  </conditionalFormatting>
  <conditionalFormatting sqref="O20 R20 U20 X20 O41 R41 U41 X41 O62 R62 U62 X62 O83 R83 U83 X83 O104 R104 U104 X104 O125 R125 U125 X125">
    <cfRule type="expression" dxfId="9" priority="137">
      <formula>O20&lt;55</formula>
    </cfRule>
    <cfRule type="expression" dxfId="8" priority="138">
      <formula>O20&gt;65</formula>
    </cfRule>
  </conditionalFormatting>
  <conditionalFormatting sqref="I84:I85 X84 R84:S84 U105 L84:L86 I63:I64 X63 L63:L64 R63:S63 U84 I42:I43 X42 L42:L43 R42:S42 U63 I21:I22 O21 X21 U42 R21:S21 L21:L22 I105:I106 X105 L105:L106 R105:S105 U21 O42 O63 O84 O105 I126:I127 O126 X126 L126:L127 R126:S126 U126">
    <cfRule type="expression" dxfId="7" priority="135">
      <formula>I21&lt;65</formula>
    </cfRule>
    <cfRule type="expression" dxfId="6" priority="136">
      <formula>I21&gt;85</formula>
    </cfRule>
  </conditionalFormatting>
  <conditionalFormatting sqref="I86 U86 L86 R86:S86 X86 I65 U65 L65 R65:S65 X65 I44 U44 L44 R44:S44 X44 I23 O23 U23 X23 R23:S23 L23 I107 U107 L107 R107:S107 X107 O44 O65 O86 O107 I128 U128 L128 R128:S128 X128 O128">
    <cfRule type="expression" dxfId="5" priority="133">
      <formula>I23&lt;80</formula>
    </cfRule>
    <cfRule type="expression" dxfId="4" priority="134">
      <formula>I23&gt;90</formula>
    </cfRule>
  </conditionalFormatting>
  <conditionalFormatting sqref="U28 U49 U70 U91 U112 U7 O112 O91 O70 O49 O28 O7">
    <cfRule type="expression" dxfId="3" priority="110">
      <formula>O7&lt;30</formula>
    </cfRule>
    <cfRule type="expression" dxfId="2" priority="111">
      <formula>O7&gt;50</formula>
    </cfRule>
  </conditionalFormatting>
  <conditionalFormatting sqref="O41">
    <cfRule type="expression" dxfId="1" priority="46">
      <formula>U41&lt;1</formula>
    </cfRule>
  </conditionalFormatting>
  <conditionalFormatting sqref="R41 U41 X41">
    <cfRule type="expression" dxfId="0" priority="43">
      <formula>X41&lt;1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5.xml><?xml version="1.0" encoding="utf-8"?>
<worksheet xmlns="http://schemas.openxmlformats.org/spreadsheetml/2006/main" xmlns:r="http://schemas.openxmlformats.org/officeDocument/2006/relationships">
  <sheetPr codeName="Sheet34">
    <tabColor rgb="FFFFC000"/>
  </sheetPr>
  <dimension ref="A1:I186"/>
  <sheetViews>
    <sheetView workbookViewId="0">
      <selection activeCell="C1" sqref="C1:I186"/>
    </sheetView>
  </sheetViews>
  <sheetFormatPr defaultColWidth="4.125" defaultRowHeight="12.75" customHeight="1"/>
  <cols>
    <col min="1" max="1" width="2.75" style="693" customWidth="1"/>
    <col min="2" max="2" width="16.875" style="693" customWidth="1"/>
    <col min="3" max="4" width="9.5" style="695" customWidth="1"/>
    <col min="5" max="8" width="7" style="695" customWidth="1"/>
    <col min="9" max="9" width="4.875" style="695" customWidth="1"/>
    <col min="10" max="35" width="4.125" style="693"/>
    <col min="36" max="36" width="4.125" style="693" customWidth="1"/>
    <col min="37" max="16384" width="4.125" style="693"/>
  </cols>
  <sheetData>
    <row r="1" spans="1:9" ht="18" customHeight="1">
      <c r="B1" s="694"/>
      <c r="C1" s="2176" t="str">
        <f>MENU!$AC$9</f>
        <v>Thứ 3,</v>
      </c>
    </row>
    <row r="2" spans="1:9" ht="12.75" customHeight="1">
      <c r="B2" s="696" t="s">
        <v>740</v>
      </c>
      <c r="C2" s="697" t="str">
        <f>'1.xi den'!G3</f>
        <v>2024/01/09</v>
      </c>
    </row>
    <row r="3" spans="1:9" s="700" customFormat="1" ht="12.75" customHeight="1">
      <c r="A3" s="3599" t="s">
        <v>7</v>
      </c>
      <c r="B3" s="3601" t="s">
        <v>757</v>
      </c>
      <c r="C3" s="698"/>
      <c r="D3" s="699" t="s">
        <v>156</v>
      </c>
      <c r="E3" s="699"/>
      <c r="F3" s="699"/>
      <c r="G3" s="699"/>
      <c r="H3" s="699"/>
      <c r="I3" s="699"/>
    </row>
    <row r="4" spans="1:9" s="700" customFormat="1" ht="12.75" customHeight="1" thickBot="1">
      <c r="A4" s="3600"/>
      <c r="B4" s="3602"/>
      <c r="C4" s="701"/>
      <c r="D4" s="702" t="s">
        <v>386</v>
      </c>
      <c r="E4" s="702" t="s">
        <v>387</v>
      </c>
      <c r="F4" s="702" t="s">
        <v>388</v>
      </c>
      <c r="G4" s="702" t="s">
        <v>389</v>
      </c>
      <c r="H4" s="702" t="s">
        <v>390</v>
      </c>
      <c r="I4" s="702" t="s">
        <v>391</v>
      </c>
    </row>
    <row r="5" spans="1:9" s="706" customFormat="1" ht="12.75" customHeight="1">
      <c r="A5" s="333">
        <v>1</v>
      </c>
      <c r="B5" s="142" t="s">
        <v>758</v>
      </c>
      <c r="C5" s="409" t="s">
        <v>759</v>
      </c>
      <c r="D5" s="703">
        <f>'2.RL E'!F7</f>
        <v>0</v>
      </c>
      <c r="E5" s="704">
        <f>'2.RL E'!J7</f>
        <v>0</v>
      </c>
      <c r="F5" s="704">
        <f>'2.RL E'!N7</f>
        <v>0</v>
      </c>
      <c r="G5" s="704">
        <f>'2.RL E'!F28</f>
        <v>0</v>
      </c>
      <c r="H5" s="704">
        <f>'2.RL E'!J28</f>
        <v>0</v>
      </c>
      <c r="I5" s="705">
        <f>'2.RL E'!N28</f>
        <v>0</v>
      </c>
    </row>
    <row r="6" spans="1:9" s="706" customFormat="1" ht="12.75" hidden="1" customHeight="1">
      <c r="A6" s="333"/>
      <c r="B6" s="142" t="s">
        <v>758</v>
      </c>
      <c r="C6" s="409" t="s">
        <v>759</v>
      </c>
      <c r="D6" s="707">
        <f>'2.RL E'!F8</f>
        <v>0</v>
      </c>
      <c r="E6" s="708">
        <f>'2.RL E'!J8</f>
        <v>0</v>
      </c>
      <c r="F6" s="708">
        <f>'2.RL E'!N8</f>
        <v>0</v>
      </c>
      <c r="G6" s="708">
        <f>'2.RL E'!F29</f>
        <v>0</v>
      </c>
      <c r="H6" s="708">
        <f>'2.RL E'!J29</f>
        <v>0</v>
      </c>
      <c r="I6" s="709">
        <f>'2.RL E'!N29</f>
        <v>0</v>
      </c>
    </row>
    <row r="7" spans="1:9" s="706" customFormat="1" ht="12.75" hidden="1" customHeight="1">
      <c r="A7" s="333">
        <v>2</v>
      </c>
      <c r="B7" s="3603" t="s">
        <v>760</v>
      </c>
      <c r="C7" s="710" t="s">
        <v>609</v>
      </c>
      <c r="D7" s="707">
        <f>'2.RL E'!F9</f>
        <v>0</v>
      </c>
      <c r="E7" s="708">
        <f>'2.RL E'!J9</f>
        <v>0</v>
      </c>
      <c r="F7" s="708">
        <f>'2.RL E'!N9</f>
        <v>0</v>
      </c>
      <c r="G7" s="708">
        <f>'2.RL E'!F30</f>
        <v>0</v>
      </c>
      <c r="H7" s="708">
        <f>'2.RL E'!J30</f>
        <v>0</v>
      </c>
      <c r="I7" s="709">
        <f>'2.RL E'!N30</f>
        <v>0</v>
      </c>
    </row>
    <row r="8" spans="1:9" s="706" customFormat="1" ht="12.75" hidden="1" customHeight="1">
      <c r="A8" s="333">
        <v>3</v>
      </c>
      <c r="B8" s="3604"/>
      <c r="C8" s="710" t="s">
        <v>613</v>
      </c>
      <c r="D8" s="707">
        <f>'2.RL E'!F10</f>
        <v>0</v>
      </c>
      <c r="E8" s="708">
        <f>'2.RL E'!J10</f>
        <v>0</v>
      </c>
      <c r="F8" s="708">
        <f>'2.RL E'!N10</f>
        <v>0</v>
      </c>
      <c r="G8" s="708">
        <f>'2.RL E'!F31</f>
        <v>0</v>
      </c>
      <c r="H8" s="708">
        <f>'2.RL E'!J31</f>
        <v>0</v>
      </c>
      <c r="I8" s="709">
        <f>'2.RL E'!N31</f>
        <v>0</v>
      </c>
    </row>
    <row r="9" spans="1:9" s="706" customFormat="1" ht="12.75" hidden="1" customHeight="1">
      <c r="A9" s="333">
        <v>4</v>
      </c>
      <c r="B9" s="3605"/>
      <c r="C9" s="710" t="s">
        <v>615</v>
      </c>
      <c r="D9" s="707">
        <f>'2.RL E'!F11</f>
        <v>0</v>
      </c>
      <c r="E9" s="708">
        <f>'2.RL E'!J11</f>
        <v>0</v>
      </c>
      <c r="F9" s="708">
        <f>'2.RL E'!N11</f>
        <v>0</v>
      </c>
      <c r="G9" s="708">
        <f>'2.RL E'!F32</f>
        <v>0</v>
      </c>
      <c r="H9" s="708">
        <f>'2.RL E'!J32</f>
        <v>0</v>
      </c>
      <c r="I9" s="709">
        <f>'2.RL E'!N32</f>
        <v>0</v>
      </c>
    </row>
    <row r="10" spans="1:9" s="706" customFormat="1" ht="12.75" hidden="1" customHeight="1">
      <c r="A10" s="333">
        <v>5</v>
      </c>
      <c r="B10" s="3603" t="s">
        <v>761</v>
      </c>
      <c r="C10" s="710" t="s">
        <v>609</v>
      </c>
      <c r="D10" s="707">
        <f>'2.RL E'!F12</f>
        <v>0</v>
      </c>
      <c r="E10" s="708">
        <f>'2.RL E'!J12</f>
        <v>0</v>
      </c>
      <c r="F10" s="708">
        <f>'2.RL E'!N12</f>
        <v>0</v>
      </c>
      <c r="G10" s="708">
        <f>'2.RL E'!F33</f>
        <v>0</v>
      </c>
      <c r="H10" s="708">
        <f>'2.RL E'!J33</f>
        <v>0</v>
      </c>
      <c r="I10" s="709">
        <f>'2.RL E'!N33</f>
        <v>0</v>
      </c>
    </row>
    <row r="11" spans="1:9" s="706" customFormat="1" ht="12.75" hidden="1" customHeight="1">
      <c r="A11" s="333">
        <v>6</v>
      </c>
      <c r="B11" s="3604"/>
      <c r="C11" s="710" t="s">
        <v>613</v>
      </c>
      <c r="D11" s="707">
        <f>'2.RL E'!F13</f>
        <v>0</v>
      </c>
      <c r="E11" s="708">
        <f>'2.RL E'!J13</f>
        <v>0</v>
      </c>
      <c r="F11" s="708">
        <f>'2.RL E'!N13</f>
        <v>0</v>
      </c>
      <c r="G11" s="708">
        <f>'2.RL E'!F34</f>
        <v>0</v>
      </c>
      <c r="H11" s="708">
        <f>'2.RL E'!J34</f>
        <v>0</v>
      </c>
      <c r="I11" s="709">
        <f>'2.RL E'!N34</f>
        <v>0</v>
      </c>
    </row>
    <row r="12" spans="1:9" s="706" customFormat="1" ht="12.75" hidden="1" customHeight="1">
      <c r="A12" s="333">
        <v>7</v>
      </c>
      <c r="B12" s="3605"/>
      <c r="C12" s="710" t="s">
        <v>615</v>
      </c>
      <c r="D12" s="707">
        <f>'2.RL E'!F14</f>
        <v>0</v>
      </c>
      <c r="E12" s="708">
        <f>'2.RL E'!J14</f>
        <v>0</v>
      </c>
      <c r="F12" s="708">
        <f>'2.RL E'!N14</f>
        <v>0</v>
      </c>
      <c r="G12" s="708">
        <f>'2.RL E'!F35</f>
        <v>0</v>
      </c>
      <c r="H12" s="708">
        <f>'2.RL E'!J35</f>
        <v>0</v>
      </c>
      <c r="I12" s="709">
        <f>'2.RL E'!N35</f>
        <v>0</v>
      </c>
    </row>
    <row r="13" spans="1:9" s="711" customFormat="1" ht="12.75" hidden="1" customHeight="1">
      <c r="A13" s="333">
        <v>8</v>
      </c>
      <c r="B13" s="3603" t="s">
        <v>762</v>
      </c>
      <c r="C13" s="409" t="s">
        <v>763</v>
      </c>
      <c r="D13" s="707">
        <f>'2.RL E'!F15</f>
        <v>0</v>
      </c>
      <c r="E13" s="708">
        <f>'2.RL E'!J15</f>
        <v>0</v>
      </c>
      <c r="F13" s="708">
        <f>'2.RL E'!N15</f>
        <v>0</v>
      </c>
      <c r="G13" s="708">
        <f>'2.RL E'!F36</f>
        <v>0</v>
      </c>
      <c r="H13" s="708">
        <f>'2.RL E'!J36</f>
        <v>0</v>
      </c>
      <c r="I13" s="709">
        <f>'2.RL E'!N36</f>
        <v>0</v>
      </c>
    </row>
    <row r="14" spans="1:9" s="711" customFormat="1" ht="12.75" hidden="1" customHeight="1">
      <c r="A14" s="333">
        <v>9</v>
      </c>
      <c r="B14" s="3605"/>
      <c r="C14" s="409" t="s">
        <v>621</v>
      </c>
      <c r="D14" s="707">
        <f>'2.RL E'!F16</f>
        <v>0</v>
      </c>
      <c r="E14" s="708">
        <f>'2.RL E'!J16</f>
        <v>0</v>
      </c>
      <c r="F14" s="708">
        <f>'2.RL E'!N16</f>
        <v>0</v>
      </c>
      <c r="G14" s="708">
        <f>'2.RL E'!F37</f>
        <v>0</v>
      </c>
      <c r="H14" s="708">
        <f>'2.RL E'!J37</f>
        <v>0</v>
      </c>
      <c r="I14" s="709">
        <f>'2.RL E'!N37</f>
        <v>0</v>
      </c>
    </row>
    <row r="15" spans="1:9" s="711" customFormat="1" ht="12.75" hidden="1" customHeight="1">
      <c r="A15" s="3598" t="s">
        <v>2</v>
      </c>
      <c r="B15" s="3598"/>
      <c r="C15" s="698"/>
      <c r="D15" s="712" t="s">
        <v>158</v>
      </c>
      <c r="E15" s="699"/>
      <c r="F15" s="699"/>
      <c r="G15" s="699"/>
      <c r="H15" s="699"/>
      <c r="I15" s="713"/>
    </row>
    <row r="16" spans="1:9" s="711" customFormat="1" ht="12.75" hidden="1" customHeight="1">
      <c r="A16" s="154" t="s">
        <v>55</v>
      </c>
      <c r="B16" s="714" t="s">
        <v>764</v>
      </c>
      <c r="C16" s="698"/>
      <c r="D16" s="715" t="s">
        <v>386</v>
      </c>
      <c r="E16" s="702" t="s">
        <v>387</v>
      </c>
      <c r="F16" s="702" t="s">
        <v>388</v>
      </c>
      <c r="G16" s="702" t="s">
        <v>389</v>
      </c>
      <c r="H16" s="702" t="s">
        <v>390</v>
      </c>
      <c r="I16" s="716" t="s">
        <v>391</v>
      </c>
    </row>
    <row r="17" spans="1:9" s="711" customFormat="1" ht="12.75" hidden="1" customHeight="1">
      <c r="A17" s="333">
        <v>1</v>
      </c>
      <c r="B17" s="717" t="s">
        <v>446</v>
      </c>
      <c r="C17" s="718"/>
      <c r="D17" s="707">
        <f>'2.RL E'!F19</f>
        <v>0</v>
      </c>
      <c r="E17" s="708">
        <f>'2.RL E'!J19</f>
        <v>0</v>
      </c>
      <c r="F17" s="708">
        <f>'2.RL E'!N19</f>
        <v>0</v>
      </c>
      <c r="G17" s="708">
        <f>'2.RL E'!F40</f>
        <v>0</v>
      </c>
      <c r="H17" s="708">
        <f>'2.RL E'!J40</f>
        <v>0</v>
      </c>
      <c r="I17" s="713">
        <f>'2.RL E'!N40</f>
        <v>0</v>
      </c>
    </row>
    <row r="18" spans="1:9" s="711" customFormat="1" ht="12.75" hidden="1" customHeight="1">
      <c r="A18" s="333">
        <v>2</v>
      </c>
      <c r="B18" s="717" t="s">
        <v>448</v>
      </c>
      <c r="C18" s="718"/>
      <c r="D18" s="707">
        <f>'2.RL E'!F20</f>
        <v>0</v>
      </c>
      <c r="E18" s="708">
        <f>'2.RL E'!J20</f>
        <v>0</v>
      </c>
      <c r="F18" s="708">
        <f>'2.RL E'!N20</f>
        <v>0</v>
      </c>
      <c r="G18" s="708">
        <f>'2.RL E'!F41</f>
        <v>0</v>
      </c>
      <c r="H18" s="708">
        <f>'2.RL E'!J41</f>
        <v>0</v>
      </c>
      <c r="I18" s="713">
        <f>'2.RL E'!N41</f>
        <v>0</v>
      </c>
    </row>
    <row r="19" spans="1:9" s="711" customFormat="1" ht="12.75" hidden="1" customHeight="1">
      <c r="A19" s="333">
        <v>3</v>
      </c>
      <c r="B19" s="717" t="s">
        <v>441</v>
      </c>
      <c r="C19" s="718"/>
      <c r="D19" s="707">
        <f>'2.RL E'!F21</f>
        <v>0</v>
      </c>
      <c r="E19" s="708">
        <f>'2.RL E'!J21</f>
        <v>0</v>
      </c>
      <c r="F19" s="708">
        <f>'2.RL E'!N21</f>
        <v>0</v>
      </c>
      <c r="G19" s="708">
        <f>'2.RL E'!F42</f>
        <v>0</v>
      </c>
      <c r="H19" s="708">
        <f>'2.RL E'!J42</f>
        <v>0</v>
      </c>
      <c r="I19" s="713">
        <f>'2.RL E'!N42</f>
        <v>0</v>
      </c>
    </row>
    <row r="20" spans="1:9" s="711" customFormat="1" ht="12.75" hidden="1" customHeight="1">
      <c r="A20" s="333">
        <v>4</v>
      </c>
      <c r="B20" s="717" t="s">
        <v>765</v>
      </c>
      <c r="C20" s="718"/>
      <c r="D20" s="707">
        <f>'2.RL E'!F22</f>
        <v>0</v>
      </c>
      <c r="E20" s="708">
        <f>'2.RL E'!J22</f>
        <v>0</v>
      </c>
      <c r="F20" s="708">
        <f>'2.RL E'!N22</f>
        <v>0</v>
      </c>
      <c r="G20" s="708">
        <f>'2.RL E'!F43</f>
        <v>0</v>
      </c>
      <c r="H20" s="708">
        <f>'2.RL E'!J43</f>
        <v>0</v>
      </c>
      <c r="I20" s="713">
        <f>'2.RL E'!N43</f>
        <v>0</v>
      </c>
    </row>
    <row r="21" spans="1:9" ht="12.75" hidden="1" customHeight="1">
      <c r="A21" s="3599" t="s">
        <v>7</v>
      </c>
      <c r="B21" s="3601" t="s">
        <v>757</v>
      </c>
      <c r="C21" s="698"/>
      <c r="D21" s="712" t="s">
        <v>157</v>
      </c>
      <c r="E21" s="699"/>
      <c r="F21" s="699"/>
      <c r="G21" s="699"/>
      <c r="H21" s="699"/>
      <c r="I21" s="719"/>
    </row>
    <row r="22" spans="1:9" ht="12.75" hidden="1" customHeight="1">
      <c r="A22" s="3600"/>
      <c r="B22" s="3602"/>
      <c r="C22" s="701"/>
      <c r="D22" s="715" t="s">
        <v>386</v>
      </c>
      <c r="E22" s="702" t="s">
        <v>387</v>
      </c>
      <c r="F22" s="702" t="s">
        <v>388</v>
      </c>
      <c r="G22" s="702" t="s">
        <v>389</v>
      </c>
      <c r="H22" s="702" t="s">
        <v>390</v>
      </c>
      <c r="I22" s="716" t="s">
        <v>391</v>
      </c>
    </row>
    <row r="23" spans="1:9" ht="12.75" hidden="1" customHeight="1">
      <c r="A23" s="333">
        <v>1</v>
      </c>
      <c r="B23" s="142" t="s">
        <v>758</v>
      </c>
      <c r="C23" s="409"/>
      <c r="D23" s="720">
        <f>'2.RL E'!H7</f>
        <v>292.1875</v>
      </c>
      <c r="E23" s="721">
        <f>'2.RL E'!L7</f>
        <v>292.1875</v>
      </c>
      <c r="F23" s="721">
        <f>'2.RL E'!P7</f>
        <v>292.1875</v>
      </c>
      <c r="G23" s="721">
        <f>'2.RL E'!H28</f>
        <v>292.1875</v>
      </c>
      <c r="H23" s="721">
        <f>'2.RL E'!L28</f>
        <v>292.1875</v>
      </c>
      <c r="I23" s="722">
        <f>'2.RL E'!P28</f>
        <v>292.1875</v>
      </c>
    </row>
    <row r="24" spans="1:9" ht="12.75" hidden="1" customHeight="1">
      <c r="A24" s="333"/>
      <c r="B24" s="142" t="s">
        <v>758</v>
      </c>
      <c r="C24" s="409"/>
      <c r="D24" s="720">
        <f>'2.RL E'!H8</f>
        <v>292.1875</v>
      </c>
      <c r="E24" s="721">
        <f>'2.RL E'!L8</f>
        <v>292.1875</v>
      </c>
      <c r="F24" s="721">
        <f>'2.RL E'!P8</f>
        <v>292.1875</v>
      </c>
      <c r="G24" s="721">
        <f>'2.RL E'!H29</f>
        <v>292.1875</v>
      </c>
      <c r="H24" s="721">
        <f>'2.RL E'!L29</f>
        <v>292.1875</v>
      </c>
      <c r="I24" s="722">
        <f>'2.RL E'!P29</f>
        <v>292.1875</v>
      </c>
    </row>
    <row r="25" spans="1:9" ht="12.75" hidden="1" customHeight="1">
      <c r="A25" s="333">
        <v>2</v>
      </c>
      <c r="B25" s="3603" t="s">
        <v>760</v>
      </c>
      <c r="C25" s="409"/>
      <c r="D25" s="720">
        <f>'2.RL E'!H9</f>
        <v>69.400000000000006</v>
      </c>
      <c r="E25" s="721">
        <f>'2.RL E'!L9</f>
        <v>69.400000000000006</v>
      </c>
      <c r="F25" s="721">
        <f>'2.RL E'!P9</f>
        <v>69.400000000000006</v>
      </c>
      <c r="G25" s="721">
        <f>'2.RL E'!H30</f>
        <v>69.400000000000006</v>
      </c>
      <c r="H25" s="721">
        <f>'2.RL E'!L30</f>
        <v>69.400000000000006</v>
      </c>
      <c r="I25" s="722">
        <f>'2.RL E'!P30</f>
        <v>69.400000000000006</v>
      </c>
    </row>
    <row r="26" spans="1:9" ht="12.75" hidden="1" customHeight="1">
      <c r="A26" s="333">
        <v>3</v>
      </c>
      <c r="B26" s="3604"/>
      <c r="C26" s="409"/>
      <c r="D26" s="720">
        <f>'2.RL E'!H10</f>
        <v>4.5110000000000001</v>
      </c>
      <c r="E26" s="721">
        <f>'2.RL E'!L10</f>
        <v>4.5110000000000001</v>
      </c>
      <c r="F26" s="721">
        <f>'2.RL E'!P10</f>
        <v>4.5110000000000001</v>
      </c>
      <c r="G26" s="721">
        <f>'2.RL E'!H31</f>
        <v>4.5110000000000001</v>
      </c>
      <c r="H26" s="721">
        <f>'2.RL E'!L31</f>
        <v>4.5110000000000001</v>
      </c>
      <c r="I26" s="722">
        <f>'2.RL E'!P31</f>
        <v>4.5110000000000001</v>
      </c>
    </row>
    <row r="27" spans="1:9" ht="12.75" hidden="1" customHeight="1">
      <c r="A27" s="333">
        <v>4</v>
      </c>
      <c r="B27" s="3605"/>
      <c r="C27" s="409"/>
      <c r="D27" s="720">
        <f>'2.RL E'!H11</f>
        <v>0</v>
      </c>
      <c r="E27" s="721">
        <f>'2.RL E'!L11</f>
        <v>0</v>
      </c>
      <c r="F27" s="721">
        <f>'2.RL E'!P11</f>
        <v>0</v>
      </c>
      <c r="G27" s="721">
        <f>'2.RL E'!H32</f>
        <v>0</v>
      </c>
      <c r="H27" s="721">
        <f>'2.RL E'!L32</f>
        <v>0</v>
      </c>
      <c r="I27" s="722" t="str">
        <f>'2.RL E'!P32</f>
        <v>N/A</v>
      </c>
    </row>
    <row r="28" spans="1:9" ht="12.75" hidden="1" customHeight="1">
      <c r="A28" s="333">
        <v>5</v>
      </c>
      <c r="B28" s="3603" t="s">
        <v>761</v>
      </c>
      <c r="C28" s="409"/>
      <c r="D28" s="720">
        <f>'2.RL E'!H12</f>
        <v>69.400000000000006</v>
      </c>
      <c r="E28" s="721">
        <f>'2.RL E'!L12</f>
        <v>69.400000000000006</v>
      </c>
      <c r="F28" s="721">
        <f>'2.RL E'!P12</f>
        <v>69.400000000000006</v>
      </c>
      <c r="G28" s="721">
        <f>'2.RL E'!H33</f>
        <v>69.400000000000006</v>
      </c>
      <c r="H28" s="721">
        <f>'2.RL E'!L33</f>
        <v>69.400000000000006</v>
      </c>
      <c r="I28" s="722">
        <f>'2.RL E'!P33</f>
        <v>69.400000000000006</v>
      </c>
    </row>
    <row r="29" spans="1:9" ht="12.75" hidden="1" customHeight="1">
      <c r="A29" s="333">
        <v>6</v>
      </c>
      <c r="B29" s="3604"/>
      <c r="C29" s="409"/>
      <c r="D29" s="720">
        <f>'2.RL E'!H13</f>
        <v>4.5110000000000001</v>
      </c>
      <c r="E29" s="721">
        <f>'2.RL E'!L13</f>
        <v>4.5110000000000001</v>
      </c>
      <c r="F29" s="721">
        <f>'2.RL E'!P13</f>
        <v>4.5110000000000001</v>
      </c>
      <c r="G29" s="721">
        <f>'2.RL E'!H34</f>
        <v>4.5110000000000001</v>
      </c>
      <c r="H29" s="721">
        <f>'2.RL E'!L34</f>
        <v>4.5110000000000001</v>
      </c>
      <c r="I29" s="722">
        <f>'2.RL E'!P34</f>
        <v>4.5110000000000001</v>
      </c>
    </row>
    <row r="30" spans="1:9" ht="12.75" hidden="1" customHeight="1">
      <c r="A30" s="333">
        <v>7</v>
      </c>
      <c r="B30" s="3605"/>
      <c r="C30" s="409"/>
      <c r="D30" s="720">
        <f>'2.RL E'!H14</f>
        <v>0</v>
      </c>
      <c r="E30" s="721">
        <f>'2.RL E'!L14</f>
        <v>0</v>
      </c>
      <c r="F30" s="721">
        <f>'2.RL E'!P14</f>
        <v>0</v>
      </c>
      <c r="G30" s="721">
        <f>'2.RL E'!H35</f>
        <v>0</v>
      </c>
      <c r="H30" s="721">
        <f>'2.RL E'!L35</f>
        <v>0</v>
      </c>
      <c r="I30" s="722" t="str">
        <f>'2.RL E'!P35</f>
        <v>N/A</v>
      </c>
    </row>
    <row r="31" spans="1:9" ht="12.75" hidden="1" customHeight="1">
      <c r="A31" s="333">
        <v>8</v>
      </c>
      <c r="B31" s="3603" t="s">
        <v>762</v>
      </c>
      <c r="C31" s="409"/>
      <c r="D31" s="720">
        <f>'2.RL E'!H15</f>
        <v>4.3680000000000003</v>
      </c>
      <c r="E31" s="721">
        <f>'2.RL E'!L15</f>
        <v>4.3680000000000003</v>
      </c>
      <c r="F31" s="721">
        <f>'2.RL E'!P15</f>
        <v>4.3680000000000003</v>
      </c>
      <c r="G31" s="721">
        <f>'2.RL E'!H36</f>
        <v>4.3680000000000003</v>
      </c>
      <c r="H31" s="721">
        <f>'2.RL E'!L36</f>
        <v>4.3680000000000003</v>
      </c>
      <c r="I31" s="722">
        <f>'2.RL E'!P36</f>
        <v>4.3680000000000003</v>
      </c>
    </row>
    <row r="32" spans="1:9" ht="12.75" hidden="1" customHeight="1">
      <c r="A32" s="333">
        <v>9</v>
      </c>
      <c r="B32" s="3605"/>
      <c r="C32" s="409"/>
      <c r="D32" s="720">
        <f>'2.RL E'!H16</f>
        <v>0</v>
      </c>
      <c r="E32" s="721">
        <f>'2.RL E'!L16</f>
        <v>0</v>
      </c>
      <c r="F32" s="721">
        <f>'2.RL E'!P16</f>
        <v>0</v>
      </c>
      <c r="G32" s="721">
        <f>'2.RL E'!H37</f>
        <v>0</v>
      </c>
      <c r="H32" s="721">
        <f>'2.RL E'!L37</f>
        <v>0</v>
      </c>
      <c r="I32" s="722">
        <f>'2.RL E'!P37</f>
        <v>0</v>
      </c>
    </row>
    <row r="33" spans="1:9" ht="12.75" hidden="1" customHeight="1">
      <c r="D33" s="723"/>
      <c r="I33" s="719"/>
    </row>
    <row r="34" spans="1:9" ht="12.75" hidden="1" customHeight="1">
      <c r="B34" s="696" t="s">
        <v>913</v>
      </c>
      <c r="C34" s="724"/>
      <c r="D34" s="723"/>
      <c r="I34" s="719"/>
    </row>
    <row r="35" spans="1:9" ht="12.75" hidden="1" customHeight="1">
      <c r="A35" s="3599" t="s">
        <v>7</v>
      </c>
      <c r="B35" s="3601" t="s">
        <v>757</v>
      </c>
      <c r="C35" s="698"/>
      <c r="D35" s="712" t="s">
        <v>156</v>
      </c>
      <c r="E35" s="699"/>
      <c r="F35" s="699"/>
      <c r="G35" s="699"/>
      <c r="H35" s="699"/>
      <c r="I35" s="719"/>
    </row>
    <row r="36" spans="1:9" ht="12.75" hidden="1" customHeight="1">
      <c r="A36" s="3600"/>
      <c r="B36" s="3602"/>
      <c r="C36" s="701"/>
      <c r="D36" s="715" t="s">
        <v>386</v>
      </c>
      <c r="E36" s="702" t="s">
        <v>387</v>
      </c>
      <c r="F36" s="702" t="s">
        <v>388</v>
      </c>
      <c r="G36" s="702" t="s">
        <v>389</v>
      </c>
      <c r="H36" s="702" t="s">
        <v>390</v>
      </c>
      <c r="I36" s="716" t="s">
        <v>391</v>
      </c>
    </row>
    <row r="37" spans="1:9" ht="12.75" hidden="1" customHeight="1">
      <c r="A37" s="333">
        <v>1</v>
      </c>
      <c r="B37" s="725" t="s">
        <v>450</v>
      </c>
      <c r="C37" s="409"/>
      <c r="D37" s="707">
        <f>'3.RL G'!E7</f>
        <v>0</v>
      </c>
      <c r="E37" s="708">
        <f>'3.RL G'!I7</f>
        <v>0</v>
      </c>
      <c r="F37" s="708">
        <f>'3.RL G'!M7</f>
        <v>0</v>
      </c>
      <c r="G37" s="708">
        <f>'3.RL G'!E24</f>
        <v>0</v>
      </c>
      <c r="H37" s="708">
        <f>'3.RL G'!I24</f>
        <v>0</v>
      </c>
      <c r="I37" s="719">
        <f>'3.RL G'!M24</f>
        <v>0</v>
      </c>
    </row>
    <row r="38" spans="1:9" ht="12.75" hidden="1" customHeight="1">
      <c r="A38" s="333">
        <v>2</v>
      </c>
      <c r="B38" s="725" t="s">
        <v>453</v>
      </c>
      <c r="C38" s="409"/>
      <c r="D38" s="707">
        <f>'3.RL G'!E8</f>
        <v>0</v>
      </c>
      <c r="E38" s="708">
        <f>'3.RL G'!I8</f>
        <v>0</v>
      </c>
      <c r="F38" s="708">
        <f>'3.RL G'!M8</f>
        <v>0</v>
      </c>
      <c r="G38" s="708">
        <f>'3.RL G'!E25</f>
        <v>0</v>
      </c>
      <c r="H38" s="708">
        <f>'3.RL G'!I25</f>
        <v>0</v>
      </c>
      <c r="I38" s="719">
        <f>'3.RL G'!M25</f>
        <v>0</v>
      </c>
    </row>
    <row r="39" spans="1:9" ht="12.75" hidden="1" customHeight="1">
      <c r="A39" s="333">
        <v>3</v>
      </c>
      <c r="B39" s="3603" t="s">
        <v>766</v>
      </c>
      <c r="C39" s="710" t="s">
        <v>609</v>
      </c>
      <c r="D39" s="707">
        <f>'3.RL G'!E9</f>
        <v>0</v>
      </c>
      <c r="E39" s="708">
        <f>'3.RL G'!I9</f>
        <v>0</v>
      </c>
      <c r="F39" s="708">
        <f>'3.RL G'!M9</f>
        <v>0</v>
      </c>
      <c r="G39" s="708">
        <f>'3.RL G'!E26</f>
        <v>0</v>
      </c>
      <c r="H39" s="708">
        <f>'3.RL G'!I26</f>
        <v>0</v>
      </c>
      <c r="I39" s="719">
        <f>'3.RL G'!M26</f>
        <v>0</v>
      </c>
    </row>
    <row r="40" spans="1:9" ht="12.75" hidden="1" customHeight="1">
      <c r="A40" s="333">
        <v>4</v>
      </c>
      <c r="B40" s="3604"/>
      <c r="C40" s="710" t="s">
        <v>613</v>
      </c>
      <c r="D40" s="707">
        <f>'3.RL G'!E10</f>
        <v>0</v>
      </c>
      <c r="E40" s="708">
        <f>'3.RL G'!I10</f>
        <v>0</v>
      </c>
      <c r="F40" s="708">
        <f>'3.RL G'!M10</f>
        <v>0</v>
      </c>
      <c r="G40" s="708">
        <f>'3.RL G'!E27</f>
        <v>0</v>
      </c>
      <c r="H40" s="708">
        <f>'3.RL G'!I27</f>
        <v>0</v>
      </c>
      <c r="I40" s="719">
        <f>'3.RL G'!M27</f>
        <v>0</v>
      </c>
    </row>
    <row r="41" spans="1:9" ht="12.75" hidden="1" customHeight="1">
      <c r="A41" s="333">
        <v>5</v>
      </c>
      <c r="B41" s="3605"/>
      <c r="C41" s="710" t="s">
        <v>615</v>
      </c>
      <c r="D41" s="707">
        <f>'3.RL G'!E11</f>
        <v>0</v>
      </c>
      <c r="E41" s="708">
        <f>'3.RL G'!I11</f>
        <v>0</v>
      </c>
      <c r="F41" s="708">
        <f>'3.RL G'!M11</f>
        <v>0</v>
      </c>
      <c r="G41" s="708">
        <f>'3.RL G'!E28</f>
        <v>0</v>
      </c>
      <c r="H41" s="708">
        <f>'3.RL G'!I28</f>
        <v>0</v>
      </c>
      <c r="I41" s="719">
        <f>'3.RL G'!M28</f>
        <v>0</v>
      </c>
    </row>
    <row r="42" spans="1:9" ht="12.75" hidden="1" customHeight="1">
      <c r="A42" s="333">
        <v>6</v>
      </c>
      <c r="B42" s="3603" t="s">
        <v>767</v>
      </c>
      <c r="C42" s="409"/>
      <c r="D42" s="707">
        <f>'3.RL G'!E12</f>
        <v>0</v>
      </c>
      <c r="E42" s="708">
        <f>'3.RL G'!I12</f>
        <v>0</v>
      </c>
      <c r="F42" s="708">
        <f>'3.RL G'!M12</f>
        <v>0</v>
      </c>
      <c r="G42" s="708">
        <f>'3.RL G'!E29</f>
        <v>0</v>
      </c>
      <c r="H42" s="708">
        <f>'3.RL G'!I29</f>
        <v>0</v>
      </c>
      <c r="I42" s="719">
        <f>'3.RL G'!M29</f>
        <v>0</v>
      </c>
    </row>
    <row r="43" spans="1:9" ht="12.75" hidden="1" customHeight="1">
      <c r="A43" s="333">
        <v>7</v>
      </c>
      <c r="B43" s="3605"/>
      <c r="C43" s="409"/>
      <c r="D43" s="707">
        <f>'3.RL G'!E13</f>
        <v>0</v>
      </c>
      <c r="E43" s="708">
        <f>'3.RL G'!I13</f>
        <v>0</v>
      </c>
      <c r="F43" s="708">
        <f>'3.RL G'!M13</f>
        <v>0</v>
      </c>
      <c r="G43" s="708">
        <f>'3.RL G'!E30</f>
        <v>0</v>
      </c>
      <c r="H43" s="708">
        <f>'3.RL G'!I30</f>
        <v>0</v>
      </c>
      <c r="I43" s="719">
        <f>'3.RL G'!M30</f>
        <v>0</v>
      </c>
    </row>
    <row r="44" spans="1:9" ht="12.75" hidden="1" customHeight="1">
      <c r="A44" s="3598" t="s">
        <v>2</v>
      </c>
      <c r="B44" s="3598"/>
      <c r="C44" s="698"/>
      <c r="D44" s="712" t="s">
        <v>158</v>
      </c>
      <c r="E44" s="699"/>
      <c r="F44" s="699"/>
      <c r="G44" s="699"/>
      <c r="H44" s="699"/>
      <c r="I44" s="719"/>
    </row>
    <row r="45" spans="1:9" ht="12.75" hidden="1" customHeight="1">
      <c r="A45" s="154" t="s">
        <v>55</v>
      </c>
      <c r="B45" s="714" t="s">
        <v>764</v>
      </c>
      <c r="C45" s="698"/>
      <c r="D45" s="715" t="s">
        <v>386</v>
      </c>
      <c r="E45" s="702" t="s">
        <v>387</v>
      </c>
      <c r="F45" s="702" t="s">
        <v>388</v>
      </c>
      <c r="G45" s="702" t="s">
        <v>389</v>
      </c>
      <c r="H45" s="702" t="s">
        <v>390</v>
      </c>
      <c r="I45" s="716" t="s">
        <v>391</v>
      </c>
    </row>
    <row r="46" spans="1:9" ht="12.75" hidden="1" customHeight="1">
      <c r="A46" s="333">
        <v>1</v>
      </c>
      <c r="B46" s="335" t="s">
        <v>455</v>
      </c>
      <c r="C46" s="726"/>
      <c r="D46" s="707">
        <f>'3.RL G'!E16</f>
        <v>0</v>
      </c>
      <c r="E46" s="708">
        <f>'3.RL G'!I16</f>
        <v>0</v>
      </c>
      <c r="F46" s="708">
        <f>'3.RL G'!M16</f>
        <v>0</v>
      </c>
      <c r="G46" s="708">
        <f>'3.RL G'!E33</f>
        <v>0</v>
      </c>
      <c r="H46" s="708">
        <f>'3.RL G'!I33</f>
        <v>0</v>
      </c>
      <c r="I46" s="719">
        <f>'3.RL G'!M33</f>
        <v>0</v>
      </c>
    </row>
    <row r="47" spans="1:9" ht="12.75" hidden="1" customHeight="1">
      <c r="A47" s="333">
        <v>2</v>
      </c>
      <c r="B47" s="335" t="s">
        <v>768</v>
      </c>
      <c r="C47" s="726"/>
      <c r="D47" s="707">
        <f>'3.RL G'!E17</f>
        <v>0</v>
      </c>
      <c r="E47" s="708">
        <f>'3.RL G'!I17</f>
        <v>0</v>
      </c>
      <c r="F47" s="708">
        <f>'3.RL G'!M17</f>
        <v>0</v>
      </c>
      <c r="G47" s="708">
        <f>'3.RL G'!E34</f>
        <v>0</v>
      </c>
      <c r="H47" s="708">
        <f>'3.RL G'!I34</f>
        <v>0</v>
      </c>
      <c r="I47" s="719">
        <f>'3.RL G'!M34</f>
        <v>0</v>
      </c>
    </row>
    <row r="48" spans="1:9" ht="12.75" hidden="1" customHeight="1">
      <c r="A48" s="333">
        <v>3</v>
      </c>
      <c r="B48" s="335" t="s">
        <v>734</v>
      </c>
      <c r="C48" s="726"/>
      <c r="D48" s="707">
        <f>'3.RL G'!E18</f>
        <v>0</v>
      </c>
      <c r="E48" s="708">
        <f>'3.RL G'!I18</f>
        <v>0</v>
      </c>
      <c r="F48" s="708">
        <f>'3.RL G'!M18</f>
        <v>0</v>
      </c>
      <c r="G48" s="708">
        <f>'3.RL G'!E35</f>
        <v>0</v>
      </c>
      <c r="H48" s="708">
        <f>'3.RL G'!I35</f>
        <v>0</v>
      </c>
      <c r="I48" s="719">
        <f>'3.RL G'!M35</f>
        <v>0</v>
      </c>
    </row>
    <row r="49" spans="1:9" ht="12.75" hidden="1" customHeight="1">
      <c r="A49" s="3599" t="s">
        <v>7</v>
      </c>
      <c r="B49" s="3601" t="s">
        <v>757</v>
      </c>
      <c r="C49" s="698"/>
      <c r="D49" s="712" t="s">
        <v>157</v>
      </c>
      <c r="E49" s="699"/>
      <c r="F49" s="699"/>
      <c r="G49" s="699"/>
      <c r="H49" s="699"/>
      <c r="I49" s="719"/>
    </row>
    <row r="50" spans="1:9" ht="12.75" hidden="1" customHeight="1">
      <c r="A50" s="3600"/>
      <c r="B50" s="3602"/>
      <c r="C50" s="701"/>
      <c r="D50" s="715" t="s">
        <v>386</v>
      </c>
      <c r="E50" s="702" t="s">
        <v>387</v>
      </c>
      <c r="F50" s="702" t="s">
        <v>388</v>
      </c>
      <c r="G50" s="702" t="s">
        <v>389</v>
      </c>
      <c r="H50" s="702" t="s">
        <v>390</v>
      </c>
      <c r="I50" s="716" t="s">
        <v>391</v>
      </c>
    </row>
    <row r="51" spans="1:9" ht="12.75" hidden="1" customHeight="1">
      <c r="A51" s="333">
        <v>1</v>
      </c>
      <c r="B51" s="725" t="s">
        <v>450</v>
      </c>
      <c r="C51" s="409"/>
      <c r="D51" s="720">
        <f>'3.RL G'!G7</f>
        <v>93.2</v>
      </c>
      <c r="E51" s="721">
        <f>'3.RL G'!K7</f>
        <v>93.2</v>
      </c>
      <c r="F51" s="721">
        <f>'3.RL G'!O7</f>
        <v>93.2</v>
      </c>
      <c r="G51" s="721">
        <f>'3.RL G'!G24</f>
        <v>93.2</v>
      </c>
      <c r="H51" s="721">
        <f>'3.RL G'!K24</f>
        <v>93.2</v>
      </c>
      <c r="I51" s="727">
        <f>'3.RL G'!O24</f>
        <v>93.2</v>
      </c>
    </row>
    <row r="52" spans="1:9" ht="12.75" hidden="1" customHeight="1">
      <c r="A52" s="333">
        <v>2</v>
      </c>
      <c r="B52" s="725" t="s">
        <v>453</v>
      </c>
      <c r="C52" s="409"/>
      <c r="D52" s="720">
        <f>'3.RL G'!G8</f>
        <v>1017.578125</v>
      </c>
      <c r="E52" s="721">
        <f>'3.RL G'!K8</f>
        <v>1017.578125</v>
      </c>
      <c r="F52" s="721">
        <f>'3.RL G'!O8</f>
        <v>1017.578125</v>
      </c>
      <c r="G52" s="721">
        <f>'3.RL G'!G25</f>
        <v>1017.578125</v>
      </c>
      <c r="H52" s="721">
        <f>'3.RL G'!K25</f>
        <v>1017.578125</v>
      </c>
      <c r="I52" s="727">
        <f>'3.RL G'!O25</f>
        <v>1017.578125</v>
      </c>
    </row>
    <row r="53" spans="1:9" ht="12.75" hidden="1" customHeight="1">
      <c r="A53" s="333">
        <v>3</v>
      </c>
      <c r="B53" s="3603" t="s">
        <v>766</v>
      </c>
      <c r="C53" s="409"/>
      <c r="D53" s="720">
        <f>'3.RL G'!G9</f>
        <v>246.75</v>
      </c>
      <c r="E53" s="721">
        <f>'3.RL G'!K9</f>
        <v>246.75</v>
      </c>
      <c r="F53" s="721">
        <f>'3.RL G'!O9</f>
        <v>246.75</v>
      </c>
      <c r="G53" s="721">
        <f>'3.RL G'!G26</f>
        <v>246.75</v>
      </c>
      <c r="H53" s="721">
        <f>'3.RL G'!K26</f>
        <v>246.75</v>
      </c>
      <c r="I53" s="727">
        <f>'3.RL G'!O26</f>
        <v>246.75</v>
      </c>
    </row>
    <row r="54" spans="1:9" ht="12.75" hidden="1" customHeight="1">
      <c r="A54" s="333">
        <v>4</v>
      </c>
      <c r="B54" s="3604"/>
      <c r="C54" s="409"/>
      <c r="D54" s="720">
        <f>'3.RL G'!G10</f>
        <v>32.077500000000001</v>
      </c>
      <c r="E54" s="721">
        <f>'3.RL G'!K10</f>
        <v>32.077500000000001</v>
      </c>
      <c r="F54" s="721">
        <f>'3.RL G'!O10</f>
        <v>32.077500000000001</v>
      </c>
      <c r="G54" s="721">
        <f>'3.RL G'!G27</f>
        <v>32.077500000000001</v>
      </c>
      <c r="H54" s="721">
        <f>'3.RL G'!K27</f>
        <v>32.077500000000001</v>
      </c>
      <c r="I54" s="727">
        <f>'3.RL G'!O27</f>
        <v>32.077500000000001</v>
      </c>
    </row>
    <row r="55" spans="1:9" ht="12.75" hidden="1" customHeight="1">
      <c r="A55" s="333">
        <v>5</v>
      </c>
      <c r="B55" s="3605"/>
      <c r="C55" s="409"/>
      <c r="D55" s="720">
        <f>'3.RL G'!G11</f>
        <v>0</v>
      </c>
      <c r="E55" s="721">
        <f>'3.RL G'!K11</f>
        <v>0</v>
      </c>
      <c r="F55" s="721">
        <f>'3.RL G'!O11</f>
        <v>0</v>
      </c>
      <c r="G55" s="721">
        <f>'3.RL G'!G28</f>
        <v>0</v>
      </c>
      <c r="H55" s="721">
        <f>'3.RL G'!K28</f>
        <v>0</v>
      </c>
      <c r="I55" s="727" t="str">
        <f>'3.RL G'!O28</f>
        <v>N/A</v>
      </c>
    </row>
    <row r="56" spans="1:9" ht="12.75" hidden="1" customHeight="1">
      <c r="A56" s="333">
        <v>6</v>
      </c>
      <c r="B56" s="3603" t="s">
        <v>767</v>
      </c>
      <c r="C56" s="409"/>
      <c r="D56" s="720">
        <f>'3.RL G'!G12</f>
        <v>1.234</v>
      </c>
      <c r="E56" s="721">
        <f>'3.RL G'!K12</f>
        <v>1.234</v>
      </c>
      <c r="F56" s="721">
        <f>'3.RL G'!O12</f>
        <v>1.234</v>
      </c>
      <c r="G56" s="721">
        <f>'3.RL G'!G29</f>
        <v>1.234</v>
      </c>
      <c r="H56" s="721">
        <f>'3.RL G'!K29</f>
        <v>1.234</v>
      </c>
      <c r="I56" s="727">
        <f>'3.RL G'!O29</f>
        <v>1.234</v>
      </c>
    </row>
    <row r="57" spans="1:9" ht="12.75" hidden="1" customHeight="1">
      <c r="A57" s="333">
        <v>7</v>
      </c>
      <c r="B57" s="3605"/>
      <c r="C57" s="409"/>
      <c r="D57" s="720">
        <f>'3.RL G'!G13</f>
        <v>0</v>
      </c>
      <c r="E57" s="721">
        <f>'3.RL G'!K13</f>
        <v>0</v>
      </c>
      <c r="F57" s="721">
        <f>'3.RL G'!O13</f>
        <v>0</v>
      </c>
      <c r="G57" s="721">
        <f>'3.RL G'!G30</f>
        <v>0</v>
      </c>
      <c r="H57" s="721">
        <f>'3.RL G'!K30</f>
        <v>0</v>
      </c>
      <c r="I57" s="727">
        <f>'3.RL G'!O30</f>
        <v>0</v>
      </c>
    </row>
    <row r="58" spans="1:9" ht="12.75" hidden="1" customHeight="1">
      <c r="D58" s="723"/>
      <c r="I58" s="719"/>
    </row>
    <row r="59" spans="1:9" ht="12.75" hidden="1" customHeight="1">
      <c r="B59" s="696" t="s">
        <v>914</v>
      </c>
      <c r="C59" s="724"/>
      <c r="D59" s="723"/>
      <c r="I59" s="719"/>
    </row>
    <row r="60" spans="1:9" ht="12.75" hidden="1" customHeight="1">
      <c r="A60" s="3599" t="s">
        <v>7</v>
      </c>
      <c r="B60" s="3601" t="s">
        <v>757</v>
      </c>
      <c r="C60" s="698"/>
      <c r="D60" s="712" t="s">
        <v>156</v>
      </c>
      <c r="E60" s="699"/>
      <c r="F60" s="699"/>
      <c r="G60" s="699"/>
      <c r="H60" s="699"/>
      <c r="I60" s="719"/>
    </row>
    <row r="61" spans="1:9" ht="12.75" hidden="1" customHeight="1">
      <c r="A61" s="3600"/>
      <c r="B61" s="3602"/>
      <c r="C61" s="701"/>
      <c r="D61" s="715" t="s">
        <v>386</v>
      </c>
      <c r="E61" s="702" t="s">
        <v>387</v>
      </c>
      <c r="F61" s="702" t="s">
        <v>388</v>
      </c>
      <c r="G61" s="702" t="s">
        <v>389</v>
      </c>
      <c r="H61" s="702" t="s">
        <v>390</v>
      </c>
      <c r="I61" s="716" t="s">
        <v>391</v>
      </c>
    </row>
    <row r="62" spans="1:9" ht="12.75" hidden="1" customHeight="1">
      <c r="A62" s="154">
        <v>1</v>
      </c>
      <c r="B62" s="142" t="s">
        <v>915</v>
      </c>
      <c r="C62" s="409" t="s">
        <v>759</v>
      </c>
      <c r="D62" s="707">
        <f>'4.RL F'!F7</f>
        <v>48</v>
      </c>
      <c r="E62" s="708">
        <f>'4.RL F'!J7</f>
        <v>48</v>
      </c>
      <c r="F62" s="708">
        <f>'4.RL F'!N7</f>
        <v>46</v>
      </c>
      <c r="G62" s="708">
        <f>'4.RL F'!F28</f>
        <v>45</v>
      </c>
      <c r="H62" s="708">
        <f>'4.RL F'!J28</f>
        <v>40</v>
      </c>
      <c r="I62" s="719">
        <f>'4.RL F'!N28</f>
        <v>40</v>
      </c>
    </row>
    <row r="63" spans="1:9" ht="12.75" hidden="1" customHeight="1">
      <c r="A63" s="154"/>
      <c r="B63" s="142" t="s">
        <v>758</v>
      </c>
      <c r="C63" s="409" t="s">
        <v>759</v>
      </c>
      <c r="D63" s="707">
        <f>'4.RL F'!F8</f>
        <v>10.95</v>
      </c>
      <c r="E63" s="708">
        <f>'4.RL F'!J8</f>
        <v>11.315000000000001</v>
      </c>
      <c r="F63" s="708">
        <f>'4.RL F'!N8</f>
        <v>10.219999999999999</v>
      </c>
      <c r="G63" s="708">
        <f>'4.RL F'!F29</f>
        <v>10.584999999999999</v>
      </c>
      <c r="H63" s="708">
        <f>'4.RL F'!J29</f>
        <v>12.3</v>
      </c>
      <c r="I63" s="719">
        <f>'4.RL F'!N29</f>
        <v>13</v>
      </c>
    </row>
    <row r="64" spans="1:9" ht="12.75" hidden="1" customHeight="1">
      <c r="A64" s="333">
        <v>2</v>
      </c>
      <c r="B64" s="3603" t="s">
        <v>760</v>
      </c>
      <c r="C64" s="710" t="s">
        <v>609</v>
      </c>
      <c r="D64" s="707">
        <f>'4.RL F'!F9</f>
        <v>55</v>
      </c>
      <c r="E64" s="708">
        <f>'4.RL F'!J9</f>
        <v>49</v>
      </c>
      <c r="F64" s="708">
        <f>'4.RL F'!N9</f>
        <v>51</v>
      </c>
      <c r="G64" s="708">
        <f>'4.RL F'!F30</f>
        <v>50</v>
      </c>
      <c r="H64" s="708">
        <f>'4.RL F'!J30</f>
        <v>45</v>
      </c>
      <c r="I64" s="719">
        <f>'4.RL F'!N30</f>
        <v>48</v>
      </c>
    </row>
    <row r="65" spans="1:9" ht="12.75" hidden="1" customHeight="1">
      <c r="A65" s="333">
        <v>3</v>
      </c>
      <c r="B65" s="3604"/>
      <c r="C65" s="710" t="s">
        <v>613</v>
      </c>
      <c r="D65" s="707">
        <f>'4.RL F'!F10</f>
        <v>7.5</v>
      </c>
      <c r="E65" s="708">
        <f>'4.RL F'!J10</f>
        <v>7.1</v>
      </c>
      <c r="F65" s="708">
        <f>'4.RL F'!N10</f>
        <v>6.5</v>
      </c>
      <c r="G65" s="708">
        <f>'4.RL F'!F31</f>
        <v>6.9</v>
      </c>
      <c r="H65" s="708">
        <f>'4.RL F'!J31</f>
        <v>7</v>
      </c>
      <c r="I65" s="719">
        <f>'4.RL F'!N31</f>
        <v>7.2</v>
      </c>
    </row>
    <row r="66" spans="1:9" ht="12.75" hidden="1" customHeight="1">
      <c r="A66" s="333">
        <v>4</v>
      </c>
      <c r="B66" s="3605"/>
      <c r="C66" s="710" t="s">
        <v>615</v>
      </c>
      <c r="D66" s="707">
        <f>'4.RL F'!F11</f>
        <v>0.4</v>
      </c>
      <c r="E66" s="708">
        <f>'4.RL F'!J11</f>
        <v>0.32</v>
      </c>
      <c r="F66" s="708">
        <f>'4.RL F'!N11</f>
        <v>0.26</v>
      </c>
      <c r="G66" s="708">
        <f>'4.RL F'!F32</f>
        <v>0.3</v>
      </c>
      <c r="H66" s="708">
        <f>'4.RL F'!J32</f>
        <v>0.32</v>
      </c>
      <c r="I66" s="719">
        <f>'4.RL F'!N32</f>
        <v>0.36</v>
      </c>
    </row>
    <row r="67" spans="1:9" ht="12.75" hidden="1" customHeight="1">
      <c r="A67" s="333">
        <v>5</v>
      </c>
      <c r="B67" s="3603" t="s">
        <v>761</v>
      </c>
      <c r="C67" s="710" t="s">
        <v>609</v>
      </c>
      <c r="D67" s="707" t="e">
        <f>'4.RL F'!F12</f>
        <v>#REF!</v>
      </c>
      <c r="E67" s="708" t="e">
        <f>'4.RL F'!J12</f>
        <v>#REF!</v>
      </c>
      <c r="F67" s="708" t="e">
        <f>'4.RL F'!N12</f>
        <v>#REF!</v>
      </c>
      <c r="G67" s="708" t="e">
        <f>'4.RL F'!F33</f>
        <v>#REF!</v>
      </c>
      <c r="H67" s="708" t="e">
        <f>'4.RL F'!J33</f>
        <v>#REF!</v>
      </c>
      <c r="I67" s="719" t="e">
        <f>'4.RL F'!N33</f>
        <v>#REF!</v>
      </c>
    </row>
    <row r="68" spans="1:9" ht="12.75" hidden="1" customHeight="1">
      <c r="A68" s="333">
        <v>6</v>
      </c>
      <c r="B68" s="3604"/>
      <c r="C68" s="710" t="s">
        <v>613</v>
      </c>
      <c r="D68" s="707" t="e">
        <f>'4.RL F'!F13</f>
        <v>#REF!</v>
      </c>
      <c r="E68" s="708" t="e">
        <f>'4.RL F'!J13</f>
        <v>#REF!</v>
      </c>
      <c r="F68" s="708" t="e">
        <f>'4.RL F'!N13</f>
        <v>#REF!</v>
      </c>
      <c r="G68" s="708" t="e">
        <f>'4.RL F'!F34</f>
        <v>#REF!</v>
      </c>
      <c r="H68" s="708" t="e">
        <f>'4.RL F'!J34</f>
        <v>#REF!</v>
      </c>
      <c r="I68" s="719" t="e">
        <f>'4.RL F'!N34</f>
        <v>#REF!</v>
      </c>
    </row>
    <row r="69" spans="1:9" ht="12.75" hidden="1" customHeight="1">
      <c r="A69" s="333">
        <v>7</v>
      </c>
      <c r="B69" s="3605"/>
      <c r="C69" s="710" t="s">
        <v>615</v>
      </c>
      <c r="D69" s="707" t="e">
        <f>'4.RL F'!F14</f>
        <v>#REF!</v>
      </c>
      <c r="E69" s="708" t="e">
        <f>'4.RL F'!J14</f>
        <v>#REF!</v>
      </c>
      <c r="F69" s="708" t="e">
        <f>'4.RL F'!N14</f>
        <v>#REF!</v>
      </c>
      <c r="G69" s="708" t="e">
        <f>'4.RL F'!F35</f>
        <v>#REF!</v>
      </c>
      <c r="H69" s="708" t="e">
        <f>'4.RL F'!J35</f>
        <v>#REF!</v>
      </c>
      <c r="I69" s="719" t="e">
        <f>'4.RL F'!N35</f>
        <v>#REF!</v>
      </c>
    </row>
    <row r="70" spans="1:9" ht="12.75" hidden="1" customHeight="1">
      <c r="A70" s="333">
        <v>8</v>
      </c>
      <c r="B70" s="3603" t="s">
        <v>762</v>
      </c>
      <c r="C70" s="409" t="s">
        <v>763</v>
      </c>
      <c r="D70" s="707">
        <f>'4.RL F'!F15</f>
        <v>0.9</v>
      </c>
      <c r="E70" s="708">
        <f>'4.RL F'!J15</f>
        <v>0.95</v>
      </c>
      <c r="F70" s="708">
        <f>'4.RL F'!N15</f>
        <v>0.9</v>
      </c>
      <c r="G70" s="708">
        <f>'4.RL F'!F36</f>
        <v>0.95</v>
      </c>
      <c r="H70" s="708">
        <f>'4.RL F'!J36</f>
        <v>0.95</v>
      </c>
      <c r="I70" s="719">
        <f>'4.RL F'!N36</f>
        <v>0.9</v>
      </c>
    </row>
    <row r="71" spans="1:9" ht="12.75" hidden="1" customHeight="1">
      <c r="A71" s="333">
        <v>9</v>
      </c>
      <c r="B71" s="3605"/>
      <c r="C71" s="409" t="s">
        <v>621</v>
      </c>
      <c r="D71" s="707">
        <f>'4.RL F'!F16</f>
        <v>9</v>
      </c>
      <c r="E71" s="708">
        <f>'4.RL F'!J16</f>
        <v>10</v>
      </c>
      <c r="F71" s="708">
        <f>'4.RL F'!N16</f>
        <v>10</v>
      </c>
      <c r="G71" s="708">
        <f>'4.RL F'!F37</f>
        <v>9.5</v>
      </c>
      <c r="H71" s="708">
        <f>'4.RL F'!J37</f>
        <v>10</v>
      </c>
      <c r="I71" s="719">
        <f>'4.RL F'!N37</f>
        <v>9</v>
      </c>
    </row>
    <row r="72" spans="1:9" ht="12.75" hidden="1" customHeight="1">
      <c r="A72" s="3598" t="s">
        <v>2</v>
      </c>
      <c r="B72" s="3598"/>
      <c r="C72" s="698"/>
      <c r="D72" s="712" t="s">
        <v>158</v>
      </c>
      <c r="E72" s="699"/>
      <c r="F72" s="699"/>
      <c r="G72" s="699"/>
      <c r="H72" s="699"/>
      <c r="I72" s="719"/>
    </row>
    <row r="73" spans="1:9" ht="12.75" hidden="1" customHeight="1">
      <c r="A73" s="154" t="s">
        <v>55</v>
      </c>
      <c r="B73" s="714" t="s">
        <v>764</v>
      </c>
      <c r="C73" s="698"/>
      <c r="D73" s="715" t="s">
        <v>386</v>
      </c>
      <c r="E73" s="702" t="s">
        <v>387</v>
      </c>
      <c r="F73" s="702" t="s">
        <v>388</v>
      </c>
      <c r="G73" s="702" t="s">
        <v>389</v>
      </c>
      <c r="H73" s="702" t="s">
        <v>390</v>
      </c>
      <c r="I73" s="716" t="s">
        <v>391</v>
      </c>
    </row>
    <row r="74" spans="1:9" ht="12.75" hidden="1" customHeight="1">
      <c r="A74" s="333">
        <v>1</v>
      </c>
      <c r="B74" s="924" t="s">
        <v>916</v>
      </c>
      <c r="C74" s="718"/>
      <c r="D74" s="707">
        <f>'4.RL F'!F19</f>
        <v>60</v>
      </c>
      <c r="E74" s="708">
        <f>'4.RL F'!J19</f>
        <v>60</v>
      </c>
      <c r="F74" s="708">
        <f>'4.RL F'!N19</f>
        <v>59</v>
      </c>
      <c r="G74" s="708">
        <f>'4.RL F'!F40</f>
        <v>60</v>
      </c>
      <c r="H74" s="708">
        <f>'4.RL F'!J40</f>
        <v>58</v>
      </c>
      <c r="I74" s="719">
        <f>'4.RL F'!N40</f>
        <v>60</v>
      </c>
    </row>
    <row r="75" spans="1:9" ht="12.75" hidden="1" customHeight="1">
      <c r="A75" s="333">
        <v>2</v>
      </c>
      <c r="B75" s="717" t="s">
        <v>448</v>
      </c>
      <c r="C75" s="718"/>
      <c r="D75" s="707">
        <f>'4.RL F'!F20</f>
        <v>69</v>
      </c>
      <c r="E75" s="708">
        <f>'4.RL F'!J20</f>
        <v>69</v>
      </c>
      <c r="F75" s="708">
        <f>'4.RL F'!N20</f>
        <v>70</v>
      </c>
      <c r="G75" s="708">
        <f>'4.RL F'!F41</f>
        <v>70</v>
      </c>
      <c r="H75" s="708">
        <f>'4.RL F'!J41</f>
        <v>70</v>
      </c>
      <c r="I75" s="719">
        <f>'4.RL F'!N41</f>
        <v>70</v>
      </c>
    </row>
    <row r="76" spans="1:9" ht="12.75" hidden="1" customHeight="1">
      <c r="A76" s="333">
        <v>3</v>
      </c>
      <c r="B76" s="717" t="s">
        <v>441</v>
      </c>
      <c r="C76" s="718"/>
      <c r="D76" s="707">
        <f>'4.RL F'!F21</f>
        <v>84</v>
      </c>
      <c r="E76" s="708">
        <f>'4.RL F'!J21</f>
        <v>82</v>
      </c>
      <c r="F76" s="708">
        <f>'4.RL F'!N21</f>
        <v>85</v>
      </c>
      <c r="G76" s="708">
        <f>'4.RL F'!F42</f>
        <v>81</v>
      </c>
      <c r="H76" s="708">
        <f>'4.RL F'!J42</f>
        <v>80</v>
      </c>
      <c r="I76" s="719">
        <f>'4.RL F'!N42</f>
        <v>82</v>
      </c>
    </row>
    <row r="77" spans="1:9" ht="12.75" hidden="1" customHeight="1">
      <c r="A77" s="333">
        <v>4</v>
      </c>
      <c r="B77" s="717" t="s">
        <v>765</v>
      </c>
      <c r="C77" s="718"/>
      <c r="D77" s="707" t="e">
        <f>'4.RL F'!#REF!</f>
        <v>#REF!</v>
      </c>
      <c r="E77" s="708" t="e">
        <f>'4.RL F'!#REF!</f>
        <v>#REF!</v>
      </c>
      <c r="F77" s="708">
        <f>'4.RL F'!N22</f>
        <v>0</v>
      </c>
      <c r="G77" s="708" t="e">
        <f>'4.RL F'!#REF!</f>
        <v>#REF!</v>
      </c>
      <c r="H77" s="708" t="e">
        <f>'4.RL F'!#REF!</f>
        <v>#REF!</v>
      </c>
      <c r="I77" s="719"/>
    </row>
    <row r="78" spans="1:9" ht="12.75" hidden="1" customHeight="1">
      <c r="A78" s="3599" t="s">
        <v>7</v>
      </c>
      <c r="B78" s="3601" t="s">
        <v>757</v>
      </c>
      <c r="C78" s="698"/>
      <c r="D78" s="712" t="s">
        <v>157</v>
      </c>
      <c r="E78" s="699"/>
      <c r="F78" s="699"/>
      <c r="G78" s="699"/>
      <c r="H78" s="699"/>
      <c r="I78" s="719"/>
    </row>
    <row r="79" spans="1:9" ht="12.75" hidden="1" customHeight="1">
      <c r="A79" s="3600"/>
      <c r="B79" s="3602"/>
      <c r="C79" s="701"/>
      <c r="D79" s="715" t="s">
        <v>386</v>
      </c>
      <c r="E79" s="702" t="s">
        <v>387</v>
      </c>
      <c r="F79" s="702" t="s">
        <v>388</v>
      </c>
      <c r="G79" s="702" t="s">
        <v>389</v>
      </c>
      <c r="H79" s="702" t="s">
        <v>390</v>
      </c>
      <c r="I79" s="716" t="s">
        <v>391</v>
      </c>
    </row>
    <row r="80" spans="1:9" ht="12.75" hidden="1" customHeight="1">
      <c r="A80" s="333">
        <v>1</v>
      </c>
      <c r="B80" s="142" t="s">
        <v>916</v>
      </c>
      <c r="C80" s="409"/>
      <c r="D80" s="720">
        <f>'4.RL F'!H7</f>
        <v>0</v>
      </c>
      <c r="E80" s="721">
        <f>'4.RL F'!L7</f>
        <v>0</v>
      </c>
      <c r="F80" s="721">
        <f>'4.RL F'!P7</f>
        <v>0</v>
      </c>
      <c r="G80" s="721">
        <f>'4.RL F'!H28</f>
        <v>0</v>
      </c>
      <c r="H80" s="721">
        <f>'4.RL F'!L28</f>
        <v>0</v>
      </c>
      <c r="I80" s="719">
        <f>'4.RL F'!P28</f>
        <v>0</v>
      </c>
    </row>
    <row r="81" spans="1:9" ht="12.75" hidden="1" customHeight="1">
      <c r="A81" s="333"/>
      <c r="B81" s="142" t="s">
        <v>758</v>
      </c>
      <c r="C81" s="409"/>
      <c r="D81" s="720">
        <f>'4.RL F'!H8</f>
        <v>126.17968750000006</v>
      </c>
      <c r="E81" s="721">
        <f>'4.RL F'!L8</f>
        <v>96.466406249999892</v>
      </c>
      <c r="F81" s="721">
        <f>'4.RL F'!P8</f>
        <v>185.6062500000001</v>
      </c>
      <c r="G81" s="721">
        <f>'4.RL F'!H29</f>
        <v>155.89296875000008</v>
      </c>
      <c r="H81" s="721">
        <f>'4.RL F'!L29</f>
        <v>16.281249999999943</v>
      </c>
      <c r="I81" s="719">
        <f>'4.RL F'!P29</f>
        <v>0</v>
      </c>
    </row>
    <row r="82" spans="1:9" ht="12.75" hidden="1" customHeight="1">
      <c r="A82" s="333">
        <v>2</v>
      </c>
      <c r="B82" s="3603" t="s">
        <v>760</v>
      </c>
      <c r="C82" s="409"/>
      <c r="D82" s="720">
        <f>'4.RL F'!H9</f>
        <v>0</v>
      </c>
      <c r="E82" s="721">
        <f>'4.RL F'!L9</f>
        <v>4.9349999999999996</v>
      </c>
      <c r="F82" s="721">
        <f>'4.RL F'!P9</f>
        <v>0</v>
      </c>
      <c r="G82" s="721">
        <f>'4.RL F'!H30</f>
        <v>0</v>
      </c>
      <c r="H82" s="721">
        <f>'4.RL F'!L30</f>
        <v>24.675000000000001</v>
      </c>
      <c r="I82" s="719">
        <f>'4.RL F'!P30</f>
        <v>9.8699999999999992</v>
      </c>
    </row>
    <row r="83" spans="1:9" ht="12.75" hidden="1" customHeight="1">
      <c r="A83" s="333">
        <v>3</v>
      </c>
      <c r="B83" s="3604"/>
      <c r="C83" s="409"/>
      <c r="D83" s="720">
        <f>'4.RL F'!H10</f>
        <v>0</v>
      </c>
      <c r="E83" s="721">
        <f>'4.RL F'!L10</f>
        <v>0</v>
      </c>
      <c r="F83" s="721">
        <f>'4.RL F'!P10</f>
        <v>0</v>
      </c>
      <c r="G83" s="721">
        <f>'4.RL F'!H31</f>
        <v>0</v>
      </c>
      <c r="H83" s="721">
        <f>'4.RL F'!L31</f>
        <v>0</v>
      </c>
      <c r="I83" s="719">
        <f>'4.RL F'!P31</f>
        <v>0</v>
      </c>
    </row>
    <row r="84" spans="1:9" ht="12.75" hidden="1" customHeight="1">
      <c r="A84" s="333">
        <v>4</v>
      </c>
      <c r="B84" s="3605"/>
      <c r="C84" s="409"/>
      <c r="D84" s="720">
        <f>'4.RL F'!H11</f>
        <v>0</v>
      </c>
      <c r="E84" s="721">
        <f>'4.RL F'!L11</f>
        <v>0</v>
      </c>
      <c r="F84" s="721">
        <f>'4.RL F'!P11</f>
        <v>0</v>
      </c>
      <c r="G84" s="721">
        <f>'4.RL F'!H32</f>
        <v>0</v>
      </c>
      <c r="H84" s="721">
        <f>'4.RL F'!L32</f>
        <v>0</v>
      </c>
      <c r="I84" s="719">
        <f>'4.RL F'!P32</f>
        <v>0</v>
      </c>
    </row>
    <row r="85" spans="1:9" ht="12.75" hidden="1" customHeight="1">
      <c r="A85" s="333">
        <v>5</v>
      </c>
      <c r="B85" s="3603" t="s">
        <v>761</v>
      </c>
      <c r="C85" s="409"/>
      <c r="D85" s="720" t="e">
        <f>'4.RL F'!H12</f>
        <v>#REF!</v>
      </c>
      <c r="E85" s="721" t="e">
        <f>'4.RL F'!L12</f>
        <v>#REF!</v>
      </c>
      <c r="F85" s="721" t="e">
        <f>'4.RL F'!P12</f>
        <v>#REF!</v>
      </c>
      <c r="G85" s="721" t="e">
        <f>'4.RL F'!H33</f>
        <v>#REF!</v>
      </c>
      <c r="H85" s="721" t="e">
        <f>'4.RL F'!L33</f>
        <v>#REF!</v>
      </c>
      <c r="I85" s="719" t="e">
        <f>'4.RL F'!P33</f>
        <v>#REF!</v>
      </c>
    </row>
    <row r="86" spans="1:9" ht="12.75" hidden="1" customHeight="1">
      <c r="A86" s="333">
        <v>6</v>
      </c>
      <c r="B86" s="3604"/>
      <c r="C86" s="409"/>
      <c r="D86" s="720" t="e">
        <f>'4.RL F'!H13</f>
        <v>#REF!</v>
      </c>
      <c r="E86" s="721" t="e">
        <f>'4.RL F'!L13</f>
        <v>#REF!</v>
      </c>
      <c r="F86" s="721" t="e">
        <f>'4.RL F'!P13</f>
        <v>#REF!</v>
      </c>
      <c r="G86" s="721" t="e">
        <f>'4.RL F'!H34</f>
        <v>#REF!</v>
      </c>
      <c r="H86" s="721" t="e">
        <f>'4.RL F'!L34</f>
        <v>#REF!</v>
      </c>
      <c r="I86" s="719" t="e">
        <f>'4.RL F'!P34</f>
        <v>#REF!</v>
      </c>
    </row>
    <row r="87" spans="1:9" ht="12.75" hidden="1" customHeight="1">
      <c r="A87" s="333">
        <v>7</v>
      </c>
      <c r="B87" s="3605"/>
      <c r="C87" s="409"/>
      <c r="D87" s="720" t="e">
        <f>'4.RL F'!H14</f>
        <v>#REF!</v>
      </c>
      <c r="E87" s="721" t="e">
        <f>'4.RL F'!L14</f>
        <v>#REF!</v>
      </c>
      <c r="F87" s="721" t="e">
        <f>'4.RL F'!P14</f>
        <v>#REF!</v>
      </c>
      <c r="G87" s="721" t="e">
        <f>'4.RL F'!H35</f>
        <v>#REF!</v>
      </c>
      <c r="H87" s="721" t="e">
        <f>'4.RL F'!L35</f>
        <v>#REF!</v>
      </c>
      <c r="I87" s="719" t="e">
        <f>'4.RL F'!P35</f>
        <v>#REF!</v>
      </c>
    </row>
    <row r="88" spans="1:9" ht="12.75" hidden="1" customHeight="1">
      <c r="A88" s="333">
        <v>8</v>
      </c>
      <c r="B88" s="3603" t="s">
        <v>762</v>
      </c>
      <c r="C88" s="409"/>
      <c r="D88" s="720">
        <f>'4.RL F'!H15</f>
        <v>0.12339999999999998</v>
      </c>
      <c r="E88" s="721">
        <f>'4.RL F'!L15</f>
        <v>6.1700000000000053E-2</v>
      </c>
      <c r="F88" s="721">
        <f>'4.RL F'!P15</f>
        <v>0.12339999999999998</v>
      </c>
      <c r="G88" s="721">
        <f>'4.RL F'!H36</f>
        <v>6.1700000000000053E-2</v>
      </c>
      <c r="H88" s="721">
        <f>'4.RL F'!L36</f>
        <v>6.1700000000000053E-2</v>
      </c>
      <c r="I88" s="719">
        <f>'4.RL F'!P36</f>
        <v>0.12339999999999998</v>
      </c>
    </row>
    <row r="89" spans="1:9" ht="12.75" hidden="1" customHeight="1">
      <c r="A89" s="333">
        <v>9</v>
      </c>
      <c r="B89" s="3605"/>
      <c r="C89" s="409"/>
      <c r="D89" s="720">
        <f>'4.RL F'!H16</f>
        <v>0</v>
      </c>
      <c r="E89" s="721">
        <f>'4.RL F'!L16</f>
        <v>0</v>
      </c>
      <c r="F89" s="721">
        <f>'4.RL F'!P16</f>
        <v>0</v>
      </c>
      <c r="G89" s="721">
        <f>'4.RL F'!H37</f>
        <v>0</v>
      </c>
      <c r="H89" s="721">
        <f>'4.RL F'!L37</f>
        <v>0</v>
      </c>
      <c r="I89" s="719">
        <f>'4.RL F'!P37</f>
        <v>0</v>
      </c>
    </row>
    <row r="90" spans="1:9" s="733" customFormat="1" ht="12.75" hidden="1" customHeight="1">
      <c r="A90" s="728"/>
      <c r="B90" s="729"/>
      <c r="C90" s="729"/>
      <c r="D90" s="730"/>
      <c r="E90" s="731"/>
      <c r="F90" s="731"/>
      <c r="G90" s="731"/>
      <c r="H90" s="731"/>
      <c r="I90" s="732"/>
    </row>
    <row r="91" spans="1:9" s="733" customFormat="1" ht="16.5" hidden="1" customHeight="1">
      <c r="A91" s="728"/>
      <c r="B91" s="734" t="s">
        <v>769</v>
      </c>
      <c r="C91" s="735"/>
      <c r="D91" s="736">
        <f>R.HN!C12</f>
        <v>3</v>
      </c>
      <c r="E91" s="737">
        <f>R.HN!D12</f>
        <v>3</v>
      </c>
      <c r="F91" s="737">
        <f>R.HN!E12</f>
        <v>3</v>
      </c>
      <c r="G91" s="737">
        <f>R.HN!F12</f>
        <v>3</v>
      </c>
      <c r="H91" s="737">
        <f>R.HN!G12</f>
        <v>3</v>
      </c>
      <c r="I91" s="738">
        <f>R.HN!H12</f>
        <v>3</v>
      </c>
    </row>
    <row r="92" spans="1:9" s="733" customFormat="1" ht="18" hidden="1" customHeight="1">
      <c r="A92" s="728"/>
      <c r="B92" s="734" t="s">
        <v>770</v>
      </c>
      <c r="C92" s="735"/>
      <c r="D92" s="730">
        <f>R.HN!C13</f>
        <v>4</v>
      </c>
      <c r="E92" s="731">
        <f>R.HN!D13</f>
        <v>4</v>
      </c>
      <c r="F92" s="731">
        <f>R.HN!E13</f>
        <v>4</v>
      </c>
      <c r="G92" s="731">
        <f>R.HN!F13</f>
        <v>4</v>
      </c>
      <c r="H92" s="731">
        <f>R.HN!G13</f>
        <v>4</v>
      </c>
      <c r="I92" s="739">
        <f>R.HN!H13</f>
        <v>4</v>
      </c>
    </row>
    <row r="93" spans="1:9" s="733" customFormat="1" ht="18" hidden="1" customHeight="1">
      <c r="A93" s="728"/>
      <c r="B93" s="734" t="s">
        <v>771</v>
      </c>
      <c r="C93" s="735"/>
      <c r="D93" s="736">
        <f>R.HN!C35</f>
        <v>0</v>
      </c>
      <c r="E93" s="737">
        <f>R.HN!D35</f>
        <v>0</v>
      </c>
      <c r="F93" s="737">
        <f>R.HN!E35</f>
        <v>0</v>
      </c>
      <c r="G93" s="737">
        <f>R.HN!F35</f>
        <v>0</v>
      </c>
      <c r="H93" s="737">
        <f>R.HN!G35</f>
        <v>0</v>
      </c>
      <c r="I93" s="738">
        <f>R.HN!H35</f>
        <v>0</v>
      </c>
    </row>
    <row r="94" spans="1:9" s="733" customFormat="1" ht="18" hidden="1" customHeight="1">
      <c r="A94" s="728"/>
      <c r="B94" s="734" t="s">
        <v>772</v>
      </c>
      <c r="C94" s="735"/>
      <c r="D94" s="730">
        <f>R.HN!C36</f>
        <v>0</v>
      </c>
      <c r="E94" s="731">
        <f>R.HN!D36</f>
        <v>0</v>
      </c>
      <c r="F94" s="731">
        <f>R.HN!E36</f>
        <v>0</v>
      </c>
      <c r="G94" s="731">
        <f>R.HN!F36</f>
        <v>0</v>
      </c>
      <c r="H94" s="731">
        <f>R.HN!G36</f>
        <v>0</v>
      </c>
      <c r="I94" s="739">
        <f>R.HN!H36</f>
        <v>0</v>
      </c>
    </row>
    <row r="95" spans="1:9" ht="12.75" customHeight="1" thickBot="1">
      <c r="A95" s="708"/>
      <c r="B95" s="409"/>
      <c r="C95" s="409"/>
      <c r="D95" s="740"/>
      <c r="E95" s="741"/>
      <c r="F95" s="741"/>
      <c r="G95" s="741"/>
      <c r="H95" s="741"/>
      <c r="I95" s="742"/>
    </row>
    <row r="96" spans="1:9" ht="12.75" customHeight="1">
      <c r="A96" s="708"/>
      <c r="B96" s="409"/>
      <c r="C96" s="409"/>
      <c r="D96" s="721"/>
      <c r="E96" s="721"/>
      <c r="F96" s="721"/>
      <c r="G96" s="721"/>
      <c r="H96" s="721"/>
    </row>
    <row r="98" spans="1:9" ht="12.75" customHeight="1">
      <c r="B98" s="696" t="s">
        <v>773</v>
      </c>
    </row>
    <row r="99" spans="1:9" ht="12.75" customHeight="1">
      <c r="A99" s="3609" t="s">
        <v>7</v>
      </c>
      <c r="B99" s="3611" t="s">
        <v>77</v>
      </c>
      <c r="C99" s="699" t="s">
        <v>156</v>
      </c>
      <c r="D99" s="699"/>
    </row>
    <row r="100" spans="1:9" ht="12.75" customHeight="1" thickBot="1">
      <c r="A100" s="3610"/>
      <c r="B100" s="3612"/>
      <c r="C100" s="702">
        <v>0.375</v>
      </c>
      <c r="D100" s="702">
        <v>0.54166666666666663</v>
      </c>
    </row>
    <row r="101" spans="1:9" ht="12.75" customHeight="1">
      <c r="A101" s="743">
        <v>1</v>
      </c>
      <c r="B101" s="335" t="s">
        <v>572</v>
      </c>
      <c r="C101" s="744">
        <f>'1.xi den'!H7</f>
        <v>15</v>
      </c>
      <c r="D101" s="745">
        <f>'1.xi den'!L7</f>
        <v>15</v>
      </c>
      <c r="E101" s="693"/>
      <c r="F101" s="693"/>
      <c r="G101" s="693"/>
      <c r="H101" s="693"/>
      <c r="I101" s="693"/>
    </row>
    <row r="102" spans="1:9" ht="12.75" hidden="1" customHeight="1">
      <c r="A102" s="743">
        <v>2</v>
      </c>
      <c r="B102" s="335" t="s">
        <v>573</v>
      </c>
      <c r="C102" s="746">
        <f>'1.xi den'!H8</f>
        <v>15.1</v>
      </c>
      <c r="D102" s="747">
        <f>'1.xi den'!L8</f>
        <v>15</v>
      </c>
      <c r="E102" s="693"/>
      <c r="F102" s="693"/>
      <c r="G102" s="693"/>
      <c r="H102" s="693"/>
      <c r="I102" s="693"/>
    </row>
    <row r="103" spans="1:9" ht="12.75" hidden="1" customHeight="1">
      <c r="A103" s="743">
        <v>3</v>
      </c>
      <c r="B103" s="335" t="s">
        <v>574</v>
      </c>
      <c r="C103" s="746">
        <f>'1.xi den'!H9</f>
        <v>15</v>
      </c>
      <c r="D103" s="747">
        <f>'1.xi den'!L9</f>
        <v>15</v>
      </c>
      <c r="E103" s="693"/>
      <c r="F103" s="693"/>
      <c r="G103" s="693"/>
      <c r="H103" s="693"/>
      <c r="I103" s="693"/>
    </row>
    <row r="104" spans="1:9" ht="12.75" hidden="1" customHeight="1">
      <c r="A104" s="743">
        <v>4</v>
      </c>
      <c r="B104" s="335" t="s">
        <v>576</v>
      </c>
      <c r="C104" s="746">
        <f>'1.xi den'!H10</f>
        <v>10</v>
      </c>
      <c r="D104" s="747">
        <f>'1.xi den'!L10</f>
        <v>9.9</v>
      </c>
      <c r="E104" s="693"/>
      <c r="F104" s="693"/>
      <c r="G104" s="693"/>
      <c r="H104" s="693"/>
      <c r="I104" s="693"/>
    </row>
    <row r="105" spans="1:9" ht="12.75" hidden="1" customHeight="1">
      <c r="A105" s="743">
        <v>5</v>
      </c>
      <c r="B105" s="748" t="s">
        <v>578</v>
      </c>
      <c r="C105" s="746">
        <f>'1.xi den'!H11</f>
        <v>1.2</v>
      </c>
      <c r="D105" s="747">
        <f>'1.xi den'!L11</f>
        <v>0.96</v>
      </c>
      <c r="E105" s="693"/>
      <c r="F105" s="693"/>
      <c r="G105" s="693"/>
      <c r="H105" s="693"/>
      <c r="I105" s="693"/>
    </row>
    <row r="106" spans="1:9" ht="12.75" hidden="1" customHeight="1">
      <c r="A106" s="743">
        <v>6</v>
      </c>
      <c r="B106" s="748" t="s">
        <v>580</v>
      </c>
      <c r="C106" s="746">
        <f>'1.xi den'!H12</f>
        <v>22.8</v>
      </c>
      <c r="D106" s="747">
        <f>'1.xi den'!L12</f>
        <v>22.5</v>
      </c>
      <c r="E106" s="693"/>
      <c r="F106" s="693"/>
      <c r="G106" s="693"/>
      <c r="H106" s="693"/>
      <c r="I106" s="693"/>
    </row>
    <row r="107" spans="1:9" ht="12.75" hidden="1" customHeight="1">
      <c r="A107" s="743">
        <v>7</v>
      </c>
      <c r="B107" s="748" t="s">
        <v>582</v>
      </c>
      <c r="C107" s="746">
        <f>'1.xi den'!H13</f>
        <v>8.8000000000000007</v>
      </c>
      <c r="D107" s="747">
        <f>'1.xi den'!L13</f>
        <v>9</v>
      </c>
      <c r="E107" s="693"/>
      <c r="F107" s="693"/>
      <c r="G107" s="693"/>
      <c r="H107" s="693"/>
      <c r="I107" s="693"/>
    </row>
    <row r="108" spans="1:9" ht="12.75" hidden="1" customHeight="1">
      <c r="A108" s="743">
        <v>8</v>
      </c>
      <c r="B108" s="335" t="s">
        <v>584</v>
      </c>
      <c r="C108" s="746">
        <f>'1.xi den'!H14</f>
        <v>7.5</v>
      </c>
      <c r="D108" s="747">
        <f>'1.xi den'!L14</f>
        <v>7.8</v>
      </c>
      <c r="E108" s="693"/>
      <c r="F108" s="693"/>
      <c r="G108" s="693"/>
      <c r="H108" s="693"/>
      <c r="I108" s="693"/>
    </row>
    <row r="109" spans="1:9" ht="12.75" hidden="1" customHeight="1">
      <c r="A109" s="743">
        <v>9</v>
      </c>
      <c r="B109" s="748" t="s">
        <v>774</v>
      </c>
      <c r="C109" s="746">
        <f>'1.xi den'!H15</f>
        <v>5.6</v>
      </c>
      <c r="D109" s="747">
        <f>'1.xi den'!L15</f>
        <v>5.5</v>
      </c>
      <c r="E109" s="693"/>
      <c r="F109" s="693"/>
      <c r="G109" s="693"/>
      <c r="H109" s="693"/>
      <c r="I109" s="693"/>
    </row>
    <row r="110" spans="1:9" ht="12.75" hidden="1" customHeight="1">
      <c r="A110" s="749">
        <v>10</v>
      </c>
      <c r="B110" s="750" t="s">
        <v>775</v>
      </c>
      <c r="C110" s="746">
        <f>'1.xi den'!H17</f>
        <v>15.1</v>
      </c>
      <c r="D110" s="747" t="str">
        <f>'1.xi den'!L17</f>
        <v>/</v>
      </c>
      <c r="E110" s="693"/>
      <c r="F110" s="693"/>
      <c r="G110" s="693"/>
      <c r="H110" s="693"/>
      <c r="I110" s="693"/>
    </row>
    <row r="111" spans="1:9" ht="12.75" hidden="1" customHeight="1">
      <c r="A111" s="749">
        <v>11</v>
      </c>
      <c r="B111" s="750" t="s">
        <v>776</v>
      </c>
      <c r="C111" s="746">
        <f>'1.xi den'!H18</f>
        <v>11.6</v>
      </c>
      <c r="D111" s="747" t="str">
        <f>'1.xi den'!L18</f>
        <v>/</v>
      </c>
      <c r="E111" s="693"/>
      <c r="F111" s="693"/>
      <c r="G111" s="693"/>
      <c r="H111" s="693"/>
      <c r="I111" s="693"/>
    </row>
    <row r="112" spans="1:9" ht="12.75" hidden="1" customHeight="1">
      <c r="A112" s="749">
        <v>12</v>
      </c>
      <c r="B112" s="750" t="s">
        <v>380</v>
      </c>
      <c r="C112" s="746">
        <f>'1.xi den'!H21</f>
        <v>2.2000000000000002</v>
      </c>
      <c r="D112" s="747">
        <f>'1.xi den'!L21</f>
        <v>0</v>
      </c>
      <c r="E112" s="693"/>
      <c r="F112" s="693"/>
      <c r="G112" s="693"/>
      <c r="H112" s="693"/>
      <c r="I112" s="693"/>
    </row>
    <row r="113" spans="1:9" ht="12.75" hidden="1" customHeight="1">
      <c r="A113" s="749">
        <v>13</v>
      </c>
      <c r="B113" s="750" t="s">
        <v>383</v>
      </c>
      <c r="C113" s="746">
        <f>'1.xi den'!H22</f>
        <v>1.9</v>
      </c>
      <c r="D113" s="747">
        <f>'1.xi den'!L22</f>
        <v>0</v>
      </c>
      <c r="E113" s="693"/>
      <c r="F113" s="693"/>
      <c r="G113" s="693"/>
      <c r="H113" s="693"/>
      <c r="I113" s="693"/>
    </row>
    <row r="114" spans="1:9" ht="12.75" hidden="1" customHeight="1">
      <c r="A114" s="333"/>
      <c r="B114" s="751" t="s">
        <v>110</v>
      </c>
      <c r="C114" s="752" t="s">
        <v>158</v>
      </c>
      <c r="D114" s="753"/>
      <c r="E114" s="693"/>
      <c r="F114" s="693"/>
      <c r="G114" s="693"/>
      <c r="H114" s="693"/>
      <c r="I114" s="693"/>
    </row>
    <row r="115" spans="1:9" ht="12.75" hidden="1" customHeight="1">
      <c r="A115" s="487" t="s">
        <v>7</v>
      </c>
      <c r="B115" s="751" t="s">
        <v>62</v>
      </c>
      <c r="C115" s="754">
        <v>0.375</v>
      </c>
      <c r="D115" s="755">
        <v>0.54166666666666663</v>
      </c>
      <c r="E115" s="693"/>
      <c r="F115" s="693"/>
      <c r="G115" s="693"/>
      <c r="H115" s="693"/>
      <c r="I115" s="693"/>
    </row>
    <row r="116" spans="1:9" ht="12.75" hidden="1" customHeight="1">
      <c r="A116" s="487">
        <v>1</v>
      </c>
      <c r="B116" s="142" t="s">
        <v>475</v>
      </c>
      <c r="C116" s="746">
        <f>'1.xi den'!H25</f>
        <v>56</v>
      </c>
      <c r="D116" s="747">
        <f>'1.xi den'!L25</f>
        <v>58</v>
      </c>
      <c r="E116" s="693"/>
      <c r="F116" s="693"/>
      <c r="G116" s="693"/>
      <c r="H116" s="693"/>
      <c r="I116" s="693"/>
    </row>
    <row r="117" spans="1:9" ht="12.75" hidden="1" customHeight="1">
      <c r="A117" s="487">
        <v>2</v>
      </c>
      <c r="B117" s="142" t="s">
        <v>479</v>
      </c>
      <c r="C117" s="746">
        <f>'1.xi den'!H26</f>
        <v>59</v>
      </c>
      <c r="D117" s="747">
        <f>'1.xi den'!L26</f>
        <v>59</v>
      </c>
      <c r="E117" s="693"/>
      <c r="F117" s="693"/>
      <c r="G117" s="693"/>
      <c r="H117" s="693"/>
      <c r="I117" s="693"/>
    </row>
    <row r="118" spans="1:9" ht="12.75" hidden="1" customHeight="1">
      <c r="A118" s="487">
        <v>3</v>
      </c>
      <c r="B118" s="142" t="s">
        <v>481</v>
      </c>
      <c r="C118" s="746">
        <f>'1.xi den'!H27</f>
        <v>58</v>
      </c>
      <c r="D118" s="747">
        <f>'1.xi den'!L27</f>
        <v>58</v>
      </c>
      <c r="E118" s="693"/>
      <c r="F118" s="693"/>
      <c r="G118" s="693"/>
      <c r="H118" s="693"/>
      <c r="I118" s="693"/>
    </row>
    <row r="119" spans="1:9" ht="12.75" hidden="1" customHeight="1">
      <c r="A119" s="487">
        <v>4</v>
      </c>
      <c r="B119" s="142" t="s">
        <v>512</v>
      </c>
      <c r="C119" s="746">
        <f>'1.xi den'!H28</f>
        <v>40</v>
      </c>
      <c r="D119" s="747">
        <f>'1.xi den'!L28</f>
        <v>40</v>
      </c>
      <c r="E119" s="693"/>
      <c r="F119" s="693"/>
      <c r="G119" s="693"/>
      <c r="H119" s="693"/>
      <c r="I119" s="693"/>
    </row>
    <row r="120" spans="1:9" ht="12.75" hidden="1" customHeight="1">
      <c r="A120" s="487">
        <v>5</v>
      </c>
      <c r="B120" s="142" t="s">
        <v>777</v>
      </c>
      <c r="C120" s="746">
        <f>'1.xi den'!H29</f>
        <v>30</v>
      </c>
      <c r="D120" s="747">
        <f>'1.xi den'!L29</f>
        <v>29</v>
      </c>
      <c r="E120" s="693"/>
      <c r="F120" s="693"/>
      <c r="G120" s="693"/>
      <c r="H120" s="693"/>
      <c r="I120" s="693"/>
    </row>
    <row r="121" spans="1:9" ht="12.75" hidden="1" customHeight="1">
      <c r="A121" s="487">
        <v>6</v>
      </c>
      <c r="B121" s="142" t="s">
        <v>520</v>
      </c>
      <c r="C121" s="746">
        <f>'1.xi den'!I31</f>
        <v>171</v>
      </c>
      <c r="D121" s="747">
        <f>'1.xi den'!M31</f>
        <v>178</v>
      </c>
      <c r="E121" s="693"/>
      <c r="F121" s="693"/>
      <c r="G121" s="693"/>
      <c r="H121" s="693"/>
      <c r="I121" s="693"/>
    </row>
    <row r="122" spans="1:9" ht="12.75" hidden="1" customHeight="1">
      <c r="A122" s="487">
        <v>1</v>
      </c>
      <c r="B122" s="756" t="s">
        <v>778</v>
      </c>
      <c r="C122" s="754">
        <v>0.375</v>
      </c>
      <c r="D122" s="755">
        <v>0.54166666666666663</v>
      </c>
      <c r="E122" s="693"/>
      <c r="F122" s="693"/>
      <c r="G122" s="693"/>
      <c r="H122" s="693"/>
      <c r="I122" s="693"/>
    </row>
    <row r="123" spans="1:9" ht="12.75" hidden="1" customHeight="1">
      <c r="A123" s="487">
        <v>2</v>
      </c>
      <c r="B123" s="757" t="s">
        <v>522</v>
      </c>
      <c r="C123" s="746">
        <f>'1.xi den'!H33</f>
        <v>0</v>
      </c>
      <c r="D123" s="747">
        <f>'1.xi den'!L33</f>
        <v>0</v>
      </c>
      <c r="E123" s="693"/>
      <c r="F123" s="693"/>
      <c r="G123" s="693"/>
      <c r="H123" s="693"/>
      <c r="I123" s="693"/>
    </row>
    <row r="124" spans="1:9" ht="12.75" hidden="1" customHeight="1">
      <c r="A124" s="758"/>
      <c r="B124" s="759" t="s">
        <v>525</v>
      </c>
      <c r="C124" s="746">
        <f>'1.xi den'!H34</f>
        <v>0</v>
      </c>
      <c r="D124" s="747">
        <f>'1.xi den'!L34</f>
        <v>0</v>
      </c>
      <c r="E124" s="693"/>
      <c r="F124" s="693"/>
      <c r="G124" s="693"/>
      <c r="H124" s="693"/>
      <c r="I124" s="693"/>
    </row>
    <row r="125" spans="1:9" ht="12.75" hidden="1" customHeight="1">
      <c r="A125" s="760"/>
      <c r="B125" s="761"/>
      <c r="C125" s="762" t="s">
        <v>157</v>
      </c>
      <c r="D125" s="753"/>
      <c r="E125" s="693"/>
      <c r="F125" s="693"/>
      <c r="G125" s="693"/>
      <c r="H125" s="693"/>
      <c r="I125" s="693"/>
    </row>
    <row r="126" spans="1:9" ht="12.75" hidden="1" customHeight="1">
      <c r="A126" s="763"/>
      <c r="B126" s="764"/>
      <c r="C126" s="754">
        <v>0.375</v>
      </c>
      <c r="D126" s="755">
        <v>0.54166666666666663</v>
      </c>
      <c r="E126" s="693"/>
      <c r="F126" s="693"/>
      <c r="G126" s="693"/>
      <c r="H126" s="693"/>
      <c r="I126" s="693"/>
    </row>
    <row r="127" spans="1:9" ht="12.75" hidden="1" customHeight="1">
      <c r="A127" s="743">
        <v>1</v>
      </c>
      <c r="B127" s="335" t="s">
        <v>572</v>
      </c>
      <c r="C127" s="765">
        <f>'1.xi den'!J7</f>
        <v>0</v>
      </c>
      <c r="D127" s="766">
        <f>'1.xi den'!N7</f>
        <v>0</v>
      </c>
      <c r="E127" s="693"/>
      <c r="F127" s="693"/>
      <c r="G127" s="693"/>
      <c r="H127" s="693"/>
      <c r="I127" s="693"/>
    </row>
    <row r="128" spans="1:9" ht="12.75" hidden="1" customHeight="1">
      <c r="A128" s="743">
        <v>2</v>
      </c>
      <c r="B128" s="335" t="s">
        <v>573</v>
      </c>
      <c r="C128" s="765">
        <f>'1.xi den'!J8</f>
        <v>0</v>
      </c>
      <c r="D128" s="766">
        <f>'1.xi den'!N8</f>
        <v>0</v>
      </c>
      <c r="E128" s="693"/>
      <c r="F128" s="693"/>
      <c r="G128" s="693"/>
      <c r="H128" s="693"/>
      <c r="I128" s="693"/>
    </row>
    <row r="129" spans="1:9" ht="12.75" hidden="1" customHeight="1">
      <c r="A129" s="743">
        <v>3</v>
      </c>
      <c r="B129" s="335" t="s">
        <v>574</v>
      </c>
      <c r="C129" s="765">
        <f>'1.xi den'!J9</f>
        <v>0</v>
      </c>
      <c r="D129" s="766">
        <f>'1.xi den'!N9</f>
        <v>0</v>
      </c>
      <c r="E129" s="693"/>
      <c r="F129" s="693"/>
      <c r="G129" s="693"/>
      <c r="H129" s="693"/>
      <c r="I129" s="693"/>
    </row>
    <row r="130" spans="1:9" ht="12.75" hidden="1" customHeight="1">
      <c r="A130" s="743">
        <v>4</v>
      </c>
      <c r="B130" s="335" t="s">
        <v>576</v>
      </c>
      <c r="C130" s="765">
        <f>'1.xi den'!J10</f>
        <v>0</v>
      </c>
      <c r="D130" s="766">
        <f>'1.xi den'!N10</f>
        <v>1.2463199999999954</v>
      </c>
      <c r="E130" s="693"/>
      <c r="F130" s="693"/>
      <c r="G130" s="693"/>
      <c r="H130" s="693"/>
      <c r="I130" s="693"/>
    </row>
    <row r="131" spans="1:9" ht="12.75" hidden="1" customHeight="1">
      <c r="A131" s="743">
        <v>5</v>
      </c>
      <c r="B131" s="748" t="s">
        <v>578</v>
      </c>
      <c r="C131" s="765">
        <f>'1.xi den'!J11</f>
        <v>0</v>
      </c>
      <c r="D131" s="766">
        <f>'1.xi den'!N11</f>
        <v>0</v>
      </c>
      <c r="E131" s="693"/>
      <c r="F131" s="693"/>
      <c r="G131" s="693"/>
      <c r="H131" s="693"/>
      <c r="I131" s="693"/>
    </row>
    <row r="132" spans="1:9" ht="12.75" hidden="1" customHeight="1">
      <c r="A132" s="743">
        <v>6</v>
      </c>
      <c r="B132" s="748" t="s">
        <v>580</v>
      </c>
      <c r="C132" s="765">
        <f>'1.xi den'!J12</f>
        <v>0</v>
      </c>
      <c r="D132" s="766">
        <f>'1.xi den'!N12</f>
        <v>0</v>
      </c>
      <c r="E132" s="693"/>
      <c r="F132" s="693"/>
      <c r="G132" s="693"/>
      <c r="H132" s="693"/>
      <c r="I132" s="693"/>
    </row>
    <row r="133" spans="1:9" ht="12.75" hidden="1" customHeight="1">
      <c r="A133" s="743">
        <v>7</v>
      </c>
      <c r="B133" s="748" t="s">
        <v>582</v>
      </c>
      <c r="C133" s="765">
        <f>'1.xi den'!J13</f>
        <v>0</v>
      </c>
      <c r="D133" s="766">
        <f>'1.xi den'!N13</f>
        <v>0</v>
      </c>
      <c r="E133" s="693"/>
      <c r="F133" s="693"/>
      <c r="G133" s="693"/>
      <c r="H133" s="693"/>
      <c r="I133" s="693"/>
    </row>
    <row r="134" spans="1:9" ht="12.75" hidden="1" customHeight="1">
      <c r="A134" s="743">
        <v>8</v>
      </c>
      <c r="B134" s="335" t="s">
        <v>584</v>
      </c>
      <c r="C134" s="765">
        <f>'1.xi den'!J14</f>
        <v>0</v>
      </c>
      <c r="D134" s="766">
        <f>'1.xi den'!N14</f>
        <v>0</v>
      </c>
      <c r="E134" s="693"/>
      <c r="F134" s="693"/>
      <c r="G134" s="693"/>
      <c r="H134" s="693"/>
      <c r="I134" s="693"/>
    </row>
    <row r="135" spans="1:9" ht="12.75" hidden="1" customHeight="1">
      <c r="A135" s="743">
        <v>9</v>
      </c>
      <c r="B135" s="748" t="s">
        <v>774</v>
      </c>
      <c r="C135" s="765">
        <f>'1.xi den'!J15</f>
        <v>0</v>
      </c>
      <c r="D135" s="766">
        <f>'1.xi den'!N15</f>
        <v>0</v>
      </c>
      <c r="E135" s="693"/>
      <c r="F135" s="693"/>
      <c r="G135" s="693"/>
      <c r="H135" s="693"/>
      <c r="I135" s="693"/>
    </row>
    <row r="136" spans="1:9" ht="12.75" hidden="1" customHeight="1">
      <c r="A136" s="749">
        <v>10</v>
      </c>
      <c r="B136" s="750" t="s">
        <v>775</v>
      </c>
      <c r="C136" s="765">
        <f>'1.xi den'!J17</f>
        <v>0</v>
      </c>
      <c r="D136" s="766">
        <f>'1.xi den'!N17</f>
        <v>0</v>
      </c>
      <c r="E136" s="693"/>
      <c r="F136" s="693"/>
      <c r="G136" s="693"/>
      <c r="H136" s="693"/>
      <c r="I136" s="693"/>
    </row>
    <row r="137" spans="1:9" ht="12.75" hidden="1" customHeight="1">
      <c r="A137" s="749">
        <v>11</v>
      </c>
      <c r="B137" s="750" t="s">
        <v>776</v>
      </c>
      <c r="C137" s="765">
        <f>'1.xi den'!J18</f>
        <v>9.1800000000000086</v>
      </c>
      <c r="D137" s="766">
        <f>'1.xi den'!N18</f>
        <v>0</v>
      </c>
      <c r="E137" s="693"/>
      <c r="F137" s="693"/>
      <c r="G137" s="693"/>
      <c r="H137" s="693"/>
      <c r="I137" s="693"/>
    </row>
    <row r="138" spans="1:9" ht="12.75" hidden="1" customHeight="1">
      <c r="A138" s="749">
        <v>12</v>
      </c>
      <c r="B138" s="750" t="s">
        <v>380</v>
      </c>
      <c r="C138" s="765">
        <f>'1.xi den'!J21</f>
        <v>0</v>
      </c>
      <c r="D138" s="766">
        <f>'1.xi den'!N21</f>
        <v>0</v>
      </c>
      <c r="E138" s="693"/>
      <c r="F138" s="693"/>
      <c r="G138" s="693"/>
      <c r="H138" s="693"/>
      <c r="I138" s="693"/>
    </row>
    <row r="139" spans="1:9" ht="12.75" hidden="1" customHeight="1">
      <c r="A139" s="749">
        <v>13</v>
      </c>
      <c r="B139" s="750" t="s">
        <v>383</v>
      </c>
      <c r="C139" s="765">
        <f>'1.xi den'!J22</f>
        <v>0</v>
      </c>
      <c r="D139" s="766">
        <f>'1.xi den'!N22</f>
        <v>0</v>
      </c>
      <c r="E139" s="693"/>
      <c r="F139" s="693"/>
      <c r="G139" s="693"/>
      <c r="H139" s="693"/>
      <c r="I139" s="693"/>
    </row>
    <row r="140" spans="1:9" ht="12.75" customHeight="1" thickBot="1">
      <c r="A140" s="700"/>
      <c r="B140" s="409"/>
      <c r="C140" s="767"/>
      <c r="D140" s="768"/>
      <c r="E140" s="693"/>
      <c r="F140" s="693"/>
      <c r="G140" s="693"/>
      <c r="H140" s="693"/>
      <c r="I140" s="693"/>
    </row>
    <row r="141" spans="1:9" ht="12.75" customHeight="1">
      <c r="A141" s="700"/>
      <c r="B141" s="409"/>
      <c r="E141" s="693"/>
      <c r="F141" s="693"/>
      <c r="G141" s="693"/>
      <c r="H141" s="693"/>
      <c r="I141" s="693"/>
    </row>
    <row r="143" spans="1:9" ht="12.75" customHeight="1">
      <c r="A143" s="3613" t="s">
        <v>779</v>
      </c>
      <c r="B143" s="3614"/>
      <c r="E143" s="693"/>
      <c r="F143" s="693"/>
      <c r="G143" s="693"/>
      <c r="H143" s="693"/>
      <c r="I143" s="693"/>
    </row>
    <row r="144" spans="1:9" ht="12.75" customHeight="1">
      <c r="A144" s="3615" t="s">
        <v>7</v>
      </c>
      <c r="B144" s="3617" t="s">
        <v>77</v>
      </c>
      <c r="C144" s="699" t="s">
        <v>156</v>
      </c>
      <c r="D144" s="699"/>
      <c r="E144" s="693"/>
      <c r="F144" s="693"/>
      <c r="G144" s="693"/>
      <c r="H144" s="693"/>
      <c r="I144" s="693"/>
    </row>
    <row r="145" spans="1:9" ht="12.75" customHeight="1" thickBot="1">
      <c r="A145" s="3616"/>
      <c r="B145" s="3618"/>
      <c r="C145" s="702">
        <v>0.33333333333333331</v>
      </c>
      <c r="D145" s="702">
        <v>0.83333333333333337</v>
      </c>
      <c r="E145" s="693"/>
      <c r="F145" s="693"/>
      <c r="G145" s="693"/>
      <c r="H145" s="693"/>
      <c r="I145" s="693"/>
    </row>
    <row r="146" spans="1:9" ht="12.75" customHeight="1">
      <c r="A146" s="769">
        <v>1</v>
      </c>
      <c r="B146" s="770" t="s">
        <v>529</v>
      </c>
      <c r="C146" s="744">
        <f>'R.FILE GOC'!H89</f>
        <v>24.964000000000002</v>
      </c>
      <c r="D146" s="745">
        <f>'R.FILE GOC'!N89</f>
        <v>24</v>
      </c>
      <c r="E146" s="693"/>
      <c r="F146" s="693"/>
      <c r="G146" s="693"/>
      <c r="H146" s="693"/>
      <c r="I146" s="693"/>
    </row>
    <row r="147" spans="1:9" ht="12.75" hidden="1" customHeight="1">
      <c r="A147" s="769">
        <v>2</v>
      </c>
      <c r="B147" s="770" t="s">
        <v>533</v>
      </c>
      <c r="C147" s="746">
        <f>'R.FILE GOC'!H90</f>
        <v>26.86</v>
      </c>
      <c r="D147" s="747">
        <f>'R.FILE GOC'!N90</f>
        <v>24.964000000000002</v>
      </c>
      <c r="E147" s="693"/>
      <c r="F147" s="693"/>
      <c r="G147" s="693"/>
      <c r="H147" s="693"/>
      <c r="I147" s="693"/>
    </row>
    <row r="148" spans="1:9" ht="12.75" hidden="1" customHeight="1">
      <c r="A148" s="769">
        <v>3</v>
      </c>
      <c r="B148" s="770" t="s">
        <v>535</v>
      </c>
      <c r="C148" s="746">
        <f>'R.FILE GOC'!H91</f>
        <v>245</v>
      </c>
      <c r="D148" s="747">
        <f>'R.FILE GOC'!N91</f>
        <v>250</v>
      </c>
      <c r="E148" s="693"/>
      <c r="F148" s="693"/>
      <c r="G148" s="693"/>
      <c r="H148" s="693"/>
      <c r="I148" s="693"/>
    </row>
    <row r="149" spans="1:9" ht="12.75" hidden="1" customHeight="1">
      <c r="A149" s="769">
        <v>4</v>
      </c>
      <c r="B149" s="336" t="s">
        <v>416</v>
      </c>
      <c r="C149" s="746">
        <f>'R.FILE GOC'!H92</f>
        <v>140</v>
      </c>
      <c r="D149" s="747">
        <f>'R.FILE GOC'!N92</f>
        <v>138</v>
      </c>
      <c r="E149" s="693"/>
      <c r="F149" s="693"/>
      <c r="G149" s="693"/>
      <c r="H149" s="693"/>
      <c r="I149" s="693"/>
    </row>
    <row r="150" spans="1:9" ht="12.75" hidden="1" customHeight="1">
      <c r="A150" s="769">
        <v>5</v>
      </c>
      <c r="B150" s="336" t="s">
        <v>417</v>
      </c>
      <c r="C150" s="746">
        <f>'R.FILE GOC'!H93</f>
        <v>4.25</v>
      </c>
      <c r="D150" s="747">
        <f>'R.FILE GOC'!N93</f>
        <v>4.4000000000000004</v>
      </c>
      <c r="E150" s="693"/>
      <c r="F150" s="693"/>
      <c r="G150" s="693"/>
      <c r="H150" s="693"/>
      <c r="I150" s="693"/>
    </row>
    <row r="151" spans="1:9" ht="12.75" hidden="1" customHeight="1">
      <c r="A151" s="769">
        <v>6</v>
      </c>
      <c r="B151" s="341" t="s">
        <v>418</v>
      </c>
      <c r="C151" s="746">
        <f>'R.FILE GOC'!H94</f>
        <v>140</v>
      </c>
      <c r="D151" s="747">
        <f>'R.FILE GOC'!N94</f>
        <v>140</v>
      </c>
      <c r="E151" s="693"/>
      <c r="F151" s="693"/>
      <c r="G151" s="693"/>
      <c r="H151" s="693"/>
      <c r="I151" s="693"/>
    </row>
    <row r="152" spans="1:9" ht="12.75" hidden="1" customHeight="1">
      <c r="A152" s="769">
        <v>7</v>
      </c>
      <c r="B152" s="341" t="s">
        <v>419</v>
      </c>
      <c r="C152" s="746">
        <f>'R.FILE GOC'!H95</f>
        <v>3.9999999999999991</v>
      </c>
      <c r="D152" s="747">
        <f>'R.FILE GOC'!N95</f>
        <v>5</v>
      </c>
      <c r="E152" s="693"/>
      <c r="F152" s="693"/>
      <c r="G152" s="693"/>
      <c r="H152" s="693"/>
      <c r="I152" s="693"/>
    </row>
    <row r="153" spans="1:9" ht="12.75" hidden="1" customHeight="1">
      <c r="A153" s="769">
        <v>8</v>
      </c>
      <c r="B153" s="341" t="s">
        <v>420</v>
      </c>
      <c r="C153" s="746">
        <f>'R.FILE GOC'!H96</f>
        <v>128.75</v>
      </c>
      <c r="D153" s="747">
        <f>'R.FILE GOC'!N96</f>
        <v>131.25</v>
      </c>
      <c r="E153" s="693"/>
      <c r="F153" s="693"/>
      <c r="G153" s="693"/>
      <c r="H153" s="693"/>
      <c r="I153" s="693"/>
    </row>
    <row r="154" spans="1:9" ht="12.75" hidden="1" customHeight="1">
      <c r="A154" s="769">
        <v>9</v>
      </c>
      <c r="B154" s="341" t="s">
        <v>421</v>
      </c>
      <c r="C154" s="746">
        <f>'R.FILE GOC'!H97</f>
        <v>4.2</v>
      </c>
      <c r="D154" s="747">
        <f>'R.FILE GOC'!N97</f>
        <v>4.125</v>
      </c>
      <c r="E154" s="693"/>
      <c r="F154" s="693"/>
      <c r="G154" s="693"/>
      <c r="H154" s="693"/>
      <c r="I154" s="693"/>
    </row>
    <row r="155" spans="1:9" ht="12.75" hidden="1" customHeight="1">
      <c r="A155" s="3606">
        <v>10</v>
      </c>
      <c r="B155" s="3229" t="s">
        <v>780</v>
      </c>
      <c r="C155" s="746">
        <f>'R.FILE GOC'!H98</f>
        <v>10.607999999999999</v>
      </c>
      <c r="D155" s="747">
        <f>'R.FILE GOC'!N98</f>
        <v>10.192000000000002</v>
      </c>
      <c r="E155" s="693"/>
      <c r="F155" s="693"/>
      <c r="G155" s="693"/>
      <c r="H155" s="693"/>
      <c r="I155" s="693"/>
    </row>
    <row r="156" spans="1:9" ht="12.75" hidden="1" customHeight="1">
      <c r="A156" s="3607"/>
      <c r="B156" s="3608"/>
      <c r="C156" s="746">
        <f>'R.FILE GOC'!H99</f>
        <v>6.2</v>
      </c>
      <c r="D156" s="747">
        <f>'R.FILE GOC'!N99</f>
        <v>6.3</v>
      </c>
      <c r="E156" s="693"/>
      <c r="F156" s="693"/>
      <c r="G156" s="693"/>
      <c r="H156" s="693"/>
      <c r="I156" s="693"/>
    </row>
    <row r="157" spans="1:9" ht="12.75" hidden="1" customHeight="1">
      <c r="A157" s="769">
        <v>12</v>
      </c>
      <c r="B157" s="771" t="s">
        <v>551</v>
      </c>
      <c r="C157" s="746">
        <f>'R.FILE GOC'!H100</f>
        <v>0</v>
      </c>
      <c r="D157" s="747">
        <f>'R.FILE GOC'!N100</f>
        <v>0</v>
      </c>
      <c r="E157" s="693"/>
      <c r="F157" s="693"/>
      <c r="G157" s="693"/>
      <c r="H157" s="693"/>
      <c r="I157" s="693"/>
    </row>
    <row r="158" spans="1:9" ht="12.75" hidden="1" customHeight="1">
      <c r="A158" s="769">
        <v>13</v>
      </c>
      <c r="B158" s="772" t="s">
        <v>553</v>
      </c>
      <c r="C158" s="746">
        <f>'R.FILE GOC'!H101</f>
        <v>0</v>
      </c>
      <c r="D158" s="747">
        <f>'R.FILE GOC'!N101</f>
        <v>0</v>
      </c>
      <c r="E158" s="693"/>
      <c r="F158" s="693"/>
      <c r="G158" s="693"/>
      <c r="H158" s="693"/>
      <c r="I158" s="693"/>
    </row>
    <row r="159" spans="1:9" ht="12.75" hidden="1" customHeight="1">
      <c r="A159" s="769">
        <v>14</v>
      </c>
      <c r="B159" s="773" t="s">
        <v>555</v>
      </c>
      <c r="C159" s="746">
        <f>'R.FILE GOC'!H102</f>
        <v>5.6</v>
      </c>
      <c r="D159" s="747">
        <f>'R.FILE GOC'!N102</f>
        <v>5.7</v>
      </c>
      <c r="E159" s="693"/>
      <c r="F159" s="693"/>
      <c r="G159" s="693"/>
      <c r="H159" s="693"/>
      <c r="I159" s="693"/>
    </row>
    <row r="160" spans="1:9" ht="12.75" hidden="1" customHeight="1">
      <c r="A160" s="769"/>
      <c r="B160" s="774" t="s">
        <v>74</v>
      </c>
      <c r="C160" s="752" t="s">
        <v>158</v>
      </c>
      <c r="D160" s="775" t="s">
        <v>158</v>
      </c>
      <c r="E160" s="693"/>
      <c r="F160" s="693"/>
      <c r="G160" s="693"/>
      <c r="H160" s="693"/>
      <c r="I160" s="693"/>
    </row>
    <row r="161" spans="1:9" ht="12.75" hidden="1" customHeight="1">
      <c r="A161" s="769" t="s">
        <v>7</v>
      </c>
      <c r="B161" s="776" t="s">
        <v>62</v>
      </c>
      <c r="C161" s="754">
        <v>0.33333333333333331</v>
      </c>
      <c r="D161" s="755"/>
      <c r="E161" s="693"/>
      <c r="F161" s="693"/>
      <c r="G161" s="693"/>
      <c r="H161" s="693"/>
      <c r="I161" s="693"/>
    </row>
    <row r="162" spans="1:9" ht="12.75" hidden="1" customHeight="1">
      <c r="A162" s="769">
        <v>1</v>
      </c>
      <c r="B162" s="770" t="s">
        <v>529</v>
      </c>
      <c r="C162" s="746">
        <f>'R.FILE GOC'!H105</f>
        <v>61</v>
      </c>
      <c r="D162" s="747">
        <f>'R.FILE GOC'!N105</f>
        <v>61</v>
      </c>
      <c r="E162" s="693"/>
      <c r="F162" s="693"/>
      <c r="G162" s="693"/>
      <c r="H162" s="693"/>
      <c r="I162" s="693"/>
    </row>
    <row r="163" spans="1:9" ht="12.75" hidden="1" customHeight="1">
      <c r="A163" s="769">
        <v>2</v>
      </c>
      <c r="B163" s="770" t="s">
        <v>533</v>
      </c>
      <c r="C163" s="746">
        <f>'R.FILE GOC'!H106</f>
        <v>65</v>
      </c>
      <c r="D163" s="747">
        <f>'R.FILE GOC'!N106</f>
        <v>65</v>
      </c>
      <c r="E163" s="693"/>
      <c r="F163" s="693"/>
      <c r="G163" s="693"/>
      <c r="H163" s="693"/>
      <c r="I163" s="693"/>
    </row>
    <row r="164" spans="1:9" ht="12.75" hidden="1" customHeight="1">
      <c r="A164" s="769">
        <v>3</v>
      </c>
      <c r="B164" s="336" t="s">
        <v>781</v>
      </c>
      <c r="C164" s="746">
        <f>'R.FILE GOC'!H107</f>
        <v>24</v>
      </c>
      <c r="D164" s="747">
        <f>'R.FILE GOC'!N107</f>
        <v>25</v>
      </c>
      <c r="E164" s="693"/>
      <c r="F164" s="693"/>
      <c r="G164" s="693"/>
      <c r="H164" s="693"/>
      <c r="I164" s="693"/>
    </row>
    <row r="165" spans="1:9" ht="12.75" hidden="1" customHeight="1">
      <c r="A165" s="769">
        <v>4</v>
      </c>
      <c r="B165" s="336" t="s">
        <v>782</v>
      </c>
      <c r="C165" s="746">
        <f>'R.FILE GOC'!H108</f>
        <v>26</v>
      </c>
      <c r="D165" s="747">
        <f>'R.FILE GOC'!N108</f>
        <v>26</v>
      </c>
      <c r="E165" s="693"/>
      <c r="F165" s="693"/>
      <c r="G165" s="693"/>
      <c r="H165" s="693"/>
      <c r="I165" s="693"/>
    </row>
    <row r="166" spans="1:9" ht="12.75" hidden="1" customHeight="1">
      <c r="A166" s="769">
        <v>5</v>
      </c>
      <c r="B166" s="336" t="s">
        <v>783</v>
      </c>
      <c r="C166" s="746">
        <f>'R.FILE GOC'!H109</f>
        <v>22</v>
      </c>
      <c r="D166" s="747">
        <f>'R.FILE GOC'!N109</f>
        <v>22</v>
      </c>
      <c r="E166" s="693"/>
      <c r="F166" s="693"/>
      <c r="G166" s="693"/>
      <c r="H166" s="693"/>
      <c r="I166" s="693"/>
    </row>
    <row r="167" spans="1:9" ht="12.75" hidden="1" customHeight="1">
      <c r="A167" s="769">
        <v>6</v>
      </c>
      <c r="B167" s="336" t="s">
        <v>780</v>
      </c>
      <c r="C167" s="746">
        <f>'R.FILE GOC'!H110</f>
        <v>39</v>
      </c>
      <c r="D167" s="747">
        <f>'R.FILE GOC'!N110</f>
        <v>39</v>
      </c>
      <c r="E167" s="693"/>
      <c r="F167" s="693"/>
      <c r="G167" s="693"/>
      <c r="H167" s="693"/>
      <c r="I167" s="693"/>
    </row>
    <row r="168" spans="1:9" ht="12.75" hidden="1" customHeight="1">
      <c r="A168" s="769">
        <v>8</v>
      </c>
      <c r="B168" s="771" t="s">
        <v>551</v>
      </c>
      <c r="C168" s="746">
        <f>'R.FILE GOC'!H111</f>
        <v>0</v>
      </c>
      <c r="D168" s="747">
        <f>'R.FILE GOC'!N111</f>
        <v>0</v>
      </c>
      <c r="E168" s="693"/>
      <c r="F168" s="693"/>
      <c r="G168" s="693"/>
      <c r="H168" s="693"/>
      <c r="I168" s="693"/>
    </row>
    <row r="169" spans="1:9" ht="12.75" hidden="1" customHeight="1">
      <c r="A169" s="769">
        <v>9</v>
      </c>
      <c r="B169" s="772" t="s">
        <v>553</v>
      </c>
      <c r="C169" s="746">
        <f>'R.FILE GOC'!H112</f>
        <v>0</v>
      </c>
      <c r="D169" s="747">
        <f>'R.FILE GOC'!N112</f>
        <v>0</v>
      </c>
      <c r="E169" s="693"/>
      <c r="F169" s="693"/>
      <c r="G169" s="693"/>
      <c r="H169" s="693"/>
      <c r="I169" s="693"/>
    </row>
    <row r="170" spans="1:9" ht="12.75" hidden="1" customHeight="1">
      <c r="A170" s="769">
        <v>10</v>
      </c>
      <c r="B170" s="773" t="s">
        <v>555</v>
      </c>
      <c r="C170" s="746">
        <f>'R.FILE GOC'!H113</f>
        <v>65</v>
      </c>
      <c r="D170" s="747">
        <f>'R.FILE GOC'!N113</f>
        <v>65</v>
      </c>
      <c r="E170" s="693"/>
      <c r="F170" s="693"/>
      <c r="G170" s="693"/>
      <c r="H170" s="693"/>
      <c r="I170" s="693"/>
    </row>
    <row r="171" spans="1:9" ht="12.75" hidden="1" customHeight="1">
      <c r="A171" s="769">
        <v>11</v>
      </c>
      <c r="B171" s="770" t="s">
        <v>784</v>
      </c>
      <c r="C171" s="746" t="e">
        <f>'R.FILE GOC'!#REF!</f>
        <v>#REF!</v>
      </c>
      <c r="D171" s="747" t="e">
        <f>'R.FILE GOC'!#REF!</f>
        <v>#REF!</v>
      </c>
      <c r="E171" s="693"/>
      <c r="F171" s="693"/>
      <c r="G171" s="693"/>
      <c r="H171" s="693"/>
      <c r="I171" s="693"/>
    </row>
    <row r="172" spans="1:9" ht="12.75" hidden="1" customHeight="1">
      <c r="A172" s="769">
        <v>12</v>
      </c>
      <c r="B172" s="336" t="s">
        <v>567</v>
      </c>
      <c r="C172" s="824">
        <f>'5.ML'!G33</f>
        <v>106</v>
      </c>
      <c r="D172" s="825">
        <f>'5.ML'!K33</f>
        <v>108</v>
      </c>
      <c r="E172" s="693"/>
      <c r="F172" s="693"/>
      <c r="G172" s="693"/>
      <c r="H172" s="693"/>
      <c r="I172" s="693"/>
    </row>
    <row r="173" spans="1:9" ht="12.75" hidden="1" customHeight="1">
      <c r="A173" s="760"/>
      <c r="B173" s="761"/>
      <c r="C173" s="762" t="s">
        <v>157</v>
      </c>
      <c r="D173" s="753" t="s">
        <v>157</v>
      </c>
      <c r="E173" s="693"/>
      <c r="F173" s="693"/>
      <c r="G173" s="693"/>
      <c r="H173" s="693"/>
      <c r="I173" s="693"/>
    </row>
    <row r="174" spans="1:9" ht="12.75" hidden="1" customHeight="1">
      <c r="A174" s="760"/>
      <c r="B174" s="761"/>
      <c r="C174" s="754">
        <v>0.33333333333333331</v>
      </c>
      <c r="D174" s="755"/>
      <c r="E174" s="693"/>
      <c r="F174" s="693"/>
      <c r="G174" s="693"/>
      <c r="H174" s="693"/>
      <c r="I174" s="693"/>
    </row>
    <row r="175" spans="1:9" ht="12.75" hidden="1" customHeight="1">
      <c r="A175" s="769">
        <v>1</v>
      </c>
      <c r="B175" s="770" t="s">
        <v>529</v>
      </c>
      <c r="C175" s="765">
        <f>'R.FILE GOC'!K89</f>
        <v>5.8751999999996425E-2</v>
      </c>
      <c r="D175" s="766">
        <f>'R.FILE GOC'!Q89</f>
        <v>1.6319999999999999</v>
      </c>
      <c r="E175" s="693"/>
      <c r="F175" s="693"/>
      <c r="G175" s="693"/>
      <c r="H175" s="693"/>
      <c r="I175" s="693"/>
    </row>
    <row r="176" spans="1:9" ht="12.75" hidden="1" customHeight="1">
      <c r="A176" s="769">
        <v>2</v>
      </c>
      <c r="B176" s="770" t="s">
        <v>533</v>
      </c>
      <c r="C176" s="765">
        <f>'R.FILE GOC'!K90</f>
        <v>0</v>
      </c>
      <c r="D176" s="766">
        <f>'R.FILE GOC'!Q90</f>
        <v>5.8751999999996425E-2</v>
      </c>
      <c r="E176" s="693"/>
      <c r="F176" s="693"/>
      <c r="G176" s="693"/>
      <c r="H176" s="693"/>
      <c r="I176" s="693"/>
    </row>
    <row r="177" spans="1:9" ht="12.75" hidden="1" customHeight="1">
      <c r="A177" s="769">
        <v>3</v>
      </c>
      <c r="B177" s="770" t="s">
        <v>535</v>
      </c>
      <c r="C177" s="765">
        <f>'R.FILE GOC'!K91</f>
        <v>8.16</v>
      </c>
      <c r="D177" s="766">
        <f>'R.FILE GOC'!Q91</f>
        <v>0</v>
      </c>
      <c r="E177" s="693"/>
      <c r="F177" s="693"/>
      <c r="G177" s="693"/>
      <c r="H177" s="693"/>
      <c r="I177" s="693"/>
    </row>
    <row r="178" spans="1:9" ht="12.75" hidden="1" customHeight="1">
      <c r="A178" s="769">
        <v>4</v>
      </c>
      <c r="B178" s="336" t="s">
        <v>416</v>
      </c>
      <c r="C178" s="765">
        <f>'R.FILE GOC'!K92</f>
        <v>0</v>
      </c>
      <c r="D178" s="766">
        <f>'R.FILE GOC'!Q92</f>
        <v>0</v>
      </c>
      <c r="E178" s="693"/>
      <c r="F178" s="693"/>
      <c r="G178" s="693"/>
      <c r="H178" s="693"/>
      <c r="I178" s="693"/>
    </row>
    <row r="179" spans="1:9" ht="12.75" hidden="1" customHeight="1">
      <c r="A179" s="769">
        <v>5</v>
      </c>
      <c r="B179" s="336" t="s">
        <v>417</v>
      </c>
      <c r="C179" s="765" t="str">
        <f>'R.FILE GOC'!K93</f>
        <v>N/A</v>
      </c>
      <c r="D179" s="766" t="str">
        <f>'R.FILE GOC'!Q93</f>
        <v>N/A</v>
      </c>
      <c r="E179" s="693"/>
      <c r="F179" s="693"/>
      <c r="G179" s="693"/>
      <c r="H179" s="693"/>
      <c r="I179" s="693"/>
    </row>
    <row r="180" spans="1:9" ht="12.75" hidden="1" customHeight="1">
      <c r="A180" s="769">
        <v>6</v>
      </c>
      <c r="B180" s="341" t="s">
        <v>418</v>
      </c>
      <c r="C180" s="765">
        <f>'R.FILE GOC'!K94</f>
        <v>0</v>
      </c>
      <c r="D180" s="766">
        <f>'R.FILE GOC'!Q94</f>
        <v>0</v>
      </c>
      <c r="E180" s="693"/>
      <c r="F180" s="693"/>
      <c r="G180" s="693"/>
      <c r="H180" s="693"/>
      <c r="I180" s="693"/>
    </row>
    <row r="181" spans="1:9" ht="12.75" hidden="1" customHeight="1">
      <c r="A181" s="769">
        <v>7</v>
      </c>
      <c r="B181" s="341" t="s">
        <v>419</v>
      </c>
      <c r="C181" s="765" t="str">
        <f>'R.FILE GOC'!K95</f>
        <v>N/A</v>
      </c>
      <c r="D181" s="766" t="str">
        <f>'R.FILE GOC'!Q95</f>
        <v>N/A</v>
      </c>
      <c r="E181" s="693"/>
      <c r="F181" s="693"/>
      <c r="G181" s="693"/>
      <c r="H181" s="693"/>
      <c r="I181" s="693"/>
    </row>
    <row r="182" spans="1:9" ht="12.75" hidden="1" customHeight="1">
      <c r="A182" s="769">
        <v>8</v>
      </c>
      <c r="B182" s="341" t="s">
        <v>420</v>
      </c>
      <c r="C182" s="765">
        <f>'R.FILE GOC'!K96</f>
        <v>2.16</v>
      </c>
      <c r="D182" s="766">
        <f>'R.FILE GOC'!Q96</f>
        <v>0</v>
      </c>
      <c r="E182" s="693"/>
      <c r="F182" s="693"/>
      <c r="G182" s="693"/>
      <c r="H182" s="693"/>
      <c r="I182" s="693"/>
    </row>
    <row r="183" spans="1:9" ht="12.75" hidden="1" customHeight="1">
      <c r="A183" s="769">
        <v>9</v>
      </c>
      <c r="B183" s="341" t="s">
        <v>421</v>
      </c>
      <c r="C183" s="765" t="str">
        <f>'R.FILE GOC'!K97</f>
        <v>N/A</v>
      </c>
      <c r="D183" s="766" t="str">
        <f>'R.FILE GOC'!Q97</f>
        <v>N/A</v>
      </c>
      <c r="E183" s="693"/>
      <c r="F183" s="693"/>
      <c r="G183" s="693"/>
      <c r="H183" s="693"/>
      <c r="I183" s="693"/>
    </row>
    <row r="184" spans="1:9" ht="12.75" hidden="1" customHeight="1">
      <c r="A184" s="3606">
        <v>10</v>
      </c>
      <c r="B184" s="3229" t="s">
        <v>780</v>
      </c>
      <c r="C184" s="765">
        <f>'R.FILE GOC'!K98</f>
        <v>0</v>
      </c>
      <c r="D184" s="766">
        <f>'R.FILE GOC'!Q98</f>
        <v>0</v>
      </c>
      <c r="E184" s="693"/>
      <c r="F184" s="693"/>
      <c r="G184" s="693"/>
      <c r="H184" s="693"/>
      <c r="I184" s="693"/>
    </row>
    <row r="185" spans="1:9" ht="12.75" hidden="1" customHeight="1">
      <c r="A185" s="3607"/>
      <c r="B185" s="3608"/>
      <c r="C185" s="765">
        <f>'R.FILE GOC'!K99</f>
        <v>0</v>
      </c>
      <c r="D185" s="766">
        <f>'R.FILE GOC'!Q99</f>
        <v>0</v>
      </c>
      <c r="E185" s="693"/>
      <c r="F185" s="693"/>
      <c r="G185" s="693"/>
      <c r="H185" s="693"/>
      <c r="I185" s="693"/>
    </row>
    <row r="186" spans="1:9" ht="12.75" customHeight="1" thickBot="1">
      <c r="C186" s="767"/>
      <c r="D186" s="768"/>
      <c r="E186" s="693"/>
      <c r="F186" s="693"/>
      <c r="G186" s="693"/>
      <c r="H186" s="693"/>
      <c r="I186" s="693"/>
    </row>
  </sheetData>
  <mergeCells count="40">
    <mergeCell ref="A184:A185"/>
    <mergeCell ref="B184:B185"/>
    <mergeCell ref="A99:A100"/>
    <mergeCell ref="B99:B100"/>
    <mergeCell ref="A143:B143"/>
    <mergeCell ref="A144:A145"/>
    <mergeCell ref="B144:B145"/>
    <mergeCell ref="A155:A156"/>
    <mergeCell ref="B155:B156"/>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C1" sqref="C1:I187"/>
    </sheetView>
  </sheetViews>
  <sheetFormatPr defaultColWidth="4.125" defaultRowHeight="12.75" customHeight="1"/>
  <cols>
    <col min="1" max="1" width="2.75" style="693" customWidth="1"/>
    <col min="2" max="2" width="16.875" style="693" customWidth="1"/>
    <col min="3" max="4" width="9.5" style="695" customWidth="1"/>
    <col min="5" max="8" width="7" style="695" customWidth="1"/>
    <col min="9" max="9" width="7.625" style="693" customWidth="1"/>
    <col min="10" max="34" width="4.125" style="693"/>
    <col min="35" max="35" width="4.125" style="693" customWidth="1"/>
    <col min="36" max="16384" width="4.125" style="693"/>
  </cols>
  <sheetData>
    <row r="1" spans="1:9" ht="18" customHeight="1">
      <c r="B1" s="694"/>
      <c r="C1" s="2176" t="str">
        <f>MENU!$AC$9</f>
        <v>Thứ 3,</v>
      </c>
    </row>
    <row r="2" spans="1:9" ht="12.75" customHeight="1">
      <c r="B2" s="696" t="s">
        <v>740</v>
      </c>
      <c r="C2" s="697" t="str">
        <f>'1.xi den'!G3</f>
        <v>2024/01/09</v>
      </c>
    </row>
    <row r="3" spans="1:9" s="700" customFormat="1" ht="12.75" customHeight="1">
      <c r="A3" s="3599" t="s">
        <v>7</v>
      </c>
      <c r="B3" s="3601" t="s">
        <v>757</v>
      </c>
      <c r="C3" s="698"/>
      <c r="D3" s="699" t="s">
        <v>156</v>
      </c>
      <c r="E3" s="699"/>
      <c r="F3" s="699"/>
      <c r="G3" s="699"/>
      <c r="H3" s="699"/>
      <c r="I3" s="699"/>
    </row>
    <row r="4" spans="1:9" s="700" customFormat="1" ht="12.75" customHeight="1" thickBot="1">
      <c r="A4" s="3600"/>
      <c r="B4" s="3602"/>
      <c r="C4" s="701"/>
      <c r="D4" s="702" t="s">
        <v>386</v>
      </c>
      <c r="E4" s="702" t="s">
        <v>387</v>
      </c>
      <c r="F4" s="702" t="s">
        <v>388</v>
      </c>
      <c r="G4" s="702" t="s">
        <v>389</v>
      </c>
      <c r="H4" s="702" t="s">
        <v>390</v>
      </c>
      <c r="I4" s="702" t="s">
        <v>391</v>
      </c>
    </row>
    <row r="5" spans="1:9" s="706" customFormat="1" ht="12.75" customHeight="1">
      <c r="A5" s="333">
        <v>1</v>
      </c>
      <c r="B5" s="142" t="s">
        <v>758</v>
      </c>
      <c r="C5" s="409" t="s">
        <v>759</v>
      </c>
      <c r="D5" s="703">
        <f>'2.RL E tt'!F7</f>
        <v>0</v>
      </c>
      <c r="E5" s="704">
        <f>'2.RL E tt'!J7</f>
        <v>0</v>
      </c>
      <c r="F5" s="704">
        <f>'2.RL E tt'!N7</f>
        <v>0</v>
      </c>
      <c r="G5" s="704">
        <f>'2.RL E tt'!F29</f>
        <v>0</v>
      </c>
      <c r="H5" s="704">
        <f>'2.RL E tt'!J29</f>
        <v>0</v>
      </c>
      <c r="I5" s="705">
        <f>'2.RL E tt'!N29</f>
        <v>0</v>
      </c>
    </row>
    <row r="6" spans="1:9" s="706" customFormat="1" ht="12.75" hidden="1" customHeight="1">
      <c r="A6" s="333"/>
      <c r="B6" s="142" t="s">
        <v>758</v>
      </c>
      <c r="C6" s="409" t="s">
        <v>759</v>
      </c>
      <c r="D6" s="707">
        <f>'2.RL E tt'!F8</f>
        <v>0</v>
      </c>
      <c r="E6" s="708">
        <f>'2.RL E tt'!J8</f>
        <v>0</v>
      </c>
      <c r="F6" s="708">
        <f>'2.RL E tt'!N8</f>
        <v>0</v>
      </c>
      <c r="G6" s="708">
        <f>'2.RL E tt'!F30</f>
        <v>0</v>
      </c>
      <c r="H6" s="708">
        <f>'2.RL E tt'!J30</f>
        <v>0</v>
      </c>
      <c r="I6" s="709">
        <f>'2.RL E tt'!N30</f>
        <v>0</v>
      </c>
    </row>
    <row r="7" spans="1:9" s="706" customFormat="1" ht="12.75" hidden="1" customHeight="1">
      <c r="A7" s="333">
        <v>2</v>
      </c>
      <c r="B7" s="3603" t="s">
        <v>760</v>
      </c>
      <c r="C7" s="710" t="s">
        <v>609</v>
      </c>
      <c r="D7" s="707">
        <f>'2.RL E tt'!F9</f>
        <v>0</v>
      </c>
      <c r="E7" s="708">
        <f>'2.RL E tt'!J9</f>
        <v>0</v>
      </c>
      <c r="F7" s="708">
        <f>'2.RL E tt'!N9</f>
        <v>0</v>
      </c>
      <c r="G7" s="708">
        <f>'2.RL E tt'!F31</f>
        <v>0</v>
      </c>
      <c r="H7" s="708">
        <f>'2.RL E tt'!J31</f>
        <v>0</v>
      </c>
      <c r="I7" s="709">
        <f>'2.RL E tt'!N31</f>
        <v>0</v>
      </c>
    </row>
    <row r="8" spans="1:9" s="706" customFormat="1" ht="12.75" hidden="1" customHeight="1">
      <c r="A8" s="333">
        <v>3</v>
      </c>
      <c r="B8" s="3604"/>
      <c r="C8" s="710" t="s">
        <v>613</v>
      </c>
      <c r="D8" s="707">
        <f>'2.RL E tt'!F10</f>
        <v>0</v>
      </c>
      <c r="E8" s="708">
        <f>'2.RL E tt'!J10</f>
        <v>0</v>
      </c>
      <c r="F8" s="708">
        <f>'2.RL E tt'!N10</f>
        <v>0</v>
      </c>
      <c r="G8" s="708">
        <f>'2.RL E tt'!F32</f>
        <v>0</v>
      </c>
      <c r="H8" s="708">
        <f>'2.RL E tt'!J32</f>
        <v>0</v>
      </c>
      <c r="I8" s="709">
        <f>'2.RL E tt'!N32</f>
        <v>0</v>
      </c>
    </row>
    <row r="9" spans="1:9" s="706" customFormat="1" ht="12.75" hidden="1" customHeight="1">
      <c r="A9" s="333">
        <v>4</v>
      </c>
      <c r="B9" s="3605"/>
      <c r="C9" s="710" t="s">
        <v>615</v>
      </c>
      <c r="D9" s="707">
        <f>'2.RL E tt'!F11</f>
        <v>0</v>
      </c>
      <c r="E9" s="708">
        <f>'2.RL E tt'!J11</f>
        <v>0</v>
      </c>
      <c r="F9" s="708">
        <f>'2.RL E tt'!N11</f>
        <v>0</v>
      </c>
      <c r="G9" s="708">
        <f>'2.RL E tt'!F33</f>
        <v>0</v>
      </c>
      <c r="H9" s="708">
        <f>'2.RL E tt'!J33</f>
        <v>0</v>
      </c>
      <c r="I9" s="709">
        <f>'2.RL E tt'!N33</f>
        <v>0</v>
      </c>
    </row>
    <row r="10" spans="1:9" s="706" customFormat="1" ht="12.75" hidden="1" customHeight="1">
      <c r="A10" s="333">
        <v>5</v>
      </c>
      <c r="B10" s="3603" t="s">
        <v>761</v>
      </c>
      <c r="C10" s="710" t="s">
        <v>609</v>
      </c>
      <c r="D10" s="707">
        <f>'2.RL E tt'!F12</f>
        <v>0</v>
      </c>
      <c r="E10" s="708">
        <f>'2.RL E tt'!J12</f>
        <v>0</v>
      </c>
      <c r="F10" s="708">
        <f>'2.RL E tt'!N12</f>
        <v>0</v>
      </c>
      <c r="G10" s="708">
        <f>'2.RL E tt'!F34</f>
        <v>0</v>
      </c>
      <c r="H10" s="708">
        <f>'2.RL E tt'!J34</f>
        <v>0</v>
      </c>
      <c r="I10" s="709">
        <f>'2.RL E tt'!N34</f>
        <v>0</v>
      </c>
    </row>
    <row r="11" spans="1:9" s="706" customFormat="1" ht="12.75" hidden="1" customHeight="1">
      <c r="A11" s="333">
        <v>6</v>
      </c>
      <c r="B11" s="3604"/>
      <c r="C11" s="710" t="s">
        <v>613</v>
      </c>
      <c r="D11" s="707">
        <f>'2.RL E tt'!F13</f>
        <v>0</v>
      </c>
      <c r="E11" s="708">
        <f>'2.RL E tt'!J13</f>
        <v>0</v>
      </c>
      <c r="F11" s="708">
        <f>'2.RL E tt'!N13</f>
        <v>0</v>
      </c>
      <c r="G11" s="708">
        <f>'2.RL E tt'!F35</f>
        <v>0</v>
      </c>
      <c r="H11" s="708">
        <f>'2.RL E tt'!J35</f>
        <v>0</v>
      </c>
      <c r="I11" s="709">
        <f>'2.RL E tt'!N35</f>
        <v>0</v>
      </c>
    </row>
    <row r="12" spans="1:9" s="706" customFormat="1" ht="12.75" hidden="1" customHeight="1">
      <c r="A12" s="333">
        <v>7</v>
      </c>
      <c r="B12" s="3605"/>
      <c r="C12" s="710" t="s">
        <v>615</v>
      </c>
      <c r="D12" s="707">
        <f>'2.RL E tt'!F14</f>
        <v>0</v>
      </c>
      <c r="E12" s="708">
        <f>'2.RL E tt'!J14</f>
        <v>0</v>
      </c>
      <c r="F12" s="708">
        <f>'2.RL E tt'!N14</f>
        <v>0</v>
      </c>
      <c r="G12" s="708">
        <f>'2.RL E tt'!F36</f>
        <v>0</v>
      </c>
      <c r="H12" s="708">
        <f>'2.RL E tt'!J36</f>
        <v>0</v>
      </c>
      <c r="I12" s="709">
        <f>'2.RL E tt'!N36</f>
        <v>0</v>
      </c>
    </row>
    <row r="13" spans="1:9" s="711" customFormat="1" ht="12.75" hidden="1" customHeight="1">
      <c r="A13" s="333">
        <v>8</v>
      </c>
      <c r="B13" s="3603" t="s">
        <v>762</v>
      </c>
      <c r="C13" s="409" t="s">
        <v>763</v>
      </c>
      <c r="D13" s="707">
        <f>'2.RL E tt'!F15</f>
        <v>0</v>
      </c>
      <c r="E13" s="708">
        <f>'2.RL E tt'!J15</f>
        <v>0</v>
      </c>
      <c r="F13" s="708">
        <f>'2.RL E tt'!N15</f>
        <v>0</v>
      </c>
      <c r="G13" s="708">
        <f>'2.RL E tt'!F37</f>
        <v>0</v>
      </c>
      <c r="H13" s="708">
        <f>'2.RL E tt'!J37</f>
        <v>0</v>
      </c>
      <c r="I13" s="709">
        <f>'2.RL E tt'!N37</f>
        <v>0</v>
      </c>
    </row>
    <row r="14" spans="1:9" s="711" customFormat="1" ht="12.75" hidden="1" customHeight="1">
      <c r="A14" s="333">
        <v>9</v>
      </c>
      <c r="B14" s="3605"/>
      <c r="C14" s="409" t="s">
        <v>621</v>
      </c>
      <c r="D14" s="707">
        <f>'2.RL E tt'!F16</f>
        <v>0</v>
      </c>
      <c r="E14" s="708">
        <f>'2.RL E tt'!J16</f>
        <v>0</v>
      </c>
      <c r="F14" s="708">
        <f>'2.RL E tt'!N16</f>
        <v>0</v>
      </c>
      <c r="G14" s="708">
        <f>'2.RL E tt'!F38</f>
        <v>0</v>
      </c>
      <c r="H14" s="708">
        <f>'2.RL E tt'!J38</f>
        <v>0</v>
      </c>
      <c r="I14" s="709">
        <f>'2.RL E tt'!N38</f>
        <v>0</v>
      </c>
    </row>
    <row r="15" spans="1:9" s="711" customFormat="1" ht="12.75" hidden="1" customHeight="1">
      <c r="A15" s="3598" t="s">
        <v>2</v>
      </c>
      <c r="B15" s="3598"/>
      <c r="C15" s="698"/>
      <c r="D15" s="712" t="s">
        <v>158</v>
      </c>
      <c r="E15" s="699"/>
      <c r="F15" s="699"/>
      <c r="G15" s="699"/>
      <c r="H15" s="699"/>
      <c r="I15" s="713"/>
    </row>
    <row r="16" spans="1:9" s="711" customFormat="1" ht="12.75" hidden="1" customHeight="1">
      <c r="A16" s="154" t="s">
        <v>55</v>
      </c>
      <c r="B16" s="714" t="s">
        <v>764</v>
      </c>
      <c r="C16" s="698"/>
      <c r="D16" s="715" t="s">
        <v>386</v>
      </c>
      <c r="E16" s="702" t="s">
        <v>387</v>
      </c>
      <c r="F16" s="702" t="s">
        <v>388</v>
      </c>
      <c r="G16" s="702" t="s">
        <v>389</v>
      </c>
      <c r="H16" s="702" t="s">
        <v>390</v>
      </c>
      <c r="I16" s="716" t="s">
        <v>391</v>
      </c>
    </row>
    <row r="17" spans="1:9" s="711" customFormat="1" ht="12.75" hidden="1" customHeight="1">
      <c r="A17" s="333">
        <v>1</v>
      </c>
      <c r="B17" s="717" t="s">
        <v>446</v>
      </c>
      <c r="C17" s="718"/>
      <c r="D17" s="707">
        <f>'2.RL E tt'!F19</f>
        <v>0</v>
      </c>
      <c r="E17" s="708">
        <f>'2.RL E tt'!J19</f>
        <v>0</v>
      </c>
      <c r="F17" s="708">
        <f>'2.RL E tt'!N19</f>
        <v>0</v>
      </c>
      <c r="G17" s="708">
        <f>'2.RL E tt'!F41</f>
        <v>0</v>
      </c>
      <c r="H17" s="708">
        <f>'2.RL E tt'!J41</f>
        <v>0</v>
      </c>
      <c r="I17" s="713">
        <f>'2.RL E tt'!N41</f>
        <v>0</v>
      </c>
    </row>
    <row r="18" spans="1:9" s="711" customFormat="1" ht="12.75" hidden="1" customHeight="1">
      <c r="A18" s="333">
        <v>2</v>
      </c>
      <c r="B18" s="717" t="s">
        <v>448</v>
      </c>
      <c r="C18" s="718"/>
      <c r="D18" s="707">
        <f>'2.RL E tt'!F20</f>
        <v>0</v>
      </c>
      <c r="E18" s="708">
        <f>'2.RL E tt'!J20</f>
        <v>0</v>
      </c>
      <c r="F18" s="708">
        <f>'2.RL E tt'!N20</f>
        <v>0</v>
      </c>
      <c r="G18" s="708">
        <f>'2.RL E tt'!F42</f>
        <v>0</v>
      </c>
      <c r="H18" s="708">
        <f>'2.RL E tt'!J42</f>
        <v>0</v>
      </c>
      <c r="I18" s="713">
        <f>'2.RL E tt'!N42</f>
        <v>0</v>
      </c>
    </row>
    <row r="19" spans="1:9" s="711" customFormat="1" ht="12.75" hidden="1" customHeight="1">
      <c r="A19" s="333">
        <v>3</v>
      </c>
      <c r="B19" s="717" t="s">
        <v>441</v>
      </c>
      <c r="C19" s="718"/>
      <c r="D19" s="707">
        <f>'2.RL E tt'!F21</f>
        <v>0</v>
      </c>
      <c r="E19" s="708">
        <f>'2.RL E tt'!J21</f>
        <v>0</v>
      </c>
      <c r="F19" s="708">
        <f>'2.RL E tt'!N21</f>
        <v>0</v>
      </c>
      <c r="G19" s="708">
        <f>'2.RL E tt'!F43</f>
        <v>0</v>
      </c>
      <c r="H19" s="708">
        <f>'2.RL E tt'!J43</f>
        <v>0</v>
      </c>
      <c r="I19" s="713">
        <f>'2.RL E tt'!N43</f>
        <v>0</v>
      </c>
    </row>
    <row r="20" spans="1:9" s="711" customFormat="1" ht="12.75" hidden="1" customHeight="1">
      <c r="A20" s="333">
        <v>4</v>
      </c>
      <c r="B20" s="717" t="s">
        <v>765</v>
      </c>
      <c r="C20" s="718"/>
      <c r="D20" s="707">
        <f>'2.RL E tt'!F22</f>
        <v>0</v>
      </c>
      <c r="E20" s="708">
        <f>'2.RL E tt'!J22</f>
        <v>0</v>
      </c>
      <c r="F20" s="708">
        <f>'2.RL E tt'!N22</f>
        <v>0</v>
      </c>
      <c r="G20" s="708">
        <f>'2.RL E tt'!F44</f>
        <v>0</v>
      </c>
      <c r="H20" s="708">
        <f>'2.RL E tt'!J44</f>
        <v>0</v>
      </c>
      <c r="I20" s="713">
        <f>'2.RL E tt'!N44</f>
        <v>0</v>
      </c>
    </row>
    <row r="21" spans="1:9" ht="12.75" hidden="1" customHeight="1">
      <c r="A21" s="3599" t="s">
        <v>7</v>
      </c>
      <c r="B21" s="3601" t="s">
        <v>757</v>
      </c>
      <c r="C21" s="698"/>
      <c r="D21" s="712" t="s">
        <v>157</v>
      </c>
      <c r="E21" s="699"/>
      <c r="F21" s="699"/>
      <c r="G21" s="699"/>
      <c r="H21" s="699"/>
      <c r="I21" s="719"/>
    </row>
    <row r="22" spans="1:9" ht="12.75" hidden="1" customHeight="1">
      <c r="A22" s="3600"/>
      <c r="B22" s="3602"/>
      <c r="C22" s="701"/>
      <c r="D22" s="715" t="s">
        <v>386</v>
      </c>
      <c r="E22" s="702" t="s">
        <v>387</v>
      </c>
      <c r="F22" s="702" t="s">
        <v>388</v>
      </c>
      <c r="G22" s="702" t="s">
        <v>389</v>
      </c>
      <c r="H22" s="702" t="s">
        <v>390</v>
      </c>
      <c r="I22" s="716" t="s">
        <v>391</v>
      </c>
    </row>
    <row r="23" spans="1:9" ht="12.75" hidden="1" customHeight="1">
      <c r="A23" s="333">
        <v>1</v>
      </c>
      <c r="B23" s="142" t="s">
        <v>758</v>
      </c>
      <c r="C23" s="409"/>
      <c r="D23" s="720">
        <f>'2.RL E tt'!H7</f>
        <v>0</v>
      </c>
      <c r="E23" s="721">
        <f>'2.RL E tt'!L7</f>
        <v>0</v>
      </c>
      <c r="F23" s="721">
        <f>'2.RL E tt'!P7</f>
        <v>0</v>
      </c>
      <c r="G23" s="721">
        <f>'2.RL E tt'!H29</f>
        <v>0</v>
      </c>
      <c r="H23" s="721">
        <f>'2.RL E tt'!L29</f>
        <v>0</v>
      </c>
      <c r="I23" s="727">
        <f>'2.RL E tt'!P29</f>
        <v>0</v>
      </c>
    </row>
    <row r="24" spans="1:9" ht="12.75" hidden="1" customHeight="1">
      <c r="A24" s="333"/>
      <c r="B24" s="142" t="s">
        <v>758</v>
      </c>
      <c r="C24" s="409"/>
      <c r="D24" s="720">
        <f>'2.RL E tt'!H8</f>
        <v>292.1875</v>
      </c>
      <c r="E24" s="721">
        <f>'2.RL E tt'!L8</f>
        <v>292.1875</v>
      </c>
      <c r="F24" s="721">
        <f>'2.RL E tt'!P8</f>
        <v>292.1875</v>
      </c>
      <c r="G24" s="721">
        <f>'2.RL E tt'!H30</f>
        <v>292.1875</v>
      </c>
      <c r="H24" s="721">
        <f>'2.RL E tt'!L30</f>
        <v>292.1875</v>
      </c>
      <c r="I24" s="727">
        <f>'2.RL E tt'!P30</f>
        <v>292.1875</v>
      </c>
    </row>
    <row r="25" spans="1:9" ht="12.75" hidden="1" customHeight="1">
      <c r="A25" s="333">
        <v>2</v>
      </c>
      <c r="B25" s="3603" t="s">
        <v>760</v>
      </c>
      <c r="C25" s="409"/>
      <c r="D25" s="720">
        <f>'2.RL E tt'!H9</f>
        <v>0</v>
      </c>
      <c r="E25" s="721">
        <f>'2.RL E tt'!L9</f>
        <v>0</v>
      </c>
      <c r="F25" s="721">
        <f>'2.RL E tt'!P9</f>
        <v>0</v>
      </c>
      <c r="G25" s="721">
        <f>'2.RL E tt'!H31</f>
        <v>0</v>
      </c>
      <c r="H25" s="721">
        <f>'2.RL E tt'!L31</f>
        <v>0</v>
      </c>
      <c r="I25" s="727">
        <f>'2.RL E tt'!P31</f>
        <v>0</v>
      </c>
    </row>
    <row r="26" spans="1:9" ht="12.75" hidden="1" customHeight="1">
      <c r="A26" s="333">
        <v>3</v>
      </c>
      <c r="B26" s="3604"/>
      <c r="C26" s="409"/>
      <c r="D26" s="720">
        <f>'2.RL E tt'!H10</f>
        <v>0</v>
      </c>
      <c r="E26" s="721">
        <f>'2.RL E tt'!L10</f>
        <v>0</v>
      </c>
      <c r="F26" s="721">
        <f>'2.RL E tt'!P10</f>
        <v>0</v>
      </c>
      <c r="G26" s="721">
        <f>'2.RL E tt'!H32</f>
        <v>0</v>
      </c>
      <c r="H26" s="721">
        <f>'2.RL E tt'!L32</f>
        <v>0</v>
      </c>
      <c r="I26" s="727">
        <f>'2.RL E tt'!P32</f>
        <v>0</v>
      </c>
    </row>
    <row r="27" spans="1:9" ht="12.75" hidden="1" customHeight="1">
      <c r="A27" s="333">
        <v>4</v>
      </c>
      <c r="B27" s="3605"/>
      <c r="C27" s="409"/>
      <c r="D27" s="720">
        <f>'2.RL E tt'!H11</f>
        <v>0</v>
      </c>
      <c r="E27" s="721">
        <f>'2.RL E tt'!L11</f>
        <v>0</v>
      </c>
      <c r="F27" s="721">
        <f>'2.RL E tt'!P11</f>
        <v>0</v>
      </c>
      <c r="G27" s="721">
        <f>'2.RL E tt'!H33</f>
        <v>0</v>
      </c>
      <c r="H27" s="721">
        <f>'2.RL E tt'!L33</f>
        <v>0</v>
      </c>
      <c r="I27" s="727">
        <f>'2.RL E tt'!P33</f>
        <v>0</v>
      </c>
    </row>
    <row r="28" spans="1:9" ht="12.75" hidden="1" customHeight="1">
      <c r="A28" s="333">
        <v>5</v>
      </c>
      <c r="B28" s="3603" t="s">
        <v>761</v>
      </c>
      <c r="C28" s="409"/>
      <c r="D28" s="720">
        <f>'2.RL E tt'!H12</f>
        <v>0</v>
      </c>
      <c r="E28" s="721">
        <f>'2.RL E tt'!L12</f>
        <v>0</v>
      </c>
      <c r="F28" s="721">
        <f>'2.RL E tt'!P12</f>
        <v>0</v>
      </c>
      <c r="G28" s="721">
        <f>'2.RL E tt'!H34</f>
        <v>0</v>
      </c>
      <c r="H28" s="721">
        <f>'2.RL E tt'!L34</f>
        <v>0</v>
      </c>
      <c r="I28" s="727">
        <f>'2.RL E tt'!P34</f>
        <v>0</v>
      </c>
    </row>
    <row r="29" spans="1:9" ht="12.75" hidden="1" customHeight="1">
      <c r="A29" s="333">
        <v>6</v>
      </c>
      <c r="B29" s="3604"/>
      <c r="C29" s="409"/>
      <c r="D29" s="720">
        <f>'2.RL E tt'!H13</f>
        <v>0</v>
      </c>
      <c r="E29" s="721">
        <f>'2.RL E tt'!L13</f>
        <v>0</v>
      </c>
      <c r="F29" s="721">
        <f>'2.RL E tt'!P13</f>
        <v>0</v>
      </c>
      <c r="G29" s="721">
        <f>'2.RL E tt'!H35</f>
        <v>0</v>
      </c>
      <c r="H29" s="721">
        <f>'2.RL E tt'!L35</f>
        <v>0</v>
      </c>
      <c r="I29" s="727">
        <f>'2.RL E tt'!P35</f>
        <v>0</v>
      </c>
    </row>
    <row r="30" spans="1:9" ht="12.75" hidden="1" customHeight="1">
      <c r="A30" s="333">
        <v>7</v>
      </c>
      <c r="B30" s="3605"/>
      <c r="C30" s="409"/>
      <c r="D30" s="720">
        <f>'2.RL E tt'!H14</f>
        <v>0</v>
      </c>
      <c r="E30" s="721">
        <f>'2.RL E tt'!L14</f>
        <v>0</v>
      </c>
      <c r="F30" s="721">
        <f>'2.RL E tt'!P14</f>
        <v>0</v>
      </c>
      <c r="G30" s="721">
        <f>'2.RL E tt'!H36</f>
        <v>0</v>
      </c>
      <c r="H30" s="721">
        <f>'2.RL E tt'!L36</f>
        <v>0</v>
      </c>
      <c r="I30" s="727">
        <f>'2.RL E tt'!P36</f>
        <v>0</v>
      </c>
    </row>
    <row r="31" spans="1:9" ht="12.75" hidden="1" customHeight="1">
      <c r="A31" s="333">
        <v>8</v>
      </c>
      <c r="B31" s="3603" t="s">
        <v>762</v>
      </c>
      <c r="C31" s="409"/>
      <c r="D31" s="720">
        <f>'2.RL E tt'!H15</f>
        <v>0</v>
      </c>
      <c r="E31" s="721">
        <f>'2.RL E tt'!L15</f>
        <v>0</v>
      </c>
      <c r="F31" s="721">
        <f>'2.RL E tt'!P15</f>
        <v>0</v>
      </c>
      <c r="G31" s="721">
        <f>'2.RL E tt'!H37</f>
        <v>0</v>
      </c>
      <c r="H31" s="721">
        <f>'2.RL E tt'!L37</f>
        <v>0</v>
      </c>
      <c r="I31" s="727">
        <f>'2.RL E tt'!P37</f>
        <v>0</v>
      </c>
    </row>
    <row r="32" spans="1:9" ht="12.75" hidden="1" customHeight="1">
      <c r="A32" s="333">
        <v>9</v>
      </c>
      <c r="B32" s="3605"/>
      <c r="C32" s="409"/>
      <c r="D32" s="720">
        <f>'2.RL E tt'!H16</f>
        <v>0</v>
      </c>
      <c r="E32" s="721">
        <f>'2.RL E tt'!L16</f>
        <v>0</v>
      </c>
      <c r="F32" s="721">
        <f>'2.RL E tt'!P16</f>
        <v>0</v>
      </c>
      <c r="G32" s="721">
        <f>'2.RL E tt'!H38</f>
        <v>0</v>
      </c>
      <c r="H32" s="721">
        <f>'2.RL E tt'!L38</f>
        <v>0</v>
      </c>
      <c r="I32" s="727">
        <f>'2.RL E tt'!P38</f>
        <v>0</v>
      </c>
    </row>
    <row r="33" spans="1:9" ht="12.75" hidden="1" customHeight="1">
      <c r="D33" s="723"/>
      <c r="I33" s="719"/>
    </row>
    <row r="34" spans="1:9" ht="12.75" hidden="1" customHeight="1">
      <c r="B34" s="696" t="s">
        <v>917</v>
      </c>
      <c r="C34" s="724"/>
      <c r="D34" s="723"/>
      <c r="I34" s="719"/>
    </row>
    <row r="35" spans="1:9" ht="12.75" hidden="1" customHeight="1">
      <c r="A35" s="3599" t="s">
        <v>7</v>
      </c>
      <c r="B35" s="3601" t="s">
        <v>757</v>
      </c>
      <c r="C35" s="698"/>
      <c r="D35" s="712" t="s">
        <v>156</v>
      </c>
      <c r="E35" s="699"/>
      <c r="F35" s="699"/>
      <c r="G35" s="699"/>
      <c r="H35" s="699"/>
      <c r="I35" s="719"/>
    </row>
    <row r="36" spans="1:9" ht="12.75" hidden="1" customHeight="1">
      <c r="A36" s="3600"/>
      <c r="B36" s="3602"/>
      <c r="C36" s="701"/>
      <c r="D36" s="715" t="s">
        <v>386</v>
      </c>
      <c r="E36" s="702" t="s">
        <v>387</v>
      </c>
      <c r="F36" s="702" t="s">
        <v>388</v>
      </c>
      <c r="G36" s="702" t="s">
        <v>389</v>
      </c>
      <c r="H36" s="702" t="s">
        <v>390</v>
      </c>
      <c r="I36" s="716" t="s">
        <v>391</v>
      </c>
    </row>
    <row r="37" spans="1:9" ht="12.75" hidden="1" customHeight="1">
      <c r="A37" s="333">
        <v>1</v>
      </c>
      <c r="B37" s="725" t="s">
        <v>450</v>
      </c>
      <c r="C37" s="409"/>
      <c r="D37" s="707">
        <f>'3.RL G tt'!E7</f>
        <v>0</v>
      </c>
      <c r="E37" s="708">
        <f>'3.RL G tt'!I7</f>
        <v>0</v>
      </c>
      <c r="F37" s="708">
        <f>'3.RL G tt'!M7</f>
        <v>0</v>
      </c>
      <c r="G37" s="708">
        <f>'3.RL G tt'!E24</f>
        <v>0</v>
      </c>
      <c r="H37" s="708">
        <f>'3.RL G tt'!I24</f>
        <v>0</v>
      </c>
      <c r="I37" s="719">
        <f>'3.RL G tt'!M24</f>
        <v>0</v>
      </c>
    </row>
    <row r="38" spans="1:9" ht="12.75" hidden="1" customHeight="1">
      <c r="A38" s="333">
        <v>2</v>
      </c>
      <c r="B38" s="725" t="s">
        <v>453</v>
      </c>
      <c r="C38" s="409"/>
      <c r="D38" s="707">
        <f>'3.RL G tt'!E8</f>
        <v>0</v>
      </c>
      <c r="E38" s="708">
        <f>'3.RL G tt'!I8</f>
        <v>0</v>
      </c>
      <c r="F38" s="708">
        <f>'3.RL G tt'!M8</f>
        <v>0</v>
      </c>
      <c r="G38" s="708">
        <f>'3.RL G tt'!E25</f>
        <v>0</v>
      </c>
      <c r="H38" s="708">
        <f>'3.RL G tt'!I25</f>
        <v>0</v>
      </c>
      <c r="I38" s="719">
        <f>'3.RL G tt'!M25</f>
        <v>0</v>
      </c>
    </row>
    <row r="39" spans="1:9" ht="12.75" hidden="1" customHeight="1">
      <c r="A39" s="333">
        <v>3</v>
      </c>
      <c r="B39" s="3603" t="s">
        <v>766</v>
      </c>
      <c r="C39" s="710" t="s">
        <v>609</v>
      </c>
      <c r="D39" s="707">
        <f>'3.RL G tt'!E9</f>
        <v>0</v>
      </c>
      <c r="E39" s="708">
        <f>'3.RL G tt'!I9</f>
        <v>0</v>
      </c>
      <c r="F39" s="708">
        <f>'3.RL G tt'!M9</f>
        <v>0</v>
      </c>
      <c r="G39" s="708">
        <f>'3.RL G tt'!E26</f>
        <v>0</v>
      </c>
      <c r="H39" s="708">
        <f>'3.RL G tt'!I26</f>
        <v>0</v>
      </c>
      <c r="I39" s="719">
        <f>'3.RL G tt'!M26</f>
        <v>0</v>
      </c>
    </row>
    <row r="40" spans="1:9" ht="12.75" hidden="1" customHeight="1">
      <c r="A40" s="333">
        <v>4</v>
      </c>
      <c r="B40" s="3604"/>
      <c r="C40" s="710" t="s">
        <v>613</v>
      </c>
      <c r="D40" s="707">
        <f>'3.RL G tt'!E10</f>
        <v>0</v>
      </c>
      <c r="E40" s="708">
        <f>'3.RL G tt'!I10</f>
        <v>0</v>
      </c>
      <c r="F40" s="708">
        <f>'3.RL G tt'!M10</f>
        <v>0</v>
      </c>
      <c r="G40" s="708">
        <f>'3.RL G tt'!E27</f>
        <v>0</v>
      </c>
      <c r="H40" s="708">
        <f>'3.RL G tt'!I27</f>
        <v>0</v>
      </c>
      <c r="I40" s="719">
        <f>'3.RL G tt'!M27</f>
        <v>0</v>
      </c>
    </row>
    <row r="41" spans="1:9" ht="12.75" hidden="1" customHeight="1">
      <c r="A41" s="333">
        <v>5</v>
      </c>
      <c r="B41" s="3605"/>
      <c r="C41" s="710" t="s">
        <v>615</v>
      </c>
      <c r="D41" s="707">
        <f>'3.RL G tt'!E11</f>
        <v>0</v>
      </c>
      <c r="E41" s="708">
        <f>'3.RL G tt'!I11</f>
        <v>0</v>
      </c>
      <c r="F41" s="708">
        <f>'3.RL G tt'!M11</f>
        <v>0</v>
      </c>
      <c r="G41" s="708">
        <f>'3.RL G tt'!E28</f>
        <v>0</v>
      </c>
      <c r="H41" s="708">
        <f>'3.RL G tt'!I28</f>
        <v>0</v>
      </c>
      <c r="I41" s="719">
        <f>'3.RL G tt'!M28</f>
        <v>0</v>
      </c>
    </row>
    <row r="42" spans="1:9" ht="12.75" hidden="1" customHeight="1">
      <c r="A42" s="333">
        <v>6</v>
      </c>
      <c r="B42" s="3603" t="s">
        <v>767</v>
      </c>
      <c r="C42" s="409"/>
      <c r="D42" s="707">
        <f>'3.RL G tt'!E12</f>
        <v>0</v>
      </c>
      <c r="E42" s="708">
        <f>'3.RL G tt'!I12</f>
        <v>0</v>
      </c>
      <c r="F42" s="708">
        <f>'3.RL G tt'!M12</f>
        <v>0</v>
      </c>
      <c r="G42" s="708">
        <f>'3.RL G tt'!E29</f>
        <v>0</v>
      </c>
      <c r="H42" s="708">
        <f>'3.RL G tt'!I29</f>
        <v>0</v>
      </c>
      <c r="I42" s="719">
        <f>'3.RL G tt'!M29</f>
        <v>0</v>
      </c>
    </row>
    <row r="43" spans="1:9" ht="12.75" hidden="1" customHeight="1">
      <c r="A43" s="333">
        <v>7</v>
      </c>
      <c r="B43" s="3605"/>
      <c r="C43" s="409"/>
      <c r="D43" s="707">
        <f>'3.RL G tt'!E13</f>
        <v>0</v>
      </c>
      <c r="E43" s="708">
        <f>'3.RL G tt'!I13</f>
        <v>0</v>
      </c>
      <c r="F43" s="708">
        <f>'3.RL G tt'!M13</f>
        <v>0</v>
      </c>
      <c r="G43" s="708">
        <f>'3.RL G tt'!E30</f>
        <v>0</v>
      </c>
      <c r="H43" s="708">
        <f>'3.RL G tt'!I30</f>
        <v>0</v>
      </c>
      <c r="I43" s="719">
        <f>'3.RL G tt'!M30</f>
        <v>0</v>
      </c>
    </row>
    <row r="44" spans="1:9" ht="12.75" hidden="1" customHeight="1">
      <c r="A44" s="3598" t="s">
        <v>2</v>
      </c>
      <c r="B44" s="3598"/>
      <c r="C44" s="698"/>
      <c r="D44" s="712" t="s">
        <v>158</v>
      </c>
      <c r="E44" s="699"/>
      <c r="F44" s="699"/>
      <c r="G44" s="699"/>
      <c r="H44" s="699"/>
      <c r="I44" s="719"/>
    </row>
    <row r="45" spans="1:9" ht="12.75" hidden="1" customHeight="1">
      <c r="A45" s="154" t="s">
        <v>55</v>
      </c>
      <c r="B45" s="714" t="s">
        <v>764</v>
      </c>
      <c r="C45" s="698"/>
      <c r="D45" s="715" t="s">
        <v>386</v>
      </c>
      <c r="E45" s="702" t="s">
        <v>387</v>
      </c>
      <c r="F45" s="702" t="s">
        <v>388</v>
      </c>
      <c r="G45" s="702" t="s">
        <v>389</v>
      </c>
      <c r="H45" s="702" t="s">
        <v>390</v>
      </c>
      <c r="I45" s="716" t="s">
        <v>391</v>
      </c>
    </row>
    <row r="46" spans="1:9" ht="12.75" hidden="1" customHeight="1">
      <c r="A46" s="333">
        <v>1</v>
      </c>
      <c r="B46" s="335" t="s">
        <v>455</v>
      </c>
      <c r="C46" s="726"/>
      <c r="D46" s="1260">
        <f>'3.RL G tt'!G16</f>
        <v>0</v>
      </c>
      <c r="E46" s="1261">
        <f>'3.RL G tt'!K16</f>
        <v>0</v>
      </c>
      <c r="F46" s="1261">
        <f>'3.RL G tt'!O16</f>
        <v>0</v>
      </c>
      <c r="G46" s="1261">
        <f>'3.RL G tt'!G33</f>
        <v>0</v>
      </c>
      <c r="H46" s="1261">
        <f>'3.RL G tt'!K33</f>
        <v>0</v>
      </c>
      <c r="I46" s="1262">
        <f>'3.RL G tt'!O33</f>
        <v>0</v>
      </c>
    </row>
    <row r="47" spans="1:9" ht="12.75" hidden="1" customHeight="1">
      <c r="A47" s="333">
        <v>2</v>
      </c>
      <c r="B47" s="335" t="s">
        <v>768</v>
      </c>
      <c r="C47" s="726"/>
      <c r="D47" s="1260">
        <f>'3.RL G tt'!G17</f>
        <v>0</v>
      </c>
      <c r="E47" s="1261">
        <f>'3.RL G tt'!K17</f>
        <v>0</v>
      </c>
      <c r="F47" s="1261">
        <f>'3.RL G tt'!O17</f>
        <v>0</v>
      </c>
      <c r="G47" s="1261">
        <f>'3.RL G tt'!G34</f>
        <v>0</v>
      </c>
      <c r="H47" s="1261">
        <f>'3.RL G tt'!K34</f>
        <v>0</v>
      </c>
      <c r="I47" s="1262">
        <f>'3.RL G tt'!O34</f>
        <v>0</v>
      </c>
    </row>
    <row r="48" spans="1:9" ht="12.75" hidden="1" customHeight="1">
      <c r="A48" s="333">
        <v>3</v>
      </c>
      <c r="B48" s="335" t="s">
        <v>734</v>
      </c>
      <c r="C48" s="726"/>
      <c r="D48" s="1260">
        <f>'3.RL G tt'!G18</f>
        <v>0</v>
      </c>
      <c r="E48" s="1261">
        <f>'3.RL G tt'!K18</f>
        <v>0</v>
      </c>
      <c r="F48" s="1261">
        <f>'3.RL G tt'!O18</f>
        <v>0</v>
      </c>
      <c r="G48" s="1261">
        <f>'3.RL G tt'!G35</f>
        <v>0</v>
      </c>
      <c r="H48" s="1261">
        <f>'3.RL G tt'!K35</f>
        <v>0</v>
      </c>
      <c r="I48" s="1262">
        <f>'3.RL G tt'!O35</f>
        <v>0</v>
      </c>
    </row>
    <row r="49" spans="1:9" ht="12.75" hidden="1" customHeight="1">
      <c r="A49" s="3599" t="s">
        <v>7</v>
      </c>
      <c r="B49" s="3601" t="s">
        <v>757</v>
      </c>
      <c r="C49" s="698"/>
      <c r="D49" s="712" t="s">
        <v>157</v>
      </c>
      <c r="E49" s="699"/>
      <c r="F49" s="699"/>
      <c r="G49" s="699"/>
      <c r="H49" s="699"/>
      <c r="I49" s="719"/>
    </row>
    <row r="50" spans="1:9" ht="12.75" hidden="1" customHeight="1">
      <c r="A50" s="3600"/>
      <c r="B50" s="3602"/>
      <c r="C50" s="701"/>
      <c r="D50" s="715" t="s">
        <v>386</v>
      </c>
      <c r="E50" s="702" t="s">
        <v>387</v>
      </c>
      <c r="F50" s="702" t="s">
        <v>388</v>
      </c>
      <c r="G50" s="702" t="s">
        <v>389</v>
      </c>
      <c r="H50" s="702" t="s">
        <v>390</v>
      </c>
      <c r="I50" s="716" t="s">
        <v>391</v>
      </c>
    </row>
    <row r="51" spans="1:9" ht="12.75" hidden="1" customHeight="1">
      <c r="A51" s="333">
        <v>1</v>
      </c>
      <c r="B51" s="725" t="s">
        <v>450</v>
      </c>
      <c r="C51" s="409"/>
      <c r="D51" s="720">
        <f>'3.RL G tt'!G7</f>
        <v>0</v>
      </c>
      <c r="E51" s="721">
        <f>'3.RL G tt'!K7</f>
        <v>0</v>
      </c>
      <c r="F51" s="721">
        <f>'3.RL G tt'!O7</f>
        <v>0</v>
      </c>
      <c r="G51" s="721">
        <f>'3.RL G tt'!G24</f>
        <v>0</v>
      </c>
      <c r="H51" s="721">
        <f>'3.RL G tt'!K24</f>
        <v>0</v>
      </c>
      <c r="I51" s="727">
        <f>'3.RL G tt'!O24</f>
        <v>0</v>
      </c>
    </row>
    <row r="52" spans="1:9" ht="12.75" hidden="1" customHeight="1">
      <c r="A52" s="333">
        <v>2</v>
      </c>
      <c r="B52" s="725" t="s">
        <v>453</v>
      </c>
      <c r="C52" s="409"/>
      <c r="D52" s="720">
        <f>'3.RL G tt'!G8</f>
        <v>0</v>
      </c>
      <c r="E52" s="721">
        <f>'3.RL G tt'!K8</f>
        <v>0</v>
      </c>
      <c r="F52" s="721">
        <f>'3.RL G tt'!O8</f>
        <v>0</v>
      </c>
      <c r="G52" s="721">
        <f>'3.RL G tt'!G25</f>
        <v>0</v>
      </c>
      <c r="H52" s="721">
        <f>'3.RL G tt'!K25</f>
        <v>0</v>
      </c>
      <c r="I52" s="727">
        <f>'3.RL G tt'!O25</f>
        <v>0</v>
      </c>
    </row>
    <row r="53" spans="1:9" ht="12.75" hidden="1" customHeight="1">
      <c r="A53" s="333">
        <v>3</v>
      </c>
      <c r="B53" s="3603" t="s">
        <v>766</v>
      </c>
      <c r="C53" s="409"/>
      <c r="D53" s="720">
        <f>'3.RL G tt'!G9</f>
        <v>0</v>
      </c>
      <c r="E53" s="721">
        <f>'3.RL G tt'!K9</f>
        <v>0</v>
      </c>
      <c r="F53" s="721">
        <f>'3.RL G tt'!O9</f>
        <v>0</v>
      </c>
      <c r="G53" s="721">
        <f>'3.RL G tt'!G26</f>
        <v>0</v>
      </c>
      <c r="H53" s="721">
        <f>'3.RL G tt'!K26</f>
        <v>0</v>
      </c>
      <c r="I53" s="727">
        <f>'3.RL G tt'!O26</f>
        <v>0</v>
      </c>
    </row>
    <row r="54" spans="1:9" ht="12.75" hidden="1" customHeight="1">
      <c r="A54" s="333">
        <v>4</v>
      </c>
      <c r="B54" s="3604"/>
      <c r="C54" s="409"/>
      <c r="D54" s="720">
        <f>'3.RL G tt'!G10</f>
        <v>0</v>
      </c>
      <c r="E54" s="721">
        <f>'3.RL G tt'!K10</f>
        <v>0</v>
      </c>
      <c r="F54" s="721">
        <f>'3.RL G tt'!O10</f>
        <v>0</v>
      </c>
      <c r="G54" s="721">
        <f>'3.RL G tt'!G27</f>
        <v>0</v>
      </c>
      <c r="H54" s="721">
        <f>'3.RL G tt'!K27</f>
        <v>0</v>
      </c>
      <c r="I54" s="727">
        <f>'3.RL G tt'!O27</f>
        <v>0</v>
      </c>
    </row>
    <row r="55" spans="1:9" ht="12.75" hidden="1" customHeight="1">
      <c r="A55" s="333">
        <v>5</v>
      </c>
      <c r="B55" s="3605"/>
      <c r="C55" s="409"/>
      <c r="D55" s="720">
        <f>'3.RL G tt'!G11</f>
        <v>0</v>
      </c>
      <c r="E55" s="721">
        <f>'3.RL G tt'!K11</f>
        <v>0</v>
      </c>
      <c r="F55" s="721">
        <f>'3.RL G tt'!O11</f>
        <v>0</v>
      </c>
      <c r="G55" s="721">
        <f>'3.RL G tt'!G28</f>
        <v>0</v>
      </c>
      <c r="H55" s="721">
        <f>'3.RL G tt'!K28</f>
        <v>0</v>
      </c>
      <c r="I55" s="727">
        <f>'3.RL G tt'!O28</f>
        <v>0</v>
      </c>
    </row>
    <row r="56" spans="1:9" ht="12.75" hidden="1" customHeight="1">
      <c r="A56" s="333">
        <v>6</v>
      </c>
      <c r="B56" s="3603" t="s">
        <v>767</v>
      </c>
      <c r="C56" s="409"/>
      <c r="D56" s="720">
        <f>'3.RL G tt'!G12</f>
        <v>0</v>
      </c>
      <c r="E56" s="721">
        <f>'3.RL G tt'!K12</f>
        <v>0</v>
      </c>
      <c r="F56" s="721">
        <f>'3.RL G tt'!O12</f>
        <v>0</v>
      </c>
      <c r="G56" s="721">
        <f>'3.RL G tt'!G29</f>
        <v>0</v>
      </c>
      <c r="H56" s="721">
        <f>'3.RL G tt'!K29</f>
        <v>0</v>
      </c>
      <c r="I56" s="727">
        <f>'3.RL G tt'!O29</f>
        <v>0</v>
      </c>
    </row>
    <row r="57" spans="1:9" ht="12.75" hidden="1" customHeight="1">
      <c r="A57" s="333">
        <v>7</v>
      </c>
      <c r="B57" s="3605"/>
      <c r="C57" s="409"/>
      <c r="D57" s="720">
        <f>'3.RL G tt'!G13</f>
        <v>0</v>
      </c>
      <c r="E57" s="721">
        <f>'3.RL G tt'!K13</f>
        <v>0</v>
      </c>
      <c r="F57" s="721">
        <f>'3.RL G tt'!O13</f>
        <v>0</v>
      </c>
      <c r="G57" s="721">
        <f>'3.RL G tt'!G30</f>
        <v>0</v>
      </c>
      <c r="H57" s="721">
        <f>'3.RL G tt'!K30</f>
        <v>0</v>
      </c>
      <c r="I57" s="727">
        <f>'3.RL G tt'!O30</f>
        <v>0</v>
      </c>
    </row>
    <row r="58" spans="1:9" ht="12.75" hidden="1" customHeight="1">
      <c r="D58" s="723"/>
      <c r="I58" s="719"/>
    </row>
    <row r="59" spans="1:9" ht="12.75" hidden="1" customHeight="1">
      <c r="B59" s="696" t="s">
        <v>918</v>
      </c>
      <c r="C59" s="724"/>
      <c r="D59" s="723"/>
      <c r="I59" s="719"/>
    </row>
    <row r="60" spans="1:9" ht="12.75" hidden="1" customHeight="1">
      <c r="A60" s="3599" t="s">
        <v>7</v>
      </c>
      <c r="B60" s="3601" t="s">
        <v>757</v>
      </c>
      <c r="C60" s="698"/>
      <c r="D60" s="712" t="s">
        <v>156</v>
      </c>
      <c r="E60" s="699"/>
      <c r="F60" s="699"/>
      <c r="G60" s="699"/>
      <c r="H60" s="699"/>
      <c r="I60" s="719"/>
    </row>
    <row r="61" spans="1:9" ht="12.75" hidden="1" customHeight="1">
      <c r="A61" s="3600"/>
      <c r="B61" s="3602"/>
      <c r="C61" s="701"/>
      <c r="D61" s="715" t="s">
        <v>386</v>
      </c>
      <c r="E61" s="702" t="s">
        <v>387</v>
      </c>
      <c r="F61" s="702" t="s">
        <v>388</v>
      </c>
      <c r="G61" s="702" t="s">
        <v>389</v>
      </c>
      <c r="H61" s="702" t="s">
        <v>390</v>
      </c>
      <c r="I61" s="716" t="s">
        <v>391</v>
      </c>
    </row>
    <row r="62" spans="1:9" ht="12.75" hidden="1" customHeight="1">
      <c r="A62" s="154">
        <v>1</v>
      </c>
      <c r="B62" s="142" t="s">
        <v>916</v>
      </c>
      <c r="C62" s="409"/>
      <c r="D62" s="707">
        <f>'4.RL F tt'!F7</f>
        <v>48</v>
      </c>
      <c r="E62" s="708">
        <f>'4.RL F tt'!J7</f>
        <v>48</v>
      </c>
      <c r="F62" s="708">
        <f>'4.RL F tt'!N7</f>
        <v>46</v>
      </c>
      <c r="G62" s="708">
        <f>'4.RL F tt'!F29</f>
        <v>45</v>
      </c>
      <c r="H62" s="708">
        <f>'4.RL F tt'!J29</f>
        <v>40</v>
      </c>
      <c r="I62" s="719">
        <f>'4.RL F tt'!N29</f>
        <v>37</v>
      </c>
    </row>
    <row r="63" spans="1:9" ht="12.75" hidden="1" customHeight="1">
      <c r="A63" s="154"/>
      <c r="B63" s="142" t="s">
        <v>758</v>
      </c>
      <c r="C63" s="409" t="s">
        <v>759</v>
      </c>
      <c r="D63" s="707">
        <f>'4.RL F tt'!F8</f>
        <v>10.95</v>
      </c>
      <c r="E63" s="708">
        <f>'4.RL F tt'!J8</f>
        <v>11.315000000000001</v>
      </c>
      <c r="F63" s="708">
        <f>'4.RL F tt'!N8</f>
        <v>10.219999999999999</v>
      </c>
      <c r="G63" s="708">
        <f>'4.RL F tt'!F30</f>
        <v>10.584999999999999</v>
      </c>
      <c r="H63" s="708">
        <f>'4.RL F tt'!J30</f>
        <v>9.125</v>
      </c>
      <c r="I63" s="719">
        <f>'4.RL F tt'!N30</f>
        <v>10.584999999999999</v>
      </c>
    </row>
    <row r="64" spans="1:9" ht="12.75" hidden="1" customHeight="1">
      <c r="A64" s="333">
        <v>2</v>
      </c>
      <c r="B64" s="3603" t="s">
        <v>760</v>
      </c>
      <c r="C64" s="710" t="s">
        <v>609</v>
      </c>
      <c r="D64" s="707">
        <f>'4.RL F tt'!F9</f>
        <v>55</v>
      </c>
      <c r="E64" s="708">
        <f>'4.RL F tt'!J9</f>
        <v>49</v>
      </c>
      <c r="F64" s="708">
        <f>'4.RL F tt'!N9</f>
        <v>51</v>
      </c>
      <c r="G64" s="708">
        <f>'4.RL F tt'!F31</f>
        <v>50</v>
      </c>
      <c r="H64" s="708">
        <f>'4.RL F tt'!J31</f>
        <v>45</v>
      </c>
      <c r="I64" s="719">
        <f>'4.RL F tt'!N31</f>
        <v>45</v>
      </c>
    </row>
    <row r="65" spans="1:9" ht="12.75" hidden="1" customHeight="1">
      <c r="A65" s="333">
        <v>3</v>
      </c>
      <c r="B65" s="3604"/>
      <c r="C65" s="710" t="s">
        <v>613</v>
      </c>
      <c r="D65" s="707">
        <f>'4.RL F tt'!F10</f>
        <v>9.0163934426229506</v>
      </c>
      <c r="E65" s="708">
        <f>'4.RL F tt'!J10</f>
        <v>9.8000000000000007</v>
      </c>
      <c r="F65" s="708">
        <f>'4.RL F tt'!N10</f>
        <v>10.199999999999999</v>
      </c>
      <c r="G65" s="708">
        <f>'4.RL F tt'!F32</f>
        <v>9.615384615384615</v>
      </c>
      <c r="H65" s="708">
        <f>'4.RL F tt'!J32</f>
        <v>8.6538461538461533</v>
      </c>
      <c r="I65" s="719">
        <f>'4.RL F tt'!N32</f>
        <v>8.4905660377358494</v>
      </c>
    </row>
    <row r="66" spans="1:9" ht="12.75" hidden="1" customHeight="1">
      <c r="A66" s="333">
        <v>4</v>
      </c>
      <c r="B66" s="3605"/>
      <c r="C66" s="710" t="s">
        <v>615</v>
      </c>
      <c r="D66" s="707">
        <f>'4.RL F tt'!F11</f>
        <v>0.4</v>
      </c>
      <c r="E66" s="708">
        <f>'4.RL F tt'!J11</f>
        <v>0.42</v>
      </c>
      <c r="F66" s="708">
        <f>'4.RL F tt'!N11</f>
        <v>0.72</v>
      </c>
      <c r="G66" s="708">
        <f>'4.RL F tt'!F33</f>
        <v>0.56000000000000005</v>
      </c>
      <c r="H66" s="708">
        <f>'4.RL F tt'!J33</f>
        <v>0.8</v>
      </c>
      <c r="I66" s="719">
        <f>'4.RL F tt'!N33</f>
        <v>0.64</v>
      </c>
    </row>
    <row r="67" spans="1:9" ht="12.75" hidden="1" customHeight="1">
      <c r="A67" s="333">
        <v>5</v>
      </c>
      <c r="B67" s="3603" t="s">
        <v>761</v>
      </c>
      <c r="C67" s="710" t="s">
        <v>609</v>
      </c>
      <c r="D67" s="707" t="e">
        <f>'4.RL F tt'!F12</f>
        <v>#REF!</v>
      </c>
      <c r="E67" s="708" t="e">
        <f>'4.RL F tt'!J12</f>
        <v>#REF!</v>
      </c>
      <c r="F67" s="708" t="e">
        <f>'4.RL F tt'!N12</f>
        <v>#REF!</v>
      </c>
      <c r="G67" s="708" t="e">
        <f>'4.RL F tt'!F34</f>
        <v>#REF!</v>
      </c>
      <c r="H67" s="708" t="e">
        <f>'4.RL F tt'!J34</f>
        <v>#REF!</v>
      </c>
      <c r="I67" s="719" t="e">
        <f>'4.RL F tt'!N34</f>
        <v>#REF!</v>
      </c>
    </row>
    <row r="68" spans="1:9" ht="12.75" hidden="1" customHeight="1">
      <c r="A68" s="333">
        <v>6</v>
      </c>
      <c r="B68" s="3604"/>
      <c r="C68" s="710" t="s">
        <v>613</v>
      </c>
      <c r="D68" s="707" t="e">
        <f>'4.RL F tt'!F13</f>
        <v>#REF!</v>
      </c>
      <c r="E68" s="708" t="e">
        <f>'4.RL F tt'!J13</f>
        <v>#REF!</v>
      </c>
      <c r="F68" s="708" t="e">
        <f>'4.RL F tt'!N13</f>
        <v>#REF!</v>
      </c>
      <c r="G68" s="708" t="e">
        <f>'4.RL F tt'!F35</f>
        <v>#REF!</v>
      </c>
      <c r="H68" s="708" t="e">
        <f>'4.RL F tt'!J35</f>
        <v>#REF!</v>
      </c>
      <c r="I68" s="719" t="e">
        <f>'4.RL F tt'!N35</f>
        <v>#REF!</v>
      </c>
    </row>
    <row r="69" spans="1:9" ht="12.75" hidden="1" customHeight="1">
      <c r="A69" s="333">
        <v>7</v>
      </c>
      <c r="B69" s="3605"/>
      <c r="C69" s="710" t="s">
        <v>615</v>
      </c>
      <c r="D69" s="707" t="e">
        <f>'4.RL F tt'!F14</f>
        <v>#REF!</v>
      </c>
      <c r="E69" s="708" t="e">
        <f>'4.RL F tt'!J14</f>
        <v>#REF!</v>
      </c>
      <c r="F69" s="708" t="e">
        <f>'4.RL F tt'!N14</f>
        <v>#REF!</v>
      </c>
      <c r="G69" s="708" t="e">
        <f>'4.RL F tt'!F36</f>
        <v>#REF!</v>
      </c>
      <c r="H69" s="708" t="e">
        <f>'4.RL F tt'!J36</f>
        <v>#REF!</v>
      </c>
      <c r="I69" s="719" t="e">
        <f>'4.RL F tt'!N36</f>
        <v>#REF!</v>
      </c>
    </row>
    <row r="70" spans="1:9" ht="12.75" hidden="1" customHeight="1">
      <c r="A70" s="333">
        <v>8</v>
      </c>
      <c r="B70" s="3603" t="s">
        <v>762</v>
      </c>
      <c r="C70" s="409" t="s">
        <v>763</v>
      </c>
      <c r="D70" s="707">
        <f>'4.RL F tt'!F15</f>
        <v>0.9</v>
      </c>
      <c r="E70" s="708">
        <f>'4.RL F tt'!J15</f>
        <v>0.95</v>
      </c>
      <c r="F70" s="708">
        <f>'4.RL F tt'!N15</f>
        <v>0.9</v>
      </c>
      <c r="G70" s="708">
        <f>'4.RL F tt'!F37</f>
        <v>0.95</v>
      </c>
      <c r="H70" s="708">
        <f>'4.RL F tt'!J37</f>
        <v>0.95</v>
      </c>
      <c r="I70" s="719">
        <f>'4.RL F tt'!N37</f>
        <v>0.9</v>
      </c>
    </row>
    <row r="71" spans="1:9" ht="12.75" hidden="1" customHeight="1">
      <c r="A71" s="333">
        <v>9</v>
      </c>
      <c r="B71" s="3605"/>
      <c r="C71" s="409" t="s">
        <v>621</v>
      </c>
      <c r="D71" s="707">
        <f>'4.RL F tt'!F16</f>
        <v>9</v>
      </c>
      <c r="E71" s="708">
        <f>'4.RL F tt'!J16</f>
        <v>10</v>
      </c>
      <c r="F71" s="708">
        <f>'4.RL F tt'!N16</f>
        <v>10</v>
      </c>
      <c r="G71" s="708">
        <f>'4.RL F tt'!F38</f>
        <v>9.5</v>
      </c>
      <c r="H71" s="708">
        <f>'4.RL F tt'!J38</f>
        <v>10</v>
      </c>
      <c r="I71" s="719">
        <f>'4.RL F tt'!N38</f>
        <v>9</v>
      </c>
    </row>
    <row r="72" spans="1:9" ht="12.75" hidden="1" customHeight="1">
      <c r="A72" s="3598" t="s">
        <v>2</v>
      </c>
      <c r="B72" s="3598"/>
      <c r="C72" s="698"/>
      <c r="D72" s="712" t="s">
        <v>158</v>
      </c>
      <c r="E72" s="699"/>
      <c r="F72" s="699"/>
      <c r="G72" s="699"/>
      <c r="H72" s="699"/>
      <c r="I72" s="719"/>
    </row>
    <row r="73" spans="1:9" ht="12.75" hidden="1" customHeight="1">
      <c r="A73" s="154" t="s">
        <v>55</v>
      </c>
      <c r="B73" s="714" t="s">
        <v>764</v>
      </c>
      <c r="C73" s="698"/>
      <c r="D73" s="715" t="s">
        <v>386</v>
      </c>
      <c r="E73" s="702" t="s">
        <v>387</v>
      </c>
      <c r="F73" s="702" t="s">
        <v>388</v>
      </c>
      <c r="G73" s="702" t="s">
        <v>389</v>
      </c>
      <c r="H73" s="702" t="s">
        <v>390</v>
      </c>
      <c r="I73" s="716" t="s">
        <v>391</v>
      </c>
    </row>
    <row r="74" spans="1:9" ht="12.75" hidden="1" customHeight="1">
      <c r="A74" s="333">
        <v>1</v>
      </c>
      <c r="B74" s="924" t="s">
        <v>916</v>
      </c>
      <c r="C74" s="718"/>
      <c r="D74" s="1260">
        <f>'4.RL F tt'!H19</f>
        <v>60</v>
      </c>
      <c r="E74" s="1261">
        <f>'4.RL F tt'!L19</f>
        <v>60</v>
      </c>
      <c r="F74" s="1261">
        <f>'4.RL F tt'!P19</f>
        <v>59</v>
      </c>
      <c r="G74" s="1261">
        <f>'4.RL F tt'!H41</f>
        <v>60</v>
      </c>
      <c r="H74" s="1261">
        <f>'4.RL F tt'!L41</f>
        <v>58</v>
      </c>
      <c r="I74" s="1262">
        <f>'4.RL F tt'!P41</f>
        <v>60</v>
      </c>
    </row>
    <row r="75" spans="1:9" ht="12.75" hidden="1" customHeight="1">
      <c r="A75" s="333">
        <v>2</v>
      </c>
      <c r="B75" s="717" t="s">
        <v>448</v>
      </c>
      <c r="C75" s="718"/>
      <c r="D75" s="1260">
        <f>'4.RL F tt'!H20</f>
        <v>69</v>
      </c>
      <c r="E75" s="1261">
        <f>'4.RL F tt'!L20</f>
        <v>69</v>
      </c>
      <c r="F75" s="1261">
        <f>'4.RL F tt'!P20</f>
        <v>70</v>
      </c>
      <c r="G75" s="1261">
        <f>'4.RL F tt'!H42</f>
        <v>70</v>
      </c>
      <c r="H75" s="1261">
        <f>'4.RL F tt'!L42</f>
        <v>70</v>
      </c>
      <c r="I75" s="1262">
        <f>'4.RL F tt'!P42</f>
        <v>70</v>
      </c>
    </row>
    <row r="76" spans="1:9" ht="12.75" hidden="1" customHeight="1">
      <c r="A76" s="333">
        <v>3</v>
      </c>
      <c r="B76" s="717" t="s">
        <v>441</v>
      </c>
      <c r="C76" s="718"/>
      <c r="D76" s="1260">
        <f>'4.RL F tt'!H21</f>
        <v>84</v>
      </c>
      <c r="E76" s="1261">
        <f>'4.RL F tt'!L21</f>
        <v>79</v>
      </c>
      <c r="F76" s="1261">
        <f>'4.RL F tt'!P21</f>
        <v>85</v>
      </c>
      <c r="G76" s="1261">
        <f>'4.RL F tt'!H43</f>
        <v>81</v>
      </c>
      <c r="H76" s="1261">
        <f>'4.RL F tt'!L43</f>
        <v>79</v>
      </c>
      <c r="I76" s="1262">
        <f>'4.RL F tt'!P43</f>
        <v>79</v>
      </c>
    </row>
    <row r="77" spans="1:9" ht="12.75" hidden="1" customHeight="1">
      <c r="A77" s="333">
        <v>4</v>
      </c>
      <c r="B77" s="717" t="s">
        <v>765</v>
      </c>
      <c r="C77" s="718"/>
      <c r="D77" s="707">
        <f>'4.RL F tt'!F22</f>
        <v>0</v>
      </c>
      <c r="E77" s="708">
        <f>'4.RL F tt'!J22</f>
        <v>0</v>
      </c>
      <c r="F77" s="708">
        <f>'4.RL F tt'!N22</f>
        <v>0</v>
      </c>
      <c r="G77" s="708">
        <f>'4.RL F tt'!F44</f>
        <v>0</v>
      </c>
      <c r="H77" s="708">
        <f>'4.RL F tt'!J44</f>
        <v>0</v>
      </c>
      <c r="I77" s="719">
        <f>'4.RL F tt'!N44</f>
        <v>0</v>
      </c>
    </row>
    <row r="78" spans="1:9" ht="12.75" hidden="1" customHeight="1">
      <c r="A78" s="3599" t="s">
        <v>7</v>
      </c>
      <c r="B78" s="3601" t="s">
        <v>757</v>
      </c>
      <c r="C78" s="698"/>
      <c r="D78" s="712" t="s">
        <v>157</v>
      </c>
      <c r="E78" s="699"/>
      <c r="F78" s="699"/>
      <c r="G78" s="699"/>
      <c r="H78" s="699"/>
      <c r="I78" s="719"/>
    </row>
    <row r="79" spans="1:9" ht="12.75" hidden="1" customHeight="1">
      <c r="A79" s="3600"/>
      <c r="B79" s="3602"/>
      <c r="C79" s="701"/>
      <c r="D79" s="715" t="s">
        <v>386</v>
      </c>
      <c r="E79" s="702" t="s">
        <v>387</v>
      </c>
      <c r="F79" s="702" t="s">
        <v>388</v>
      </c>
      <c r="G79" s="702" t="s">
        <v>389</v>
      </c>
      <c r="H79" s="702" t="s">
        <v>390</v>
      </c>
      <c r="I79" s="716" t="s">
        <v>391</v>
      </c>
    </row>
    <row r="80" spans="1:9" ht="12.75" hidden="1" customHeight="1">
      <c r="A80" s="333">
        <v>1</v>
      </c>
      <c r="B80" s="142" t="s">
        <v>916</v>
      </c>
      <c r="C80" s="409"/>
      <c r="D80" s="720">
        <f>'4.RL F tt'!H7</f>
        <v>0</v>
      </c>
      <c r="E80" s="721">
        <f>'4.RL F tt'!L7</f>
        <v>0</v>
      </c>
      <c r="F80" s="721">
        <f>'4.RL F tt'!P7</f>
        <v>0</v>
      </c>
      <c r="G80" s="721">
        <f>'4.RL F tt'!H29</f>
        <v>0</v>
      </c>
      <c r="H80" s="721">
        <f>'4.RL F tt'!L29</f>
        <v>0</v>
      </c>
      <c r="I80" s="727">
        <f>'4.RL F tt'!P29</f>
        <v>6.99</v>
      </c>
    </row>
    <row r="81" spans="1:9" ht="12.75" hidden="1" customHeight="1">
      <c r="A81" s="333"/>
      <c r="B81" s="142" t="s">
        <v>758</v>
      </c>
      <c r="C81" s="409"/>
      <c r="D81" s="720">
        <f>'4.RL F tt'!H8</f>
        <v>126.17968750000006</v>
      </c>
      <c r="E81" s="721">
        <f>'4.RL F tt'!L8</f>
        <v>96.466406249999892</v>
      </c>
      <c r="F81" s="721">
        <f>'4.RL F tt'!P8</f>
        <v>185.6062500000001</v>
      </c>
      <c r="G81" s="721">
        <f>'4.RL F tt'!H30</f>
        <v>155.89296875000008</v>
      </c>
      <c r="H81" s="721">
        <f>'4.RL F tt'!L30</f>
        <v>274.74609375</v>
      </c>
      <c r="I81" s="727">
        <f>'4.RL F tt'!P30</f>
        <v>155.89296875000008</v>
      </c>
    </row>
    <row r="82" spans="1:9" ht="12.75" hidden="1" customHeight="1">
      <c r="A82" s="333">
        <v>2</v>
      </c>
      <c r="B82" s="3603" t="s">
        <v>760</v>
      </c>
      <c r="C82" s="409"/>
      <c r="D82" s="720">
        <f>'4.RL F tt'!H9</f>
        <v>0</v>
      </c>
      <c r="E82" s="721">
        <f>'4.RL F tt'!L9</f>
        <v>4.9349999999999996</v>
      </c>
      <c r="F82" s="721">
        <f>'4.RL F tt'!P9</f>
        <v>0</v>
      </c>
      <c r="G82" s="721">
        <f>'4.RL F tt'!H31</f>
        <v>0</v>
      </c>
      <c r="H82" s="721">
        <f>'4.RL F tt'!L31</f>
        <v>24.675000000000001</v>
      </c>
      <c r="I82" s="727">
        <f>'4.RL F tt'!P31</f>
        <v>24.675000000000001</v>
      </c>
    </row>
    <row r="83" spans="1:9" ht="12.75" hidden="1" customHeight="1">
      <c r="A83" s="333">
        <v>3</v>
      </c>
      <c r="B83" s="3604"/>
      <c r="C83" s="409"/>
      <c r="D83" s="720">
        <f>'4.RL F tt'!H10</f>
        <v>0</v>
      </c>
      <c r="E83" s="721">
        <f>'4.RL F tt'!L10</f>
        <v>0</v>
      </c>
      <c r="F83" s="721">
        <f>'4.RL F tt'!P10</f>
        <v>0</v>
      </c>
      <c r="G83" s="721">
        <f>'4.RL F tt'!H32</f>
        <v>0</v>
      </c>
      <c r="H83" s="721">
        <f>'4.RL F tt'!L32</f>
        <v>0</v>
      </c>
      <c r="I83" s="727">
        <f>'4.RL F tt'!P32</f>
        <v>0</v>
      </c>
    </row>
    <row r="84" spans="1:9" ht="12.75" hidden="1" customHeight="1">
      <c r="A84" s="333">
        <v>4</v>
      </c>
      <c r="B84" s="3605"/>
      <c r="C84" s="409"/>
      <c r="D84" s="720">
        <f>'4.RL F tt'!H11</f>
        <v>0</v>
      </c>
      <c r="E84" s="721">
        <f>'4.RL F tt'!L11</f>
        <v>0</v>
      </c>
      <c r="F84" s="721">
        <f>'4.RL F tt'!P11</f>
        <v>0</v>
      </c>
      <c r="G84" s="721">
        <f>'4.RL F tt'!H33</f>
        <v>0</v>
      </c>
      <c r="H84" s="721">
        <f>'4.RL F tt'!L33</f>
        <v>0</v>
      </c>
      <c r="I84" s="727">
        <f>'4.RL F tt'!P33</f>
        <v>0</v>
      </c>
    </row>
    <row r="85" spans="1:9" ht="12.75" hidden="1" customHeight="1">
      <c r="A85" s="333">
        <v>5</v>
      </c>
      <c r="B85" s="3603" t="s">
        <v>761</v>
      </c>
      <c r="C85" s="409"/>
      <c r="D85" s="720" t="e">
        <f>'4.RL F tt'!H12</f>
        <v>#REF!</v>
      </c>
      <c r="E85" s="721" t="e">
        <f>'4.RL F tt'!L12</f>
        <v>#REF!</v>
      </c>
      <c r="F85" s="721" t="e">
        <f>'4.RL F tt'!P12</f>
        <v>#REF!</v>
      </c>
      <c r="G85" s="721" t="e">
        <f>'4.RL F tt'!H34</f>
        <v>#REF!</v>
      </c>
      <c r="H85" s="721" t="e">
        <f>'4.RL F tt'!L34</f>
        <v>#REF!</v>
      </c>
      <c r="I85" s="727" t="e">
        <f>'4.RL F tt'!P34</f>
        <v>#REF!</v>
      </c>
    </row>
    <row r="86" spans="1:9" ht="12.75" hidden="1" customHeight="1">
      <c r="A86" s="333">
        <v>6</v>
      </c>
      <c r="B86" s="3604"/>
      <c r="C86" s="409"/>
      <c r="D86" s="720" t="e">
        <f>'4.RL F tt'!H13</f>
        <v>#REF!</v>
      </c>
      <c r="E86" s="721" t="e">
        <f>'4.RL F tt'!L13</f>
        <v>#REF!</v>
      </c>
      <c r="F86" s="721" t="e">
        <f>'4.RL F tt'!P13</f>
        <v>#REF!</v>
      </c>
      <c r="G86" s="721" t="e">
        <f>'4.RL F tt'!H35</f>
        <v>#REF!</v>
      </c>
      <c r="H86" s="721" t="e">
        <f>'4.RL F tt'!L35</f>
        <v>#REF!</v>
      </c>
      <c r="I86" s="727" t="e">
        <f>'4.RL F tt'!P35</f>
        <v>#REF!</v>
      </c>
    </row>
    <row r="87" spans="1:9" ht="12.75" hidden="1" customHeight="1">
      <c r="A87" s="333">
        <v>7</v>
      </c>
      <c r="B87" s="3605"/>
      <c r="C87" s="409"/>
      <c r="D87" s="720" t="e">
        <f>'4.RL F tt'!H14</f>
        <v>#REF!</v>
      </c>
      <c r="E87" s="721" t="e">
        <f>'4.RL F tt'!L14</f>
        <v>#REF!</v>
      </c>
      <c r="F87" s="721" t="e">
        <f>'4.RL F tt'!P14</f>
        <v>#REF!</v>
      </c>
      <c r="G87" s="721" t="e">
        <f>'4.RL F tt'!H36</f>
        <v>#REF!</v>
      </c>
      <c r="H87" s="721" t="e">
        <f>'4.RL F tt'!L36</f>
        <v>#REF!</v>
      </c>
      <c r="I87" s="727" t="e">
        <f>'4.RL F tt'!P36</f>
        <v>#REF!</v>
      </c>
    </row>
    <row r="88" spans="1:9" ht="12.75" hidden="1" customHeight="1">
      <c r="A88" s="333">
        <v>8</v>
      </c>
      <c r="B88" s="3603" t="s">
        <v>762</v>
      </c>
      <c r="C88" s="409"/>
      <c r="D88" s="720">
        <f>'4.RL F tt'!H15</f>
        <v>0.12339999999999998</v>
      </c>
      <c r="E88" s="721">
        <f>'4.RL F tt'!L15</f>
        <v>6.1700000000000053E-2</v>
      </c>
      <c r="F88" s="721">
        <f>'4.RL F tt'!P15</f>
        <v>0.12339999999999998</v>
      </c>
      <c r="G88" s="721">
        <f>'4.RL F tt'!H37</f>
        <v>6.1700000000000053E-2</v>
      </c>
      <c r="H88" s="721">
        <f>'4.RL F tt'!L37</f>
        <v>6.1700000000000053E-2</v>
      </c>
      <c r="I88" s="727">
        <f>'4.RL F tt'!P37</f>
        <v>0.12339999999999998</v>
      </c>
    </row>
    <row r="89" spans="1:9" ht="12.75" hidden="1" customHeight="1">
      <c r="A89" s="333">
        <v>9</v>
      </c>
      <c r="B89" s="3605"/>
      <c r="C89" s="409"/>
      <c r="D89" s="720">
        <f>'4.RL F tt'!H16</f>
        <v>0</v>
      </c>
      <c r="E89" s="721">
        <f>'4.RL F tt'!L16</f>
        <v>0</v>
      </c>
      <c r="F89" s="721">
        <f>'4.RL F tt'!P16</f>
        <v>0</v>
      </c>
      <c r="G89" s="721">
        <f>'4.RL F tt'!H38</f>
        <v>0</v>
      </c>
      <c r="H89" s="721">
        <f>'4.RL F tt'!L38</f>
        <v>0</v>
      </c>
      <c r="I89" s="727">
        <f>'4.RL F tt'!P38</f>
        <v>0</v>
      </c>
    </row>
    <row r="90" spans="1:9" s="733" customFormat="1" ht="12.75" hidden="1" customHeight="1">
      <c r="A90" s="728"/>
      <c r="B90" s="729"/>
      <c r="C90" s="729"/>
      <c r="D90" s="730"/>
      <c r="E90" s="731"/>
      <c r="F90" s="731"/>
      <c r="G90" s="731"/>
      <c r="H90" s="731"/>
      <c r="I90" s="732"/>
    </row>
    <row r="91" spans="1:9" s="733" customFormat="1" ht="16.5" hidden="1" customHeight="1">
      <c r="A91" s="728"/>
      <c r="B91" s="734" t="s">
        <v>769</v>
      </c>
      <c r="C91" s="735"/>
      <c r="D91" s="736">
        <f>R.HN!C12</f>
        <v>3</v>
      </c>
      <c r="E91" s="737">
        <f>R.HN!D12</f>
        <v>3</v>
      </c>
      <c r="F91" s="737">
        <f>R.HN!E12</f>
        <v>3</v>
      </c>
      <c r="G91" s="737">
        <f>R.HN!F12</f>
        <v>3</v>
      </c>
      <c r="H91" s="737">
        <f>R.HN!G12</f>
        <v>3</v>
      </c>
      <c r="I91" s="738">
        <f>R.HN!H12</f>
        <v>3</v>
      </c>
    </row>
    <row r="92" spans="1:9" s="733" customFormat="1" ht="10.5" hidden="1" customHeight="1">
      <c r="A92" s="728"/>
      <c r="B92" s="734" t="s">
        <v>770</v>
      </c>
      <c r="C92" s="735"/>
      <c r="D92" s="730">
        <f>R.HN!C13</f>
        <v>4</v>
      </c>
      <c r="E92" s="731">
        <f>R.HN!D13</f>
        <v>4</v>
      </c>
      <c r="F92" s="731">
        <f>R.HN!E13</f>
        <v>4</v>
      </c>
      <c r="G92" s="731">
        <f>R.HN!F13</f>
        <v>4</v>
      </c>
      <c r="H92" s="731">
        <f>R.HN!G13</f>
        <v>4</v>
      </c>
      <c r="I92" s="739">
        <f>R.HN!H13</f>
        <v>4</v>
      </c>
    </row>
    <row r="93" spans="1:9" s="733" customFormat="1" ht="11.25" hidden="1" customHeight="1">
      <c r="A93" s="728"/>
      <c r="B93" s="734" t="s">
        <v>771</v>
      </c>
      <c r="C93" s="735"/>
      <c r="D93" s="736">
        <f>R.HN!C35</f>
        <v>0</v>
      </c>
      <c r="E93" s="737">
        <f>R.HN!D35</f>
        <v>0</v>
      </c>
      <c r="F93" s="737">
        <f>R.HN!E35</f>
        <v>0</v>
      </c>
      <c r="G93" s="737">
        <f>R.HN!F35</f>
        <v>0</v>
      </c>
      <c r="H93" s="737">
        <f>R.HN!G35</f>
        <v>0</v>
      </c>
      <c r="I93" s="738">
        <f>R.HN!H35</f>
        <v>0</v>
      </c>
    </row>
    <row r="94" spans="1:9" s="733" customFormat="1" ht="15.75" hidden="1" customHeight="1">
      <c r="A94" s="728"/>
      <c r="B94" s="734" t="s">
        <v>772</v>
      </c>
      <c r="C94" s="735"/>
      <c r="D94" s="730">
        <f>R.HN!C36</f>
        <v>0</v>
      </c>
      <c r="E94" s="731">
        <f>R.HN!D36</f>
        <v>0</v>
      </c>
      <c r="F94" s="731">
        <f>R.HN!E36</f>
        <v>0</v>
      </c>
      <c r="G94" s="731">
        <f>R.HN!F36</f>
        <v>0</v>
      </c>
      <c r="H94" s="731">
        <f>R.HN!G36</f>
        <v>0</v>
      </c>
      <c r="I94" s="739">
        <f>R.HN!H36</f>
        <v>0</v>
      </c>
    </row>
    <row r="95" spans="1:9" s="733" customFormat="1" ht="15.75" hidden="1" customHeight="1">
      <c r="A95" s="728"/>
      <c r="B95" s="777" t="s">
        <v>785</v>
      </c>
      <c r="C95" s="778"/>
      <c r="D95" s="779" t="e">
        <f>'3.RL G tt'!#REF!</f>
        <v>#REF!</v>
      </c>
      <c r="E95" s="780" t="e">
        <f>'3.RL G tt'!#REF!</f>
        <v>#REF!</v>
      </c>
      <c r="F95" s="780" t="e">
        <f>'3.RL G tt'!#REF!</f>
        <v>#REF!</v>
      </c>
      <c r="G95" s="780" t="e">
        <f>'3.RL G tt'!#REF!</f>
        <v>#REF!</v>
      </c>
      <c r="H95" s="780" t="e">
        <f>'3.RL G tt'!#REF!</f>
        <v>#REF!</v>
      </c>
      <c r="I95" s="781" t="e">
        <f>'3.RL G tt'!#REF!</f>
        <v>#REF!</v>
      </c>
    </row>
    <row r="96" spans="1:9" ht="12.75" customHeight="1" thickBot="1">
      <c r="A96" s="708"/>
      <c r="B96" s="409"/>
      <c r="C96" s="409"/>
      <c r="D96" s="740"/>
      <c r="E96" s="741"/>
      <c r="F96" s="741"/>
      <c r="G96" s="741"/>
      <c r="H96" s="741"/>
      <c r="I96" s="742"/>
    </row>
    <row r="97" spans="1:8" ht="12.75" customHeight="1">
      <c r="A97" s="708"/>
      <c r="B97" s="409"/>
      <c r="C97" s="409"/>
      <c r="D97" s="721"/>
      <c r="E97" s="721"/>
      <c r="F97" s="721"/>
      <c r="G97" s="721"/>
      <c r="H97" s="721"/>
    </row>
    <row r="99" spans="1:8" ht="12.75" customHeight="1">
      <c r="B99" s="696" t="s">
        <v>773</v>
      </c>
    </row>
    <row r="100" spans="1:8" ht="12.75" customHeight="1">
      <c r="A100" s="3609" t="s">
        <v>7</v>
      </c>
      <c r="B100" s="3611" t="s">
        <v>77</v>
      </c>
      <c r="C100" s="699" t="s">
        <v>156</v>
      </c>
      <c r="D100" s="699"/>
    </row>
    <row r="101" spans="1:8" ht="12.75" customHeight="1" thickBot="1">
      <c r="A101" s="3610"/>
      <c r="B101" s="3612"/>
      <c r="C101" s="702">
        <v>0.375</v>
      </c>
      <c r="D101" s="702">
        <v>0.54166666666666663</v>
      </c>
    </row>
    <row r="102" spans="1:8" ht="12.75" customHeight="1">
      <c r="A102" s="743">
        <v>1</v>
      </c>
      <c r="B102" s="335" t="s">
        <v>572</v>
      </c>
      <c r="C102" s="744">
        <f>'1.xi den TT'!H7</f>
        <v>19</v>
      </c>
      <c r="D102" s="745">
        <f>'1.xi den TT'!L7</f>
        <v>19</v>
      </c>
      <c r="E102" s="693"/>
      <c r="F102" s="693"/>
      <c r="G102" s="693"/>
      <c r="H102" s="693"/>
    </row>
    <row r="103" spans="1:8" ht="12.75" hidden="1" customHeight="1" thickBot="1">
      <c r="A103" s="743">
        <v>2</v>
      </c>
      <c r="B103" s="335" t="s">
        <v>573</v>
      </c>
      <c r="C103" s="744">
        <f>'1.xi den TT'!H8</f>
        <v>60.357000000000006</v>
      </c>
      <c r="D103" s="745">
        <f>'1.xi den TT'!L8</f>
        <v>61.006000000000007</v>
      </c>
      <c r="E103" s="693"/>
      <c r="F103" s="693"/>
      <c r="G103" s="693"/>
      <c r="H103" s="693"/>
    </row>
    <row r="104" spans="1:8" ht="12.75" hidden="1" customHeight="1" thickBot="1">
      <c r="A104" s="743">
        <v>3</v>
      </c>
      <c r="B104" s="335" t="s">
        <v>574</v>
      </c>
      <c r="C104" s="744">
        <f>'1.xi den TT'!H9</f>
        <v>62.304000000000002</v>
      </c>
      <c r="D104" s="745">
        <f>'1.xi den TT'!L9</f>
        <v>62.952999999999996</v>
      </c>
      <c r="E104" s="693"/>
      <c r="F104" s="693"/>
      <c r="G104" s="693"/>
      <c r="H104" s="693"/>
    </row>
    <row r="105" spans="1:8" ht="12.75" hidden="1" customHeight="1" thickBot="1">
      <c r="A105" s="743">
        <v>4</v>
      </c>
      <c r="B105" s="335" t="s">
        <v>576</v>
      </c>
      <c r="C105" s="744">
        <f>'1.xi den TT'!H10</f>
        <v>0</v>
      </c>
      <c r="D105" s="745">
        <f>'1.xi den TT'!L10</f>
        <v>0</v>
      </c>
      <c r="E105" s="693"/>
      <c r="F105" s="693"/>
      <c r="G105" s="693"/>
      <c r="H105" s="693"/>
    </row>
    <row r="106" spans="1:8" ht="12.75" hidden="1" customHeight="1" thickBot="1">
      <c r="A106" s="743">
        <v>5</v>
      </c>
      <c r="B106" s="748" t="s">
        <v>578</v>
      </c>
      <c r="C106" s="744">
        <f>'1.xi den TT'!H11</f>
        <v>1.2</v>
      </c>
      <c r="D106" s="745">
        <f>'1.xi den TT'!L11</f>
        <v>0.96</v>
      </c>
      <c r="E106" s="693"/>
      <c r="F106" s="693"/>
      <c r="G106" s="693"/>
      <c r="H106" s="693"/>
    </row>
    <row r="107" spans="1:8" ht="12.75" hidden="1" customHeight="1" thickBot="1">
      <c r="A107" s="743">
        <v>6</v>
      </c>
      <c r="B107" s="748" t="s">
        <v>580</v>
      </c>
      <c r="C107" s="744">
        <f>'1.xi den TT'!H12</f>
        <v>24.7</v>
      </c>
      <c r="D107" s="745">
        <f>'1.xi den TT'!L12</f>
        <v>24.2</v>
      </c>
      <c r="E107" s="693"/>
      <c r="F107" s="693"/>
      <c r="G107" s="693"/>
      <c r="H107" s="693"/>
    </row>
    <row r="108" spans="1:8" ht="12.75" hidden="1" customHeight="1" thickBot="1">
      <c r="A108" s="743">
        <v>7</v>
      </c>
      <c r="B108" s="748" t="s">
        <v>582</v>
      </c>
      <c r="C108" s="744">
        <f>'1.xi den TT'!H13</f>
        <v>8.8000000000000007</v>
      </c>
      <c r="D108" s="745">
        <f>'1.xi den TT'!L13</f>
        <v>9</v>
      </c>
      <c r="E108" s="693"/>
      <c r="F108" s="693"/>
      <c r="G108" s="693"/>
      <c r="H108" s="693"/>
    </row>
    <row r="109" spans="1:8" ht="12.75" hidden="1" customHeight="1" thickBot="1">
      <c r="A109" s="743">
        <v>8</v>
      </c>
      <c r="B109" s="335" t="s">
        <v>584</v>
      </c>
      <c r="C109" s="744">
        <f>'1.xi den TT'!H14</f>
        <v>7.5</v>
      </c>
      <c r="D109" s="745">
        <f>'1.xi den TT'!L14</f>
        <v>7.8</v>
      </c>
      <c r="E109" s="693"/>
      <c r="F109" s="693"/>
      <c r="G109" s="693"/>
      <c r="H109" s="693"/>
    </row>
    <row r="110" spans="1:8" ht="12.75" hidden="1" customHeight="1" thickBot="1">
      <c r="A110" s="743">
        <v>9</v>
      </c>
      <c r="B110" s="748" t="s">
        <v>774</v>
      </c>
      <c r="C110" s="744">
        <f>'1.xi den TT'!H15</f>
        <v>5.6</v>
      </c>
      <c r="D110" s="745">
        <f>'1.xi den TT'!L15</f>
        <v>5.5</v>
      </c>
      <c r="E110" s="693"/>
      <c r="F110" s="693"/>
      <c r="G110" s="693"/>
      <c r="H110" s="693"/>
    </row>
    <row r="111" spans="1:8" ht="12.75" hidden="1" customHeight="1" thickBot="1">
      <c r="A111" s="749">
        <v>10</v>
      </c>
      <c r="B111" s="750" t="s">
        <v>775</v>
      </c>
      <c r="C111" s="744" t="str">
        <f>'1.xi den TT'!H17</f>
        <v/>
      </c>
      <c r="D111" s="745" t="str">
        <f>'1.xi den TT'!L17</f>
        <v>\</v>
      </c>
      <c r="E111" s="693"/>
      <c r="F111" s="693"/>
      <c r="G111" s="693"/>
      <c r="H111" s="693"/>
    </row>
    <row r="112" spans="1:8" ht="12.75" hidden="1" customHeight="1" thickBot="1">
      <c r="A112" s="749">
        <v>11</v>
      </c>
      <c r="B112" s="750" t="s">
        <v>776</v>
      </c>
      <c r="C112" s="744" t="str">
        <f>'1.xi den TT'!H18</f>
        <v/>
      </c>
      <c r="D112" s="745" t="str">
        <f>'1.xi den TT'!L18</f>
        <v>\</v>
      </c>
      <c r="E112" s="693"/>
      <c r="F112" s="693"/>
      <c r="G112" s="693"/>
      <c r="H112" s="693"/>
    </row>
    <row r="113" spans="1:8" ht="12.75" hidden="1" customHeight="1" thickBot="1">
      <c r="A113" s="749">
        <v>12</v>
      </c>
      <c r="B113" s="750" t="s">
        <v>380</v>
      </c>
      <c r="C113" s="744" t="str">
        <f>'1.xi den TT'!H21</f>
        <v/>
      </c>
      <c r="D113" s="745" t="str">
        <f>'1.xi den TT'!L21</f>
        <v>\</v>
      </c>
      <c r="E113" s="693"/>
      <c r="F113" s="693"/>
      <c r="G113" s="693"/>
      <c r="H113" s="693"/>
    </row>
    <row r="114" spans="1:8" ht="12.75" hidden="1" customHeight="1">
      <c r="A114" s="749">
        <v>13</v>
      </c>
      <c r="B114" s="750" t="s">
        <v>383</v>
      </c>
      <c r="C114" s="744" t="str">
        <f>'1.xi den TT'!H22</f>
        <v/>
      </c>
      <c r="D114" s="745" t="str">
        <f>'1.xi den TT'!L22</f>
        <v>\</v>
      </c>
      <c r="E114" s="693"/>
      <c r="F114" s="693"/>
      <c r="G114" s="693"/>
      <c r="H114" s="693"/>
    </row>
    <row r="115" spans="1:8" ht="12.75" hidden="1" customHeight="1">
      <c r="A115" s="333"/>
      <c r="B115" s="751" t="s">
        <v>110</v>
      </c>
      <c r="C115" s="752" t="s">
        <v>158</v>
      </c>
      <c r="D115" s="753"/>
      <c r="E115" s="693"/>
      <c r="F115" s="693"/>
      <c r="G115" s="693"/>
      <c r="H115" s="693"/>
    </row>
    <row r="116" spans="1:8" ht="12.75" hidden="1" customHeight="1">
      <c r="A116" s="487" t="s">
        <v>7</v>
      </c>
      <c r="B116" s="751" t="s">
        <v>62</v>
      </c>
      <c r="C116" s="754">
        <v>0.375</v>
      </c>
      <c r="D116" s="755">
        <v>0.54166666666666663</v>
      </c>
      <c r="E116" s="693"/>
      <c r="F116" s="693"/>
      <c r="G116" s="693"/>
      <c r="H116" s="693"/>
    </row>
    <row r="117" spans="1:8" ht="12.75" hidden="1" customHeight="1">
      <c r="A117" s="487">
        <v>1</v>
      </c>
      <c r="B117" s="142" t="s">
        <v>475</v>
      </c>
      <c r="C117" s="746">
        <f>'1.xi den TT'!H25</f>
        <v>56</v>
      </c>
      <c r="D117" s="747">
        <f>'1.xi den TT'!L25</f>
        <v>58</v>
      </c>
      <c r="E117" s="693"/>
      <c r="F117" s="693"/>
      <c r="G117" s="693"/>
      <c r="H117" s="693"/>
    </row>
    <row r="118" spans="1:8" ht="12.75" hidden="1" customHeight="1">
      <c r="A118" s="487">
        <v>2</v>
      </c>
      <c r="B118" s="142" t="s">
        <v>479</v>
      </c>
      <c r="C118" s="746">
        <f>'1.xi den TT'!H26</f>
        <v>61</v>
      </c>
      <c r="D118" s="747">
        <f>'1.xi den TT'!L26</f>
        <v>61</v>
      </c>
      <c r="E118" s="693"/>
      <c r="F118" s="693"/>
      <c r="G118" s="693"/>
      <c r="H118" s="693"/>
    </row>
    <row r="119" spans="1:8" ht="12.75" hidden="1" customHeight="1">
      <c r="A119" s="487">
        <v>3</v>
      </c>
      <c r="B119" s="142" t="s">
        <v>481</v>
      </c>
      <c r="C119" s="746">
        <f>'1.xi den TT'!H27</f>
        <v>58</v>
      </c>
      <c r="D119" s="747">
        <f>'1.xi den TT'!L27</f>
        <v>58</v>
      </c>
      <c r="E119" s="693"/>
      <c r="F119" s="693"/>
      <c r="G119" s="693"/>
      <c r="H119" s="693"/>
    </row>
    <row r="120" spans="1:8" ht="12.75" hidden="1" customHeight="1">
      <c r="A120" s="487">
        <v>4</v>
      </c>
      <c r="B120" s="142" t="s">
        <v>512</v>
      </c>
      <c r="C120" s="746">
        <f>'1.xi den TT'!H28</f>
        <v>40</v>
      </c>
      <c r="D120" s="747">
        <f>'1.xi den TT'!L28</f>
        <v>42</v>
      </c>
      <c r="E120" s="693"/>
      <c r="F120" s="693"/>
      <c r="G120" s="693"/>
      <c r="H120" s="693"/>
    </row>
    <row r="121" spans="1:8" ht="12.75" hidden="1" customHeight="1">
      <c r="A121" s="487">
        <v>5</v>
      </c>
      <c r="B121" s="142" t="s">
        <v>777</v>
      </c>
      <c r="C121" s="746">
        <f>'1.xi den TT'!H29</f>
        <v>30</v>
      </c>
      <c r="D121" s="747">
        <f>'1.xi den TT'!L29</f>
        <v>29</v>
      </c>
      <c r="E121" s="693"/>
      <c r="F121" s="693"/>
      <c r="G121" s="693"/>
      <c r="H121" s="693"/>
    </row>
    <row r="122" spans="1:8" ht="12.75" hidden="1" customHeight="1">
      <c r="A122" s="487">
        <v>6</v>
      </c>
      <c r="B122" s="142" t="s">
        <v>520</v>
      </c>
      <c r="C122" s="746">
        <f>'1.xi den TT'!I31</f>
        <v>171</v>
      </c>
      <c r="D122" s="747">
        <f>'1.xi den TT'!M31</f>
        <v>178</v>
      </c>
      <c r="E122" s="693"/>
      <c r="F122" s="693"/>
      <c r="G122" s="693"/>
      <c r="H122" s="693"/>
    </row>
    <row r="123" spans="1:8" ht="12.75" hidden="1" customHeight="1">
      <c r="A123" s="487">
        <v>1</v>
      </c>
      <c r="B123" s="756" t="s">
        <v>778</v>
      </c>
      <c r="C123" s="754">
        <v>0.375</v>
      </c>
      <c r="D123" s="755">
        <v>0.54166666666666663</v>
      </c>
      <c r="E123" s="693"/>
      <c r="F123" s="693"/>
      <c r="G123" s="693"/>
      <c r="H123" s="693"/>
    </row>
    <row r="124" spans="1:8" ht="12.75" hidden="1" customHeight="1">
      <c r="A124" s="487">
        <v>2</v>
      </c>
      <c r="B124" s="757" t="s">
        <v>522</v>
      </c>
      <c r="C124" s="746">
        <f>'1.xi den TT'!H33</f>
        <v>0</v>
      </c>
      <c r="D124" s="747">
        <f>'1.xi den TT'!L33</f>
        <v>0</v>
      </c>
      <c r="E124" s="693"/>
      <c r="F124" s="693"/>
      <c r="G124" s="693"/>
      <c r="H124" s="693"/>
    </row>
    <row r="125" spans="1:8" ht="12.75" hidden="1" customHeight="1">
      <c r="A125" s="758"/>
      <c r="B125" s="759" t="s">
        <v>525</v>
      </c>
      <c r="C125" s="746">
        <f>'1.xi den TT'!H34</f>
        <v>0</v>
      </c>
      <c r="D125" s="747">
        <f>'1.xi den TT'!L34</f>
        <v>0</v>
      </c>
      <c r="E125" s="693"/>
      <c r="F125" s="693"/>
      <c r="G125" s="693"/>
      <c r="H125" s="693"/>
    </row>
    <row r="126" spans="1:8" ht="12.75" hidden="1" customHeight="1">
      <c r="A126" s="760"/>
      <c r="B126" s="761"/>
      <c r="C126" s="762" t="s">
        <v>157</v>
      </c>
      <c r="D126" s="753"/>
      <c r="E126" s="693"/>
      <c r="F126" s="693"/>
      <c r="G126" s="693"/>
      <c r="H126" s="693"/>
    </row>
    <row r="127" spans="1:8" ht="12.75" hidden="1" customHeight="1">
      <c r="A127" s="763"/>
      <c r="B127" s="764"/>
      <c r="C127" s="754">
        <v>0.375</v>
      </c>
      <c r="D127" s="755">
        <v>0.54166666666666663</v>
      </c>
      <c r="E127" s="693"/>
      <c r="F127" s="693"/>
      <c r="G127" s="693"/>
      <c r="H127" s="693"/>
    </row>
    <row r="128" spans="1:8" ht="12.75" hidden="1" customHeight="1">
      <c r="A128" s="743">
        <v>1</v>
      </c>
      <c r="B128" s="335" t="s">
        <v>572</v>
      </c>
      <c r="C128" s="765">
        <f>'1.xi den TT'!J7</f>
        <v>0</v>
      </c>
      <c r="D128" s="766">
        <f>'1.xi den TT'!N7</f>
        <v>0</v>
      </c>
      <c r="E128" s="693"/>
      <c r="F128" s="693"/>
      <c r="G128" s="693"/>
      <c r="H128" s="693"/>
    </row>
    <row r="129" spans="1:8" ht="12.75" hidden="1" customHeight="1">
      <c r="A129" s="743">
        <v>2</v>
      </c>
      <c r="B129" s="335" t="s">
        <v>573</v>
      </c>
      <c r="C129" s="765">
        <f>'1.xi den TT'!J8</f>
        <v>0</v>
      </c>
      <c r="D129" s="766">
        <f>'1.xi den TT'!N8</f>
        <v>0</v>
      </c>
      <c r="E129" s="693"/>
      <c r="F129" s="693"/>
      <c r="G129" s="693"/>
      <c r="H129" s="693"/>
    </row>
    <row r="130" spans="1:8" ht="12.75" hidden="1" customHeight="1">
      <c r="A130" s="743">
        <v>3</v>
      </c>
      <c r="B130" s="335" t="s">
        <v>574</v>
      </c>
      <c r="C130" s="765">
        <f>'1.xi den TT'!J9</f>
        <v>0</v>
      </c>
      <c r="D130" s="766">
        <f>'1.xi den TT'!N9</f>
        <v>0</v>
      </c>
      <c r="E130" s="693"/>
      <c r="F130" s="693"/>
      <c r="G130" s="693"/>
      <c r="H130" s="693"/>
    </row>
    <row r="131" spans="1:8" ht="12.75" hidden="1" customHeight="1">
      <c r="A131" s="743">
        <v>4</v>
      </c>
      <c r="B131" s="335" t="s">
        <v>576</v>
      </c>
      <c r="C131" s="765">
        <f>'1.xi den TT'!J10</f>
        <v>124.63199999999999</v>
      </c>
      <c r="D131" s="766">
        <f>'1.xi den TT'!N10</f>
        <v>124.63199999999999</v>
      </c>
      <c r="E131" s="693"/>
      <c r="F131" s="693"/>
      <c r="G131" s="693"/>
      <c r="H131" s="693"/>
    </row>
    <row r="132" spans="1:8" ht="12.75" hidden="1" customHeight="1">
      <c r="A132" s="743">
        <v>5</v>
      </c>
      <c r="B132" s="748" t="s">
        <v>578</v>
      </c>
      <c r="C132" s="765">
        <f>'1.xi den TT'!J11</f>
        <v>0</v>
      </c>
      <c r="D132" s="766">
        <f>'1.xi den TT'!N11</f>
        <v>0</v>
      </c>
      <c r="E132" s="693"/>
      <c r="F132" s="693"/>
      <c r="G132" s="693"/>
      <c r="H132" s="693"/>
    </row>
    <row r="133" spans="1:8" ht="12.75" hidden="1" customHeight="1">
      <c r="A133" s="743">
        <v>6</v>
      </c>
      <c r="B133" s="748" t="s">
        <v>580</v>
      </c>
      <c r="C133" s="765">
        <f>'1.xi den TT'!J12</f>
        <v>0</v>
      </c>
      <c r="D133" s="766">
        <f>'1.xi den TT'!N12</f>
        <v>0</v>
      </c>
      <c r="E133" s="693"/>
      <c r="F133" s="693"/>
      <c r="G133" s="693"/>
      <c r="H133" s="693"/>
    </row>
    <row r="134" spans="1:8" ht="12.75" hidden="1" customHeight="1">
      <c r="A134" s="743">
        <v>7</v>
      </c>
      <c r="B134" s="748" t="s">
        <v>582</v>
      </c>
      <c r="C134" s="765">
        <f>'1.xi den TT'!J13</f>
        <v>0</v>
      </c>
      <c r="D134" s="766">
        <f>'1.xi den TT'!N13</f>
        <v>0</v>
      </c>
      <c r="E134" s="693"/>
      <c r="F134" s="693"/>
      <c r="G134" s="693"/>
      <c r="H134" s="693"/>
    </row>
    <row r="135" spans="1:8" ht="12.75" hidden="1" customHeight="1">
      <c r="A135" s="743">
        <v>8</v>
      </c>
      <c r="B135" s="335" t="s">
        <v>584</v>
      </c>
      <c r="C135" s="765">
        <f>'1.xi den TT'!J14</f>
        <v>0</v>
      </c>
      <c r="D135" s="766">
        <f>'1.xi den TT'!N14</f>
        <v>0</v>
      </c>
      <c r="E135" s="693"/>
      <c r="F135" s="693"/>
      <c r="G135" s="693"/>
      <c r="H135" s="693"/>
    </row>
    <row r="136" spans="1:8" ht="12.75" hidden="1" customHeight="1">
      <c r="A136" s="743">
        <v>9</v>
      </c>
      <c r="B136" s="748" t="s">
        <v>774</v>
      </c>
      <c r="C136" s="765">
        <f>'1.xi den TT'!J15</f>
        <v>0</v>
      </c>
      <c r="D136" s="766">
        <f>'1.xi den TT'!N15</f>
        <v>0</v>
      </c>
      <c r="E136" s="693"/>
      <c r="F136" s="693"/>
      <c r="G136" s="693"/>
      <c r="H136" s="693"/>
    </row>
    <row r="137" spans="1:8" ht="12.75" hidden="1" customHeight="1">
      <c r="A137" s="749">
        <v>10</v>
      </c>
      <c r="B137" s="750" t="s">
        <v>775</v>
      </c>
      <c r="C137" s="765" t="str">
        <f>'1.xi den TT'!J17</f>
        <v/>
      </c>
      <c r="D137" s="766">
        <f>'1.xi den TT'!N17</f>
        <v>0</v>
      </c>
      <c r="E137" s="693"/>
      <c r="F137" s="693"/>
      <c r="G137" s="693"/>
      <c r="H137" s="693"/>
    </row>
    <row r="138" spans="1:8" ht="12.75" hidden="1" customHeight="1">
      <c r="A138" s="749">
        <v>11</v>
      </c>
      <c r="B138" s="750" t="s">
        <v>776</v>
      </c>
      <c r="C138" s="765" t="str">
        <f>'1.xi den TT'!J18</f>
        <v/>
      </c>
      <c r="D138" s="766">
        <f>'1.xi den TT'!N18</f>
        <v>0</v>
      </c>
      <c r="E138" s="693"/>
      <c r="F138" s="693"/>
      <c r="G138" s="693"/>
      <c r="H138" s="693"/>
    </row>
    <row r="139" spans="1:8" ht="12.75" hidden="1" customHeight="1">
      <c r="A139" s="749">
        <v>12</v>
      </c>
      <c r="B139" s="750" t="s">
        <v>380</v>
      </c>
      <c r="C139" s="765"/>
      <c r="D139" s="766"/>
      <c r="E139" s="693"/>
      <c r="F139" s="693"/>
      <c r="G139" s="693"/>
      <c r="H139" s="693"/>
    </row>
    <row r="140" spans="1:8" ht="12.75" hidden="1" customHeight="1">
      <c r="A140" s="749">
        <v>13</v>
      </c>
      <c r="B140" s="750" t="s">
        <v>383</v>
      </c>
      <c r="C140" s="765"/>
      <c r="D140" s="766"/>
      <c r="E140" s="693"/>
      <c r="F140" s="693"/>
      <c r="G140" s="693"/>
      <c r="H140" s="693"/>
    </row>
    <row r="141" spans="1:8" ht="12.75" customHeight="1" thickBot="1">
      <c r="A141" s="700"/>
      <c r="B141" s="409"/>
      <c r="C141" s="767"/>
      <c r="D141" s="768"/>
      <c r="E141" s="693"/>
      <c r="F141" s="693"/>
      <c r="G141" s="693"/>
      <c r="H141" s="693"/>
    </row>
    <row r="142" spans="1:8" ht="12.75" customHeight="1">
      <c r="A142" s="700"/>
      <c r="B142" s="409"/>
      <c r="E142" s="693"/>
      <c r="F142" s="693"/>
      <c r="G142" s="693"/>
      <c r="H142" s="693"/>
    </row>
    <row r="144" spans="1:8" ht="12.75" customHeight="1">
      <c r="A144" s="3613" t="s">
        <v>779</v>
      </c>
      <c r="B144" s="3614"/>
      <c r="E144" s="693"/>
      <c r="F144" s="693"/>
      <c r="G144" s="693"/>
      <c r="H144" s="693"/>
    </row>
    <row r="145" spans="1:8" ht="12.75" customHeight="1">
      <c r="A145" s="3615" t="s">
        <v>7</v>
      </c>
      <c r="B145" s="3617" t="s">
        <v>77</v>
      </c>
      <c r="C145" s="699" t="s">
        <v>156</v>
      </c>
      <c r="D145" s="699" t="s">
        <v>156</v>
      </c>
      <c r="E145" s="693"/>
      <c r="F145" s="693"/>
      <c r="G145" s="693"/>
      <c r="H145" s="693"/>
    </row>
    <row r="146" spans="1:8" ht="12.75" customHeight="1" thickBot="1">
      <c r="A146" s="3616"/>
      <c r="B146" s="3618"/>
      <c r="C146" s="702">
        <v>0.33333333333333331</v>
      </c>
      <c r="D146" s="702">
        <v>0.83333333333333337</v>
      </c>
      <c r="E146" s="693"/>
      <c r="F146" s="693"/>
      <c r="G146" s="693"/>
      <c r="H146" s="693"/>
    </row>
    <row r="147" spans="1:8" ht="12.75" customHeight="1">
      <c r="A147" s="769">
        <v>1</v>
      </c>
      <c r="B147" s="770" t="s">
        <v>529</v>
      </c>
      <c r="C147" s="744">
        <f>'R.GUI MAIL'!H89</f>
        <v>24.964000000000002</v>
      </c>
      <c r="D147" s="745">
        <f>'R.GUI MAIL'!N89</f>
        <v>22.751999999999999</v>
      </c>
      <c r="E147" s="693"/>
      <c r="F147" s="693"/>
      <c r="G147" s="693"/>
      <c r="H147" s="693"/>
    </row>
    <row r="148" spans="1:8" ht="12.75" hidden="1" customHeight="1" thickBot="1">
      <c r="A148" s="769">
        <v>2</v>
      </c>
      <c r="B148" s="770" t="s">
        <v>533</v>
      </c>
      <c r="C148" s="744">
        <f>'R.GUI MAIL'!H90</f>
        <v>26.86</v>
      </c>
      <c r="D148" s="747">
        <f>'R.GUI MAIL'!N90</f>
        <v>24.964000000000002</v>
      </c>
      <c r="E148" s="693"/>
      <c r="F148" s="693"/>
      <c r="G148" s="693"/>
      <c r="H148" s="693"/>
    </row>
    <row r="149" spans="1:8" ht="12.75" hidden="1" customHeight="1" thickBot="1">
      <c r="A149" s="769">
        <v>3</v>
      </c>
      <c r="B149" s="770" t="s">
        <v>535</v>
      </c>
      <c r="C149" s="744">
        <f>'R.GUI MAIL'!H91</f>
        <v>218.42000000000002</v>
      </c>
      <c r="D149" s="747">
        <f>'R.GUI MAIL'!N91</f>
        <v>228.20000000000002</v>
      </c>
      <c r="E149" s="693"/>
      <c r="F149" s="693"/>
      <c r="G149" s="693"/>
      <c r="H149" s="693"/>
    </row>
    <row r="150" spans="1:8" ht="12.75" hidden="1" customHeight="1" thickBot="1">
      <c r="A150" s="769">
        <v>4</v>
      </c>
      <c r="B150" s="336" t="s">
        <v>416</v>
      </c>
      <c r="C150" s="744">
        <f>'R.GUI MAIL'!H92</f>
        <v>145</v>
      </c>
      <c r="D150" s="747">
        <f>'R.GUI MAIL'!N92</f>
        <v>153.75</v>
      </c>
      <c r="E150" s="693"/>
      <c r="F150" s="693"/>
      <c r="G150" s="693"/>
      <c r="H150" s="693"/>
    </row>
    <row r="151" spans="1:8" ht="12.75" hidden="1" customHeight="1" thickBot="1">
      <c r="A151" s="769">
        <v>5</v>
      </c>
      <c r="B151" s="336" t="s">
        <v>417</v>
      </c>
      <c r="C151" s="744">
        <f>'R.GUI MAIL'!H93</f>
        <v>4.25</v>
      </c>
      <c r="D151" s="747">
        <f>'R.GUI MAIL'!N93</f>
        <v>5.2500000000000018</v>
      </c>
      <c r="E151" s="693"/>
      <c r="F151" s="693"/>
      <c r="G151" s="693"/>
      <c r="H151" s="693"/>
    </row>
    <row r="152" spans="1:8" ht="12.75" hidden="1" customHeight="1" thickBot="1">
      <c r="A152" s="769">
        <v>6</v>
      </c>
      <c r="B152" s="341" t="s">
        <v>418</v>
      </c>
      <c r="C152" s="744">
        <f>'R.GUI MAIL'!H94</f>
        <v>140</v>
      </c>
      <c r="D152" s="747">
        <f>'R.GUI MAIL'!N94</f>
        <v>145</v>
      </c>
      <c r="E152" s="693"/>
      <c r="F152" s="693"/>
      <c r="G152" s="693"/>
      <c r="H152" s="693"/>
    </row>
    <row r="153" spans="1:8" ht="12.75" hidden="1" customHeight="1" thickBot="1">
      <c r="A153" s="769">
        <v>7</v>
      </c>
      <c r="B153" s="341" t="s">
        <v>419</v>
      </c>
      <c r="C153" s="744">
        <f>'R.GUI MAIL'!H95</f>
        <v>3.9999999999999991</v>
      </c>
      <c r="D153" s="747">
        <f>'R.GUI MAIL'!N95</f>
        <v>5</v>
      </c>
      <c r="E153" s="693"/>
      <c r="F153" s="693"/>
      <c r="G153" s="693"/>
      <c r="H153" s="693"/>
    </row>
    <row r="154" spans="1:8" ht="12.75" hidden="1" customHeight="1" thickBot="1">
      <c r="A154" s="769">
        <v>8</v>
      </c>
      <c r="B154" s="341" t="s">
        <v>420</v>
      </c>
      <c r="C154" s="744">
        <f>'R.GUI MAIL'!H96</f>
        <v>128.75</v>
      </c>
      <c r="D154" s="747">
        <f>'R.GUI MAIL'!N96</f>
        <v>131.25</v>
      </c>
      <c r="E154" s="693"/>
      <c r="F154" s="693"/>
      <c r="G154" s="693"/>
      <c r="H154" s="693"/>
    </row>
    <row r="155" spans="1:8" ht="12.75" hidden="1" customHeight="1" thickBot="1">
      <c r="A155" s="769">
        <v>9</v>
      </c>
      <c r="B155" s="341" t="s">
        <v>421</v>
      </c>
      <c r="C155" s="744">
        <f>'R.GUI MAIL'!H97</f>
        <v>4.875</v>
      </c>
      <c r="D155" s="747">
        <f>'R.GUI MAIL'!N97</f>
        <v>4.125</v>
      </c>
      <c r="E155" s="693"/>
      <c r="F155" s="693"/>
      <c r="G155" s="693"/>
      <c r="H155" s="693"/>
    </row>
    <row r="156" spans="1:8" ht="12.75" hidden="1" customHeight="1" thickBot="1">
      <c r="A156" s="3606">
        <v>10</v>
      </c>
      <c r="B156" s="3229" t="s">
        <v>780</v>
      </c>
      <c r="C156" s="744">
        <f>'R.GUI MAIL'!H98</f>
        <v>10.607999999999999</v>
      </c>
      <c r="D156" s="747">
        <f>'R.GUI MAIL'!N98</f>
        <v>10.192000000000002</v>
      </c>
      <c r="E156" s="693"/>
      <c r="F156" s="693"/>
      <c r="G156" s="693"/>
      <c r="H156" s="693"/>
    </row>
    <row r="157" spans="1:8" ht="12.75" hidden="1" customHeight="1" thickBot="1">
      <c r="A157" s="3607"/>
      <c r="B157" s="3608"/>
      <c r="C157" s="744">
        <f>'R.GUI MAIL'!H99</f>
        <v>6.2</v>
      </c>
      <c r="D157" s="747">
        <f>'R.GUI MAIL'!N99</f>
        <v>6.3</v>
      </c>
      <c r="E157" s="693"/>
      <c r="F157" s="693"/>
      <c r="G157" s="693"/>
      <c r="H157" s="693"/>
    </row>
    <row r="158" spans="1:8" ht="12.75" hidden="1" customHeight="1" thickBot="1">
      <c r="A158" s="769">
        <v>12</v>
      </c>
      <c r="B158" s="771" t="s">
        <v>551</v>
      </c>
      <c r="C158" s="744">
        <f>'R.GUI MAIL'!H100</f>
        <v>0</v>
      </c>
      <c r="D158" s="747">
        <f>'R.GUI MAIL'!N100</f>
        <v>0</v>
      </c>
      <c r="E158" s="693"/>
      <c r="F158" s="693"/>
      <c r="G158" s="693"/>
      <c r="H158" s="693"/>
    </row>
    <row r="159" spans="1:8" ht="12.75" hidden="1" customHeight="1" thickBot="1">
      <c r="A159" s="769">
        <v>13</v>
      </c>
      <c r="B159" s="772" t="s">
        <v>553</v>
      </c>
      <c r="C159" s="744">
        <f>'R.GUI MAIL'!H101</f>
        <v>0</v>
      </c>
      <c r="D159" s="747">
        <f>'R.GUI MAIL'!N101</f>
        <v>0</v>
      </c>
      <c r="E159" s="693"/>
      <c r="F159" s="693"/>
      <c r="G159" s="693"/>
      <c r="H159" s="693"/>
    </row>
    <row r="160" spans="1:8" ht="12.75" hidden="1" customHeight="1">
      <c r="A160" s="769">
        <v>14</v>
      </c>
      <c r="B160" s="773" t="s">
        <v>555</v>
      </c>
      <c r="C160" s="744">
        <f>'R.GUI MAIL'!H102</f>
        <v>5.6</v>
      </c>
      <c r="D160" s="747">
        <f>'R.GUI MAIL'!N102</f>
        <v>5.7</v>
      </c>
      <c r="E160" s="693"/>
      <c r="F160" s="693"/>
      <c r="G160" s="693"/>
      <c r="H160" s="693"/>
    </row>
    <row r="161" spans="1:8" ht="12.75" hidden="1" customHeight="1">
      <c r="A161" s="769"/>
      <c r="B161" s="774" t="s">
        <v>74</v>
      </c>
      <c r="C161" s="752" t="s">
        <v>158</v>
      </c>
      <c r="D161" s="775" t="s">
        <v>158</v>
      </c>
      <c r="E161" s="693"/>
      <c r="F161" s="693"/>
      <c r="G161" s="693"/>
      <c r="H161" s="693"/>
    </row>
    <row r="162" spans="1:8" ht="12.75" hidden="1" customHeight="1">
      <c r="A162" s="769" t="s">
        <v>7</v>
      </c>
      <c r="B162" s="776" t="s">
        <v>62</v>
      </c>
      <c r="C162" s="754">
        <v>0.33333333333333331</v>
      </c>
      <c r="D162" s="755">
        <v>0.375</v>
      </c>
      <c r="E162" s="693"/>
      <c r="F162" s="693"/>
      <c r="G162" s="693"/>
      <c r="H162" s="693"/>
    </row>
    <row r="163" spans="1:8" ht="12.75" hidden="1" customHeight="1">
      <c r="A163" s="769">
        <v>1</v>
      </c>
      <c r="B163" s="770" t="s">
        <v>529</v>
      </c>
      <c r="C163" s="746">
        <f>'R.GUI MAIL'!H105</f>
        <v>61</v>
      </c>
      <c r="D163" s="747">
        <f>'R.GUI MAIL'!N105</f>
        <v>61</v>
      </c>
      <c r="E163" s="693"/>
      <c r="F163" s="693"/>
      <c r="G163" s="693"/>
      <c r="H163" s="693"/>
    </row>
    <row r="164" spans="1:8" ht="12.75" hidden="1" customHeight="1">
      <c r="A164" s="769">
        <v>2</v>
      </c>
      <c r="B164" s="770" t="s">
        <v>533</v>
      </c>
      <c r="C164" s="746">
        <f>'R.GUI MAIL'!H106</f>
        <v>65</v>
      </c>
      <c r="D164" s="747">
        <f>'R.GUI MAIL'!N106</f>
        <v>65</v>
      </c>
      <c r="E164" s="693"/>
      <c r="F164" s="693"/>
      <c r="G164" s="693"/>
      <c r="H164" s="693"/>
    </row>
    <row r="165" spans="1:8" ht="12.75" hidden="1" customHeight="1">
      <c r="A165" s="769">
        <v>3</v>
      </c>
      <c r="B165" s="336" t="s">
        <v>781</v>
      </c>
      <c r="C165" s="746">
        <f>'R.GUI MAIL'!H107</f>
        <v>24</v>
      </c>
      <c r="D165" s="747">
        <f>'R.GUI MAIL'!N107</f>
        <v>25</v>
      </c>
      <c r="E165" s="693"/>
      <c r="F165" s="693"/>
      <c r="G165" s="693"/>
      <c r="H165" s="693"/>
    </row>
    <row r="166" spans="1:8" ht="12.75" hidden="1" customHeight="1">
      <c r="A166" s="769">
        <v>4</v>
      </c>
      <c r="B166" s="336" t="s">
        <v>782</v>
      </c>
      <c r="C166" s="746">
        <f>'R.GUI MAIL'!H108</f>
        <v>26</v>
      </c>
      <c r="D166" s="747">
        <f>'R.GUI MAIL'!N108</f>
        <v>26</v>
      </c>
      <c r="E166" s="693"/>
      <c r="F166" s="693"/>
      <c r="G166" s="693"/>
      <c r="H166" s="693"/>
    </row>
    <row r="167" spans="1:8" ht="12.75" hidden="1" customHeight="1">
      <c r="A167" s="769">
        <v>5</v>
      </c>
      <c r="B167" s="336" t="s">
        <v>783</v>
      </c>
      <c r="C167" s="746">
        <f>'R.GUI MAIL'!H109</f>
        <v>22</v>
      </c>
      <c r="D167" s="747">
        <f>'R.GUI MAIL'!N109</f>
        <v>22</v>
      </c>
      <c r="E167" s="693"/>
      <c r="F167" s="693"/>
      <c r="G167" s="693"/>
      <c r="H167" s="693"/>
    </row>
    <row r="168" spans="1:8" ht="12.75" hidden="1" customHeight="1">
      <c r="A168" s="769">
        <v>6</v>
      </c>
      <c r="B168" s="336" t="s">
        <v>780</v>
      </c>
      <c r="C168" s="746">
        <f>'R.GUI MAIL'!H110</f>
        <v>39</v>
      </c>
      <c r="D168" s="747">
        <f>'R.GUI MAIL'!N110</f>
        <v>39</v>
      </c>
      <c r="E168" s="693"/>
      <c r="F168" s="693"/>
      <c r="G168" s="693"/>
      <c r="H168" s="693"/>
    </row>
    <row r="169" spans="1:8" ht="12.75" hidden="1" customHeight="1">
      <c r="A169" s="769">
        <v>8</v>
      </c>
      <c r="B169" s="771" t="s">
        <v>551</v>
      </c>
      <c r="C169" s="746">
        <f>'R.GUI MAIL'!H111</f>
        <v>0</v>
      </c>
      <c r="D169" s="747">
        <f>'R.GUI MAIL'!N111</f>
        <v>0</v>
      </c>
      <c r="E169" s="693"/>
      <c r="F169" s="693"/>
      <c r="G169" s="693"/>
      <c r="H169" s="693"/>
    </row>
    <row r="170" spans="1:8" ht="12.75" hidden="1" customHeight="1">
      <c r="A170" s="769">
        <v>9</v>
      </c>
      <c r="B170" s="772" t="s">
        <v>553</v>
      </c>
      <c r="C170" s="746">
        <f>'R.GUI MAIL'!H112</f>
        <v>0</v>
      </c>
      <c r="D170" s="747">
        <f>'R.GUI MAIL'!N112</f>
        <v>0</v>
      </c>
      <c r="E170" s="693"/>
      <c r="F170" s="693"/>
      <c r="G170" s="693"/>
      <c r="H170" s="693"/>
    </row>
    <row r="171" spans="1:8" ht="12.75" hidden="1" customHeight="1">
      <c r="A171" s="769">
        <v>10</v>
      </c>
      <c r="B171" s="773" t="s">
        <v>555</v>
      </c>
      <c r="C171" s="746">
        <f>'R.GUI MAIL'!H113</f>
        <v>65</v>
      </c>
      <c r="D171" s="747">
        <f>'R.GUI MAIL'!N113</f>
        <v>65</v>
      </c>
      <c r="E171" s="693"/>
      <c r="F171" s="693"/>
      <c r="G171" s="693"/>
      <c r="H171" s="693"/>
    </row>
    <row r="172" spans="1:8" ht="12.75" hidden="1" customHeight="1">
      <c r="A172" s="769">
        <v>11</v>
      </c>
      <c r="B172" s="770" t="s">
        <v>784</v>
      </c>
      <c r="C172" s="746" t="e">
        <f>'R.GUI MAIL'!#REF!</f>
        <v>#REF!</v>
      </c>
      <c r="D172" s="747" t="e">
        <f>'R.GUI MAIL'!#REF!</f>
        <v>#REF!</v>
      </c>
      <c r="E172" s="693"/>
      <c r="F172" s="693"/>
      <c r="G172" s="693"/>
      <c r="H172" s="693"/>
    </row>
    <row r="173" spans="1:8" ht="12.75" hidden="1" customHeight="1">
      <c r="A173" s="769">
        <v>12</v>
      </c>
      <c r="B173" s="336" t="s">
        <v>567</v>
      </c>
      <c r="C173" s="824">
        <f>'5.ML tt'!G33</f>
        <v>161</v>
      </c>
      <c r="D173" s="825">
        <f>'5.ML tt'!K33</f>
        <v>149</v>
      </c>
      <c r="E173" s="693"/>
      <c r="F173" s="693"/>
      <c r="G173" s="693"/>
      <c r="H173" s="693"/>
    </row>
    <row r="174" spans="1:8" ht="12.75" hidden="1" customHeight="1">
      <c r="A174" s="760"/>
      <c r="B174" s="761"/>
      <c r="C174" s="762" t="s">
        <v>157</v>
      </c>
      <c r="D174" s="753"/>
      <c r="E174" s="693"/>
      <c r="F174" s="693"/>
      <c r="G174" s="693"/>
      <c r="H174" s="693"/>
    </row>
    <row r="175" spans="1:8" ht="12.75" hidden="1" customHeight="1">
      <c r="A175" s="760"/>
      <c r="B175" s="761"/>
      <c r="C175" s="754">
        <v>0.33333333333333331</v>
      </c>
      <c r="D175" s="755"/>
      <c r="E175" s="693"/>
      <c r="F175" s="693"/>
      <c r="G175" s="693"/>
      <c r="H175" s="693"/>
    </row>
    <row r="176" spans="1:8" ht="12.75" hidden="1" customHeight="1">
      <c r="A176" s="769">
        <v>1</v>
      </c>
      <c r="B176" s="770" t="s">
        <v>529</v>
      </c>
      <c r="C176" s="765">
        <f>'R.GUI MAIL'!K89</f>
        <v>5.8751999999996425E-2</v>
      </c>
      <c r="D176" s="766">
        <f>'R.FILE GOC'!Q89</f>
        <v>1.6319999999999999</v>
      </c>
      <c r="E176" s="693"/>
      <c r="F176" s="693"/>
      <c r="G176" s="693"/>
      <c r="H176" s="693"/>
    </row>
    <row r="177" spans="1:8" ht="12.75" hidden="1" customHeight="1">
      <c r="A177" s="769">
        <v>2</v>
      </c>
      <c r="B177" s="770" t="s">
        <v>533</v>
      </c>
      <c r="C177" s="765">
        <f>'R.GUI MAIL'!K90</f>
        <v>0</v>
      </c>
      <c r="D177" s="766">
        <f>'R.FILE GOC'!Q90</f>
        <v>5.8751999999996425E-2</v>
      </c>
      <c r="E177" s="693"/>
      <c r="F177" s="693"/>
      <c r="G177" s="693"/>
      <c r="H177" s="693"/>
    </row>
    <row r="178" spans="1:8" ht="12.75" hidden="1" customHeight="1">
      <c r="A178" s="769">
        <v>3</v>
      </c>
      <c r="B178" s="770" t="s">
        <v>535</v>
      </c>
      <c r="C178" s="765">
        <f>'R.GUI MAIL'!K91</f>
        <v>51.538559999999976</v>
      </c>
      <c r="D178" s="766">
        <f>'R.FILE GOC'!Q91</f>
        <v>0</v>
      </c>
      <c r="E178" s="693"/>
      <c r="F178" s="693"/>
      <c r="G178" s="693"/>
      <c r="H178" s="693"/>
    </row>
    <row r="179" spans="1:8" ht="12.75" hidden="1" customHeight="1">
      <c r="A179" s="769">
        <v>4</v>
      </c>
      <c r="B179" s="336" t="s">
        <v>416</v>
      </c>
      <c r="C179" s="765">
        <f>'R.GUI MAIL'!K92</f>
        <v>0</v>
      </c>
      <c r="D179" s="766">
        <f>'R.FILE GOC'!Q92</f>
        <v>0</v>
      </c>
      <c r="E179" s="693"/>
      <c r="F179" s="693"/>
      <c r="G179" s="693"/>
      <c r="H179" s="693"/>
    </row>
    <row r="180" spans="1:8" ht="12.75" hidden="1" customHeight="1">
      <c r="A180" s="769">
        <v>5</v>
      </c>
      <c r="B180" s="336" t="s">
        <v>417</v>
      </c>
      <c r="C180" s="765">
        <f>'R.GUI MAIL'!K93</f>
        <v>0</v>
      </c>
      <c r="D180" s="766" t="str">
        <f>'R.FILE GOC'!Q93</f>
        <v>N/A</v>
      </c>
      <c r="E180" s="693"/>
      <c r="F180" s="693"/>
      <c r="G180" s="693"/>
      <c r="H180" s="693"/>
    </row>
    <row r="181" spans="1:8" ht="12.75" hidden="1" customHeight="1">
      <c r="A181" s="769">
        <v>6</v>
      </c>
      <c r="B181" s="341" t="s">
        <v>418</v>
      </c>
      <c r="C181" s="765">
        <f>'R.GUI MAIL'!K94</f>
        <v>0</v>
      </c>
      <c r="D181" s="766">
        <f>'R.FILE GOC'!Q94</f>
        <v>0</v>
      </c>
      <c r="E181" s="693"/>
      <c r="F181" s="693"/>
      <c r="G181" s="693"/>
      <c r="H181" s="693"/>
    </row>
    <row r="182" spans="1:8" ht="12.75" hidden="1" customHeight="1">
      <c r="A182" s="769">
        <v>7</v>
      </c>
      <c r="B182" s="341" t="s">
        <v>419</v>
      </c>
      <c r="C182" s="765">
        <f>'R.GUI MAIL'!K95</f>
        <v>0</v>
      </c>
      <c r="D182" s="766" t="str">
        <f>'R.FILE GOC'!Q95</f>
        <v>N/A</v>
      </c>
      <c r="E182" s="693"/>
      <c r="F182" s="693"/>
      <c r="G182" s="693"/>
      <c r="H182" s="693"/>
    </row>
    <row r="183" spans="1:8" ht="12.75" hidden="1" customHeight="1">
      <c r="A183" s="769">
        <v>8</v>
      </c>
      <c r="B183" s="341" t="s">
        <v>420</v>
      </c>
      <c r="C183" s="765">
        <f>'R.GUI MAIL'!K96</f>
        <v>2.16</v>
      </c>
      <c r="D183" s="766">
        <f>'R.FILE GOC'!Q96</f>
        <v>0</v>
      </c>
      <c r="E183" s="693"/>
      <c r="F183" s="693"/>
      <c r="G183" s="693"/>
      <c r="H183" s="693"/>
    </row>
    <row r="184" spans="1:8" ht="12.75" hidden="1" customHeight="1">
      <c r="A184" s="769">
        <v>9</v>
      </c>
      <c r="B184" s="341" t="s">
        <v>421</v>
      </c>
      <c r="C184" s="765">
        <f>'R.GUI MAIL'!K97</f>
        <v>0</v>
      </c>
      <c r="D184" s="766" t="str">
        <f>'R.FILE GOC'!Q97</f>
        <v>N/A</v>
      </c>
      <c r="E184" s="693"/>
      <c r="F184" s="693"/>
      <c r="G184" s="693"/>
      <c r="H184" s="693"/>
    </row>
    <row r="185" spans="1:8" ht="12.75" hidden="1" customHeight="1">
      <c r="A185" s="3606">
        <v>10</v>
      </c>
      <c r="B185" s="3229" t="s">
        <v>780</v>
      </c>
      <c r="C185" s="765">
        <f>'R.GUI MAIL'!K98</f>
        <v>0</v>
      </c>
      <c r="D185" s="766">
        <f>'R.FILE GOC'!Q98</f>
        <v>0</v>
      </c>
      <c r="E185" s="693"/>
      <c r="F185" s="693"/>
      <c r="G185" s="693"/>
      <c r="H185" s="693"/>
    </row>
    <row r="186" spans="1:8" ht="12.75" hidden="1" customHeight="1">
      <c r="A186" s="3607"/>
      <c r="B186" s="3608"/>
      <c r="C186" s="765">
        <f>'R.GUI MAIL'!K99</f>
        <v>0</v>
      </c>
      <c r="D186" s="766">
        <f>'R.FILE GOC'!Q99</f>
        <v>0</v>
      </c>
      <c r="E186" s="693"/>
      <c r="F186" s="693"/>
      <c r="G186" s="693"/>
      <c r="H186" s="693"/>
    </row>
    <row r="187" spans="1:8" ht="12.75" customHeight="1" thickBot="1">
      <c r="C187" s="767"/>
      <c r="D187" s="782"/>
      <c r="E187" s="693"/>
      <c r="F187" s="693"/>
      <c r="G187" s="693"/>
      <c r="H187" s="693"/>
    </row>
  </sheetData>
  <mergeCells count="40">
    <mergeCell ref="A185:A186"/>
    <mergeCell ref="B185:B186"/>
    <mergeCell ref="A100:A101"/>
    <mergeCell ref="B100:B101"/>
    <mergeCell ref="A144:B144"/>
    <mergeCell ref="A145:A146"/>
    <mergeCell ref="B145:B146"/>
    <mergeCell ref="A156:A157"/>
    <mergeCell ref="B156:B157"/>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7.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3" sqref="C3"/>
    </sheetView>
  </sheetViews>
  <sheetFormatPr defaultColWidth="14.875" defaultRowHeight="15.75"/>
  <cols>
    <col min="1" max="1" width="6.75" style="353" customWidth="1"/>
    <col min="2" max="2" width="13.625" style="353" customWidth="1"/>
    <col min="3" max="3" width="16.5" style="353" customWidth="1"/>
    <col min="4" max="4" width="16.875" style="848" customWidth="1"/>
    <col min="5" max="5" width="17.375" style="848" customWidth="1"/>
    <col min="6" max="7" width="14.5" style="848" customWidth="1"/>
    <col min="8" max="8" width="14.5" style="353" customWidth="1"/>
    <col min="9" max="10" width="14.875" style="353"/>
    <col min="11" max="11" width="22.375" style="353" customWidth="1"/>
    <col min="12" max="16384" width="14.875" style="353"/>
  </cols>
  <sheetData>
    <row r="1" spans="1:11" ht="58.5" customHeight="1">
      <c r="C1" s="3619" t="s">
        <v>840</v>
      </c>
      <c r="D1" s="3619"/>
      <c r="E1" s="3619"/>
      <c r="F1" s="3619"/>
      <c r="G1" s="3619"/>
      <c r="H1" s="3619"/>
      <c r="I1" s="3619"/>
      <c r="J1" s="925"/>
      <c r="K1" s="926" t="s">
        <v>1006</v>
      </c>
    </row>
    <row r="2" spans="1:11" s="847" customFormat="1" ht="71.25" customHeight="1">
      <c r="A2" s="858" t="s">
        <v>852</v>
      </c>
      <c r="B2" s="858" t="s">
        <v>848</v>
      </c>
      <c r="C2" s="854" t="s">
        <v>841</v>
      </c>
      <c r="D2" s="855" t="s">
        <v>842</v>
      </c>
      <c r="E2" s="855" t="s">
        <v>843</v>
      </c>
      <c r="F2" s="855" t="s">
        <v>849</v>
      </c>
      <c r="G2" s="855" t="s">
        <v>844</v>
      </c>
      <c r="H2" s="855" t="s">
        <v>845</v>
      </c>
      <c r="I2" s="855" t="s">
        <v>850</v>
      </c>
      <c r="K2" s="1077" t="s">
        <v>1007</v>
      </c>
    </row>
    <row r="3" spans="1:11" ht="33.75" customHeight="1">
      <c r="A3" s="859">
        <v>1</v>
      </c>
      <c r="B3" s="856">
        <v>10.4</v>
      </c>
      <c r="C3" s="849" t="str">
        <f>MENU!AD9</f>
        <v>2024/01/09</v>
      </c>
      <c r="D3" s="850" t="s">
        <v>846</v>
      </c>
      <c r="E3" s="850">
        <f>(B3*1*36.5)/(1*10*1.16)/100</f>
        <v>0.32724137931034486</v>
      </c>
      <c r="F3" s="850" t="s">
        <v>847</v>
      </c>
      <c r="G3" s="851">
        <v>0.32291666666666669</v>
      </c>
      <c r="H3" s="850" t="s">
        <v>1455</v>
      </c>
      <c r="I3" s="850"/>
    </row>
    <row r="4" spans="1:11" ht="33.75" customHeight="1">
      <c r="A4" s="859">
        <v>2</v>
      </c>
      <c r="B4" s="857"/>
      <c r="C4" s="849" t="str">
        <f>IF(B4="","",C3)</f>
        <v/>
      </c>
      <c r="D4" s="850" t="str">
        <f>IF(B4="","","31~ 33%")</f>
        <v/>
      </c>
      <c r="E4" s="850" t="str">
        <f>IF(B4="","",(B4*1*36.5)/(1*10*1.16)/100)</f>
        <v/>
      </c>
      <c r="F4" s="850"/>
      <c r="G4" s="853"/>
      <c r="H4" s="853"/>
      <c r="I4" s="852"/>
    </row>
    <row r="5" spans="1:11" ht="33.75" customHeight="1">
      <c r="A5" s="859">
        <v>3</v>
      </c>
      <c r="B5" s="857"/>
      <c r="C5" s="849" t="str">
        <f t="shared" ref="C5:C8" si="0">IF(B5="","",C4)</f>
        <v/>
      </c>
      <c r="D5" s="850" t="str">
        <f t="shared" ref="D5:D8" si="1">IF(B5="","","31~ 33%")</f>
        <v/>
      </c>
      <c r="E5" s="850" t="str">
        <f t="shared" ref="E5:E8" si="2">IF(B5="","",(B5*1*36.5)/(1*10*1.16)/100)</f>
        <v/>
      </c>
      <c r="F5" s="850"/>
      <c r="G5" s="853"/>
      <c r="H5" s="853"/>
      <c r="I5" s="852"/>
    </row>
    <row r="6" spans="1:11" ht="33.75" customHeight="1">
      <c r="A6" s="859">
        <v>4</v>
      </c>
      <c r="B6" s="857"/>
      <c r="C6" s="849" t="str">
        <f t="shared" si="0"/>
        <v/>
      </c>
      <c r="D6" s="850" t="str">
        <f t="shared" si="1"/>
        <v/>
      </c>
      <c r="E6" s="850" t="str">
        <f t="shared" si="2"/>
        <v/>
      </c>
      <c r="F6" s="850"/>
      <c r="G6" s="853"/>
      <c r="H6" s="853"/>
      <c r="I6" s="852"/>
    </row>
    <row r="7" spans="1:11" ht="33.75" customHeight="1">
      <c r="A7" s="859">
        <v>5</v>
      </c>
      <c r="B7" s="857"/>
      <c r="C7" s="849" t="str">
        <f t="shared" si="0"/>
        <v/>
      </c>
      <c r="D7" s="850" t="str">
        <f t="shared" si="1"/>
        <v/>
      </c>
      <c r="E7" s="850" t="str">
        <f t="shared" si="2"/>
        <v/>
      </c>
      <c r="F7" s="850"/>
      <c r="G7" s="853"/>
      <c r="H7" s="853"/>
      <c r="I7" s="852"/>
    </row>
    <row r="8" spans="1:11" ht="33.75" customHeight="1">
      <c r="A8" s="859">
        <v>6</v>
      </c>
      <c r="B8" s="857"/>
      <c r="C8" s="849" t="str">
        <f t="shared" si="0"/>
        <v/>
      </c>
      <c r="D8" s="850" t="str">
        <f t="shared" si="1"/>
        <v/>
      </c>
      <c r="E8" s="850" t="str">
        <f t="shared" si="2"/>
        <v/>
      </c>
      <c r="F8" s="850"/>
      <c r="G8" s="853"/>
      <c r="H8" s="853"/>
      <c r="I8" s="852"/>
    </row>
    <row r="10" spans="1:11">
      <c r="E10" s="925"/>
    </row>
    <row r="11" spans="1:11" ht="60.75" customHeight="1">
      <c r="B11" s="1076" t="s">
        <v>1003</v>
      </c>
      <c r="C11" s="1074" t="s">
        <v>997</v>
      </c>
      <c r="E11" s="1075"/>
    </row>
    <row r="12" spans="1:11">
      <c r="C12" s="1074" t="s">
        <v>998</v>
      </c>
    </row>
    <row r="13" spans="1:11">
      <c r="C13" s="1074" t="s">
        <v>999</v>
      </c>
    </row>
    <row r="14" spans="1:11">
      <c r="C14" s="1074" t="s">
        <v>1000</v>
      </c>
    </row>
    <row r="15" spans="1:11">
      <c r="C15" s="1074" t="s">
        <v>1004</v>
      </c>
    </row>
    <row r="16" spans="1:11">
      <c r="C16" s="1074" t="s">
        <v>1001</v>
      </c>
    </row>
    <row r="17" spans="3:3">
      <c r="C17" s="1074" t="s">
        <v>1002</v>
      </c>
    </row>
    <row r="18" spans="3:3">
      <c r="C18" s="1074" t="s">
        <v>1005</v>
      </c>
    </row>
  </sheetData>
  <sheetProtection formatCells="0" formatColumns="0" formatRows="0" insertColumns="0" insertRows="0" insertHyperlinks="0" deleteColumns="0" deleteRows="0" selectLockedCells="1" sort="0" autoFilter="0" pivotTables="0"/>
  <mergeCells count="1">
    <mergeCell ref="C1:I1"/>
  </mergeCells>
  <phoneticPr fontId="7"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worksheet>
</file>

<file path=xl/worksheets/sheet48.xml><?xml version="1.0" encoding="utf-8"?>
<worksheet xmlns="http://schemas.openxmlformats.org/spreadsheetml/2006/main" xmlns:r="http://schemas.openxmlformats.org/officeDocument/2006/relationships">
  <sheetPr codeName="Sheet21"/>
  <dimension ref="A2:R92"/>
  <sheetViews>
    <sheetView zoomScale="70" zoomScaleNormal="70" workbookViewId="0">
      <selection activeCell="L10" sqref="L10"/>
    </sheetView>
  </sheetViews>
  <sheetFormatPr defaultRowHeight="15.75"/>
  <cols>
    <col min="1" max="1" width="15.875" style="1203" customWidth="1"/>
    <col min="2" max="3" width="10.625" style="1204" customWidth="1"/>
    <col min="4" max="4" width="10.625" style="1203" customWidth="1"/>
    <col min="5" max="5" width="12.375" style="1203" customWidth="1"/>
    <col min="6" max="7" width="10.625" style="1204" customWidth="1"/>
    <col min="8" max="9" width="10.625" style="1203" customWidth="1"/>
    <col min="10" max="10" width="13.875" style="1204" customWidth="1"/>
    <col min="11" max="11" width="10.625" style="1204" customWidth="1"/>
    <col min="12" max="12" width="14.375" style="1203" customWidth="1"/>
    <col min="13" max="13" width="15.125" style="1203" customWidth="1"/>
    <col min="14" max="14" width="10.125" style="1203" customWidth="1"/>
    <col min="15" max="15" width="9" style="343"/>
    <col min="16" max="16" width="17" style="1203" customWidth="1"/>
    <col min="17" max="16384" width="9" style="1203"/>
  </cols>
  <sheetData>
    <row r="2" spans="1:18">
      <c r="B2" s="1204" t="s">
        <v>226</v>
      </c>
    </row>
    <row r="3" spans="1:18">
      <c r="B3" s="1205" t="s">
        <v>160</v>
      </c>
      <c r="C3" s="1205" t="s">
        <v>161</v>
      </c>
      <c r="D3" s="1206" t="s">
        <v>162</v>
      </c>
      <c r="E3" s="1206" t="s">
        <v>161</v>
      </c>
      <c r="F3" s="1205" t="s">
        <v>163</v>
      </c>
      <c r="G3" s="1205" t="s">
        <v>161</v>
      </c>
      <c r="H3" s="1206" t="s">
        <v>164</v>
      </c>
      <c r="I3" s="1206" t="s">
        <v>161</v>
      </c>
      <c r="J3" s="1205" t="s">
        <v>165</v>
      </c>
      <c r="K3" s="1205" t="s">
        <v>166</v>
      </c>
      <c r="L3" s="1205" t="s">
        <v>167</v>
      </c>
      <c r="M3" s="1205" t="s">
        <v>168</v>
      </c>
      <c r="N3" s="1205" t="s">
        <v>169</v>
      </c>
      <c r="P3" s="1203" t="s">
        <v>171</v>
      </c>
      <c r="R3" s="1203" t="s">
        <v>172</v>
      </c>
    </row>
    <row r="4" spans="1:18">
      <c r="B4" s="1205">
        <v>305</v>
      </c>
      <c r="C4" s="1205">
        <v>500</v>
      </c>
      <c r="D4" s="1206">
        <v>305</v>
      </c>
      <c r="E4" s="1204">
        <v>500</v>
      </c>
      <c r="F4" s="1205">
        <v>305</v>
      </c>
      <c r="G4" s="1205">
        <v>130</v>
      </c>
      <c r="H4" s="1206">
        <v>305</v>
      </c>
      <c r="I4" s="1206">
        <v>130</v>
      </c>
      <c r="J4" s="1205">
        <v>305</v>
      </c>
      <c r="K4" s="1205">
        <v>700</v>
      </c>
      <c r="L4" s="1203">
        <v>305</v>
      </c>
      <c r="M4" s="1203">
        <v>305</v>
      </c>
      <c r="N4" s="1203">
        <v>305</v>
      </c>
      <c r="O4" s="343" t="s">
        <v>1127</v>
      </c>
      <c r="P4" s="1203">
        <v>305</v>
      </c>
      <c r="Q4" s="1203">
        <v>305</v>
      </c>
      <c r="R4" s="1203">
        <v>300</v>
      </c>
    </row>
    <row r="5" spans="1:18">
      <c r="B5" s="1205">
        <v>260</v>
      </c>
      <c r="C5" s="1205">
        <v>90</v>
      </c>
      <c r="D5" s="1206">
        <v>165</v>
      </c>
      <c r="E5" s="1204">
        <v>90</v>
      </c>
      <c r="F5" s="1205">
        <v>176</v>
      </c>
      <c r="G5" s="1205">
        <v>80</v>
      </c>
      <c r="H5" s="1206">
        <v>187</v>
      </c>
      <c r="I5" s="1206">
        <v>80</v>
      </c>
      <c r="J5" s="1205">
        <v>205</v>
      </c>
      <c r="K5" s="1205">
        <v>134</v>
      </c>
      <c r="L5" s="1203">
        <v>158</v>
      </c>
      <c r="M5" s="1203">
        <v>247</v>
      </c>
      <c r="N5" s="1203">
        <v>76</v>
      </c>
      <c r="O5" s="343" t="s">
        <v>1127</v>
      </c>
      <c r="P5" s="1203">
        <v>68</v>
      </c>
      <c r="Q5" s="1203">
        <v>95</v>
      </c>
      <c r="R5" s="1203">
        <v>80</v>
      </c>
    </row>
    <row r="6" spans="1:18">
      <c r="B6" s="1205">
        <v>155</v>
      </c>
      <c r="C6" s="1205">
        <v>110</v>
      </c>
      <c r="D6" s="1206">
        <v>155</v>
      </c>
      <c r="E6" s="1204">
        <v>110</v>
      </c>
      <c r="F6" s="1205">
        <v>155</v>
      </c>
      <c r="G6" s="1205">
        <v>76</v>
      </c>
      <c r="H6" s="1206">
        <v>155</v>
      </c>
      <c r="I6" s="1206">
        <v>76</v>
      </c>
      <c r="J6" s="1205">
        <v>155</v>
      </c>
      <c r="K6" s="1205">
        <v>112</v>
      </c>
      <c r="L6" s="1203">
        <v>155</v>
      </c>
      <c r="M6" s="1203">
        <v>155</v>
      </c>
      <c r="N6" s="1203">
        <v>155</v>
      </c>
      <c r="O6" s="343" t="s">
        <v>1127</v>
      </c>
      <c r="P6" s="1203">
        <v>155</v>
      </c>
      <c r="Q6" s="1203">
        <v>155</v>
      </c>
      <c r="R6" s="1203">
        <v>140</v>
      </c>
    </row>
    <row r="7" spans="1:18">
      <c r="B7" s="1207">
        <f>B4*B5*B6/1000</f>
        <v>12291.5</v>
      </c>
      <c r="C7" s="1207">
        <f t="shared" ref="C7:R7" si="0">C4*C5*C6/1000</f>
        <v>4950</v>
      </c>
      <c r="D7" s="1208">
        <f t="shared" si="0"/>
        <v>7800.375</v>
      </c>
      <c r="E7" s="1208">
        <f t="shared" si="0"/>
        <v>4950</v>
      </c>
      <c r="F7" s="1207">
        <f t="shared" si="0"/>
        <v>8320.4</v>
      </c>
      <c r="G7" s="1207">
        <f t="shared" si="0"/>
        <v>790.4</v>
      </c>
      <c r="H7" s="1208">
        <f t="shared" si="0"/>
        <v>8840.4249999999993</v>
      </c>
      <c r="I7" s="1208">
        <f t="shared" si="0"/>
        <v>790.4</v>
      </c>
      <c r="J7" s="1209">
        <f>J4*J5*J6/1000*5</f>
        <v>48456.875</v>
      </c>
      <c r="K7" s="1207">
        <f t="shared" si="0"/>
        <v>10505.6</v>
      </c>
      <c r="L7" s="1207">
        <f t="shared" si="0"/>
        <v>7469.45</v>
      </c>
      <c r="M7" s="1207">
        <f t="shared" si="0"/>
        <v>11676.924999999999</v>
      </c>
      <c r="N7" s="1207">
        <f t="shared" si="0"/>
        <v>3592.9</v>
      </c>
      <c r="P7" s="1207">
        <f t="shared" si="0"/>
        <v>3214.7</v>
      </c>
      <c r="Q7" s="1207">
        <f t="shared" si="0"/>
        <v>4491.125</v>
      </c>
      <c r="R7" s="1207">
        <f t="shared" si="0"/>
        <v>3360</v>
      </c>
    </row>
    <row r="8" spans="1:18">
      <c r="B8" s="3626">
        <f>B7+C7</f>
        <v>17241.5</v>
      </c>
      <c r="C8" s="3626"/>
      <c r="D8" s="3627">
        <f>D7+E7</f>
        <v>12750.375</v>
      </c>
      <c r="E8" s="3627"/>
      <c r="F8" s="3626">
        <f>F7+G7</f>
        <v>9110.7999999999993</v>
      </c>
      <c r="G8" s="3626"/>
      <c r="H8" s="3627">
        <f>H7+I7</f>
        <v>9630.8249999999989</v>
      </c>
      <c r="I8" s="3627"/>
      <c r="J8" s="3626">
        <f>J7+K7</f>
        <v>58962.474999999999</v>
      </c>
      <c r="K8" s="3626"/>
      <c r="L8" s="1210">
        <f t="shared" ref="L8:Q8" si="1">L7</f>
        <v>7469.45</v>
      </c>
      <c r="M8" s="1210">
        <f t="shared" si="1"/>
        <v>11676.924999999999</v>
      </c>
      <c r="N8" s="1210">
        <f t="shared" si="1"/>
        <v>3592.9</v>
      </c>
      <c r="P8" s="1210">
        <f t="shared" si="1"/>
        <v>3214.7</v>
      </c>
      <c r="Q8" s="1210">
        <f t="shared" si="1"/>
        <v>4491.125</v>
      </c>
    </row>
    <row r="9" spans="1:18">
      <c r="A9" s="1203" t="s">
        <v>1128</v>
      </c>
      <c r="B9" s="3623">
        <f>B8*90%</f>
        <v>15517.35</v>
      </c>
      <c r="C9" s="3623"/>
      <c r="D9" s="3624">
        <f>D8*90%</f>
        <v>11475.3375</v>
      </c>
      <c r="E9" s="3624"/>
      <c r="F9" s="3625">
        <f>F8*90%</f>
        <v>8199.7199999999993</v>
      </c>
      <c r="G9" s="3625"/>
      <c r="H9" s="3625">
        <f>H8*90%</f>
        <v>8667.7424999999985</v>
      </c>
      <c r="I9" s="3625"/>
      <c r="J9" s="3625">
        <f>J8*90%</f>
        <v>53066.227500000001</v>
      </c>
      <c r="K9" s="3625"/>
      <c r="L9" s="1211">
        <f t="shared" ref="L9:Q9" si="2">L8*90%</f>
        <v>6722.5050000000001</v>
      </c>
      <c r="M9" s="1211">
        <f t="shared" si="2"/>
        <v>10509.2325</v>
      </c>
      <c r="N9" s="1211">
        <f t="shared" si="2"/>
        <v>3233.61</v>
      </c>
      <c r="P9" s="1211">
        <f t="shared" si="2"/>
        <v>2893.23</v>
      </c>
      <c r="Q9" s="1211">
        <f t="shared" si="2"/>
        <v>4042.0125000000003</v>
      </c>
      <c r="R9" s="1207">
        <v>3360</v>
      </c>
    </row>
    <row r="10" spans="1:18">
      <c r="F10" s="1212"/>
      <c r="G10" s="1212"/>
      <c r="L10" s="2496">
        <f>L9/2</f>
        <v>3361.2525000000001</v>
      </c>
    </row>
    <row r="11" spans="1:18">
      <c r="C11" s="1204">
        <v>500</v>
      </c>
    </row>
    <row r="12" spans="1:18">
      <c r="C12" s="1204">
        <v>90</v>
      </c>
    </row>
    <row r="13" spans="1:18">
      <c r="C13" s="1204">
        <v>110</v>
      </c>
    </row>
    <row r="14" spans="1:18">
      <c r="C14" s="1204" t="s">
        <v>173</v>
      </c>
    </row>
    <row r="18" spans="2:13" ht="33.75" customHeight="1">
      <c r="B18" s="2877" t="s">
        <v>107</v>
      </c>
      <c r="C18" s="2878"/>
      <c r="D18" s="2878"/>
      <c r="E18" s="2879"/>
    </row>
    <row r="19" spans="2:13" ht="39" customHeight="1">
      <c r="B19" s="2880"/>
      <c r="C19" s="2881"/>
      <c r="D19" s="2881"/>
      <c r="E19" s="2882"/>
    </row>
    <row r="20" spans="2:13" ht="18" customHeight="1">
      <c r="B20" s="1202"/>
      <c r="C20" s="1202" t="s">
        <v>178</v>
      </c>
      <c r="D20" s="1202" t="s">
        <v>5</v>
      </c>
      <c r="E20" s="1202"/>
    </row>
    <row r="21" spans="2:13">
      <c r="B21" s="1204" t="s">
        <v>176</v>
      </c>
      <c r="C21" s="1204" t="s">
        <v>179</v>
      </c>
      <c r="D21" s="1203" t="s">
        <v>181</v>
      </c>
      <c r="E21" s="1203" t="s">
        <v>183</v>
      </c>
    </row>
    <row r="22" spans="2:13">
      <c r="B22" s="1204" t="s">
        <v>177</v>
      </c>
      <c r="C22" s="1204" t="s">
        <v>180</v>
      </c>
      <c r="D22" s="1203" t="s">
        <v>182</v>
      </c>
      <c r="E22" s="1203" t="s">
        <v>184</v>
      </c>
    </row>
    <row r="24" spans="2:13">
      <c r="B24" s="1204" t="s">
        <v>185</v>
      </c>
      <c r="C24" s="1202" t="s">
        <v>5</v>
      </c>
      <c r="D24" s="1203" t="s">
        <v>186</v>
      </c>
      <c r="E24" s="1203" t="s">
        <v>188</v>
      </c>
    </row>
    <row r="25" spans="2:13">
      <c r="C25" s="1213" t="s">
        <v>187</v>
      </c>
      <c r="D25" s="1214">
        <v>0.15</v>
      </c>
      <c r="E25" s="1203" t="s">
        <v>189</v>
      </c>
      <c r="F25" s="1204" t="s">
        <v>1129</v>
      </c>
    </row>
    <row r="26" spans="2:13">
      <c r="C26" s="1213">
        <v>1.8</v>
      </c>
      <c r="D26" s="1214">
        <v>0.15</v>
      </c>
      <c r="E26" s="1203" t="s">
        <v>189</v>
      </c>
      <c r="F26" s="1204" t="s">
        <v>190</v>
      </c>
    </row>
    <row r="27" spans="2:13">
      <c r="C27" s="1213" t="s">
        <v>191</v>
      </c>
      <c r="D27" s="1214">
        <v>0.15</v>
      </c>
      <c r="E27" s="1203" t="s">
        <v>189</v>
      </c>
      <c r="F27" s="1204" t="s">
        <v>192</v>
      </c>
    </row>
    <row r="28" spans="2:13">
      <c r="B28" s="1204" t="s">
        <v>1130</v>
      </c>
      <c r="D28" s="1214"/>
    </row>
    <row r="29" spans="2:13" ht="34.5" customHeight="1"/>
    <row r="30" spans="2:13" ht="16.5" customHeight="1">
      <c r="B30" s="1215" t="s">
        <v>1131</v>
      </c>
      <c r="C30" s="1215"/>
      <c r="D30" s="1216"/>
    </row>
    <row r="31" spans="2:13">
      <c r="B31" s="1204" t="s">
        <v>198</v>
      </c>
      <c r="C31" s="1204" t="s">
        <v>199</v>
      </c>
      <c r="D31" s="1203" t="s">
        <v>200</v>
      </c>
      <c r="E31" s="1203" t="s">
        <v>201</v>
      </c>
      <c r="F31" s="1204" t="s">
        <v>202</v>
      </c>
      <c r="G31" s="1204" t="s">
        <v>203</v>
      </c>
      <c r="H31" s="1203" t="s">
        <v>204</v>
      </c>
      <c r="I31" s="1217" t="s">
        <v>205</v>
      </c>
      <c r="J31" s="1218" t="s">
        <v>209</v>
      </c>
      <c r="K31" s="1204" t="s">
        <v>206</v>
      </c>
      <c r="L31" s="1203" t="s">
        <v>170</v>
      </c>
    </row>
    <row r="32" spans="2:13">
      <c r="B32" s="1204">
        <v>8</v>
      </c>
      <c r="C32" s="1204">
        <v>8</v>
      </c>
      <c r="D32" s="1204">
        <v>8</v>
      </c>
      <c r="E32" s="1204">
        <v>8</v>
      </c>
      <c r="F32" s="1204">
        <v>8</v>
      </c>
      <c r="G32" s="1204">
        <v>8</v>
      </c>
      <c r="H32" s="1204">
        <v>8</v>
      </c>
      <c r="I32" s="1218">
        <v>8</v>
      </c>
      <c r="J32" s="1218">
        <v>17</v>
      </c>
      <c r="K32" s="1204">
        <v>8</v>
      </c>
      <c r="L32" s="1204">
        <v>8</v>
      </c>
      <c r="M32" s="1203" t="s">
        <v>207</v>
      </c>
    </row>
    <row r="33" spans="2:13">
      <c r="B33" s="1204">
        <v>6.5</v>
      </c>
      <c r="C33" s="1204">
        <v>6.5</v>
      </c>
      <c r="D33" s="1204">
        <v>6.5</v>
      </c>
      <c r="E33" s="1204">
        <v>6.5</v>
      </c>
      <c r="F33" s="1204">
        <v>6.5</v>
      </c>
      <c r="G33" s="1204">
        <v>6.5</v>
      </c>
      <c r="H33" s="1204">
        <v>6.5</v>
      </c>
      <c r="I33" s="1218">
        <v>6.5</v>
      </c>
      <c r="J33" s="1218">
        <v>6.5</v>
      </c>
      <c r="K33" s="1204">
        <v>6.5</v>
      </c>
      <c r="L33" s="1204">
        <v>6.5</v>
      </c>
      <c r="M33" s="1203" t="s">
        <v>207</v>
      </c>
    </row>
    <row r="34" spans="2:13">
      <c r="B34" s="1204">
        <v>15</v>
      </c>
      <c r="C34" s="1204">
        <v>15</v>
      </c>
      <c r="D34" s="1203">
        <v>17</v>
      </c>
      <c r="E34" s="1203">
        <v>17</v>
      </c>
      <c r="F34" s="1204">
        <v>13</v>
      </c>
      <c r="G34" s="1204">
        <v>19.5</v>
      </c>
      <c r="H34" s="1203">
        <v>6.5</v>
      </c>
      <c r="I34" s="1217">
        <f>29.5*4</f>
        <v>118</v>
      </c>
      <c r="J34" s="1218">
        <v>25</v>
      </c>
      <c r="K34" s="1204">
        <v>6.5</v>
      </c>
      <c r="L34" s="1203">
        <v>6.5</v>
      </c>
      <c r="M34" s="1203" t="s">
        <v>207</v>
      </c>
    </row>
    <row r="35" spans="2:13">
      <c r="B35" s="1215">
        <f>B32*B33*B34</f>
        <v>780</v>
      </c>
      <c r="C35" s="1215">
        <f t="shared" ref="C35:L35" si="3">C32*C33*C34</f>
        <v>780</v>
      </c>
      <c r="D35" s="1215">
        <f t="shared" si="3"/>
        <v>884</v>
      </c>
      <c r="E35" s="1215">
        <f t="shared" si="3"/>
        <v>884</v>
      </c>
      <c r="F35" s="1215">
        <f t="shared" si="3"/>
        <v>676</v>
      </c>
      <c r="G35" s="1215">
        <f t="shared" si="3"/>
        <v>1014</v>
      </c>
      <c r="H35" s="1215">
        <f t="shared" si="3"/>
        <v>338</v>
      </c>
      <c r="I35" s="1218">
        <f t="shared" si="3"/>
        <v>6136</v>
      </c>
      <c r="J35" s="1218">
        <f t="shared" si="3"/>
        <v>2762.5</v>
      </c>
      <c r="K35" s="1215">
        <f t="shared" si="3"/>
        <v>338</v>
      </c>
      <c r="L35" s="1215">
        <f t="shared" si="3"/>
        <v>338</v>
      </c>
      <c r="M35" s="1203" t="s">
        <v>208</v>
      </c>
    </row>
    <row r="36" spans="2:13">
      <c r="B36" s="1219">
        <f>B35*85%</f>
        <v>663</v>
      </c>
      <c r="C36" s="1219">
        <f t="shared" ref="C36:L36" si="4">C35*85%</f>
        <v>663</v>
      </c>
      <c r="D36" s="1219">
        <f t="shared" si="4"/>
        <v>751.4</v>
      </c>
      <c r="E36" s="1219">
        <f t="shared" si="4"/>
        <v>751.4</v>
      </c>
      <c r="F36" s="1219">
        <f t="shared" si="4"/>
        <v>574.6</v>
      </c>
      <c r="G36" s="1219">
        <f t="shared" si="4"/>
        <v>861.9</v>
      </c>
      <c r="H36" s="1219">
        <f t="shared" si="4"/>
        <v>287.3</v>
      </c>
      <c r="I36" s="1219">
        <f t="shared" si="4"/>
        <v>5215.5999999999995</v>
      </c>
      <c r="J36" s="1219">
        <f t="shared" si="4"/>
        <v>2348.125</v>
      </c>
      <c r="K36" s="1219">
        <f t="shared" si="4"/>
        <v>287.3</v>
      </c>
      <c r="L36" s="1219">
        <f t="shared" si="4"/>
        <v>287.3</v>
      </c>
      <c r="M36" s="1203" t="s">
        <v>211</v>
      </c>
    </row>
    <row r="37" spans="2:13">
      <c r="B37" s="1204" t="s">
        <v>221</v>
      </c>
      <c r="I37" s="1220">
        <f>I36+J36</f>
        <v>7563.7249999999995</v>
      </c>
    </row>
    <row r="38" spans="2:13">
      <c r="B38" s="1204" t="s">
        <v>1132</v>
      </c>
    </row>
    <row r="39" spans="2:13">
      <c r="B39" s="1204" t="s">
        <v>222</v>
      </c>
      <c r="C39" s="1221">
        <f>0.05%*7564</f>
        <v>3.782</v>
      </c>
      <c r="D39" s="1203" t="s">
        <v>223</v>
      </c>
    </row>
    <row r="40" spans="2:13">
      <c r="B40" s="1204" t="s">
        <v>224</v>
      </c>
      <c r="C40" s="1222">
        <f>3%*7564</f>
        <v>226.92</v>
      </c>
      <c r="D40" s="1203" t="s">
        <v>223</v>
      </c>
    </row>
    <row r="43" spans="2:13" ht="16.5" customHeight="1">
      <c r="B43" s="1215" t="s">
        <v>1133</v>
      </c>
      <c r="C43" s="1215"/>
      <c r="D43" s="1216"/>
    </row>
    <row r="44" spans="2:13">
      <c r="B44" s="1204" t="s">
        <v>198</v>
      </c>
      <c r="C44" s="1204" t="s">
        <v>199</v>
      </c>
      <c r="D44" s="1203" t="s">
        <v>200</v>
      </c>
      <c r="E44" s="1203" t="s">
        <v>201</v>
      </c>
      <c r="F44" s="1204" t="s">
        <v>202</v>
      </c>
      <c r="G44" s="1204" t="s">
        <v>203</v>
      </c>
      <c r="H44" s="1203" t="s">
        <v>204</v>
      </c>
      <c r="I44" s="1217" t="s">
        <v>205</v>
      </c>
      <c r="J44" s="1218" t="s">
        <v>209</v>
      </c>
      <c r="K44" s="1204" t="s">
        <v>206</v>
      </c>
      <c r="L44" s="1203" t="s">
        <v>170</v>
      </c>
    </row>
    <row r="45" spans="2:13">
      <c r="B45" s="1204">
        <v>16</v>
      </c>
      <c r="C45" s="1204">
        <v>16</v>
      </c>
      <c r="D45" s="1204">
        <v>16</v>
      </c>
      <c r="E45" s="1204">
        <v>16</v>
      </c>
      <c r="F45" s="1204">
        <v>16</v>
      </c>
      <c r="G45" s="1204">
        <v>16</v>
      </c>
      <c r="H45" s="1204">
        <v>16</v>
      </c>
      <c r="I45" s="1221">
        <v>16</v>
      </c>
      <c r="J45" s="1204">
        <v>12</v>
      </c>
      <c r="K45" s="1204">
        <v>16</v>
      </c>
      <c r="L45" s="1204">
        <v>16</v>
      </c>
      <c r="M45" s="1203" t="s">
        <v>207</v>
      </c>
    </row>
    <row r="46" spans="2:13">
      <c r="B46" s="1204">
        <v>22.5</v>
      </c>
      <c r="C46" s="1204">
        <v>30</v>
      </c>
      <c r="D46" s="1204">
        <v>17</v>
      </c>
      <c r="E46" s="1204">
        <v>16.5</v>
      </c>
      <c r="F46" s="1204">
        <v>7.5</v>
      </c>
      <c r="G46" s="1204">
        <v>24</v>
      </c>
      <c r="H46" s="1204">
        <v>6.5</v>
      </c>
      <c r="I46" s="1223">
        <v>180</v>
      </c>
      <c r="J46" s="1218">
        <v>42</v>
      </c>
      <c r="K46" s="1204">
        <v>6.5</v>
      </c>
      <c r="L46" s="1204">
        <v>6.5</v>
      </c>
      <c r="M46" s="1203" t="s">
        <v>207</v>
      </c>
    </row>
    <row r="47" spans="2:13">
      <c r="B47" s="1204">
        <v>6</v>
      </c>
      <c r="C47" s="1204">
        <v>6</v>
      </c>
      <c r="D47" s="1203">
        <v>5</v>
      </c>
      <c r="E47" s="1203">
        <v>6.5</v>
      </c>
      <c r="F47" s="1204">
        <v>6</v>
      </c>
      <c r="G47" s="1203">
        <v>6.5</v>
      </c>
      <c r="H47" s="1203">
        <v>6.5</v>
      </c>
      <c r="I47" s="1224">
        <v>6.4</v>
      </c>
      <c r="J47" s="1218">
        <v>10</v>
      </c>
      <c r="K47" s="1204">
        <v>6.5</v>
      </c>
      <c r="L47" s="1203">
        <v>6</v>
      </c>
      <c r="M47" s="1203" t="s">
        <v>207</v>
      </c>
    </row>
    <row r="48" spans="2:13">
      <c r="B48" s="1215">
        <f>B45*B46*B47</f>
        <v>2160</v>
      </c>
      <c r="C48" s="1215">
        <f t="shared" ref="C48:L48" si="5">C45*C46*C47</f>
        <v>2880</v>
      </c>
      <c r="D48" s="1215">
        <f t="shared" si="5"/>
        <v>1360</v>
      </c>
      <c r="E48" s="1215">
        <f t="shared" si="5"/>
        <v>1716</v>
      </c>
      <c r="F48" s="1215">
        <f t="shared" si="5"/>
        <v>720</v>
      </c>
      <c r="G48" s="1215">
        <f t="shared" si="5"/>
        <v>2496</v>
      </c>
      <c r="H48" s="1215">
        <f t="shared" si="5"/>
        <v>676</v>
      </c>
      <c r="I48" s="1218">
        <f t="shared" si="5"/>
        <v>18432</v>
      </c>
      <c r="J48" s="1218">
        <f t="shared" si="5"/>
        <v>5040</v>
      </c>
      <c r="K48" s="1215">
        <f t="shared" si="5"/>
        <v>676</v>
      </c>
      <c r="L48" s="1215">
        <f t="shared" si="5"/>
        <v>624</v>
      </c>
      <c r="M48" s="1203" t="s">
        <v>208</v>
      </c>
    </row>
    <row r="49" spans="1:13">
      <c r="B49" s="1219">
        <f>B48*85%</f>
        <v>1836</v>
      </c>
      <c r="C49" s="1219">
        <f t="shared" ref="C49:L49" si="6">C48*85%</f>
        <v>2448</v>
      </c>
      <c r="D49" s="1219">
        <f t="shared" si="6"/>
        <v>1156</v>
      </c>
      <c r="E49" s="1219">
        <f t="shared" si="6"/>
        <v>1458.6</v>
      </c>
      <c r="F49" s="1219">
        <f t="shared" si="6"/>
        <v>612</v>
      </c>
      <c r="G49" s="1219">
        <f t="shared" si="6"/>
        <v>2121.6</v>
      </c>
      <c r="H49" s="1219">
        <f t="shared" si="6"/>
        <v>574.6</v>
      </c>
      <c r="I49" s="1219">
        <f t="shared" si="6"/>
        <v>15667.199999999999</v>
      </c>
      <c r="J49" s="1219">
        <f t="shared" si="6"/>
        <v>4284</v>
      </c>
      <c r="K49" s="1219">
        <f t="shared" si="6"/>
        <v>574.6</v>
      </c>
      <c r="L49" s="1219">
        <f t="shared" si="6"/>
        <v>530.4</v>
      </c>
      <c r="M49" s="1203" t="s">
        <v>211</v>
      </c>
    </row>
    <row r="50" spans="1:13">
      <c r="I50" s="1220">
        <f>I49+J49</f>
        <v>19951.199999999997</v>
      </c>
    </row>
    <row r="52" spans="1:13">
      <c r="B52" s="1203"/>
      <c r="C52" s="1203"/>
    </row>
    <row r="54" spans="1:13">
      <c r="B54" s="1225" t="s">
        <v>1135</v>
      </c>
    </row>
    <row r="55" spans="1:13">
      <c r="B55" s="1204" t="s">
        <v>1136</v>
      </c>
    </row>
    <row r="56" spans="1:13">
      <c r="B56" s="1204" t="s">
        <v>1137</v>
      </c>
    </row>
    <row r="57" spans="1:13">
      <c r="B57" s="1204" t="s">
        <v>1138</v>
      </c>
    </row>
    <row r="60" spans="1:13" ht="22.5" customHeight="1">
      <c r="B60" s="1136" t="s">
        <v>1139</v>
      </c>
      <c r="C60" s="1136"/>
      <c r="D60" s="1137"/>
    </row>
    <row r="61" spans="1:13">
      <c r="B61" s="1204" t="s">
        <v>1140</v>
      </c>
      <c r="C61" s="1204" t="s">
        <v>1141</v>
      </c>
      <c r="D61" s="1203" t="s">
        <v>1142</v>
      </c>
      <c r="E61" s="1203" t="s">
        <v>1143</v>
      </c>
    </row>
    <row r="62" spans="1:13">
      <c r="A62" s="1203" t="s">
        <v>1144</v>
      </c>
      <c r="B62" s="1204">
        <v>12.8</v>
      </c>
      <c r="C62" s="1204">
        <v>12.8</v>
      </c>
      <c r="D62" s="1204">
        <v>12.8</v>
      </c>
      <c r="E62" s="1204">
        <v>12.8</v>
      </c>
      <c r="F62" s="1204" t="s">
        <v>1145</v>
      </c>
    </row>
    <row r="63" spans="1:13">
      <c r="A63" s="1203" t="s">
        <v>1146</v>
      </c>
      <c r="B63" s="1204">
        <v>17</v>
      </c>
      <c r="C63" s="1204">
        <v>19</v>
      </c>
      <c r="D63" s="1203">
        <v>36</v>
      </c>
      <c r="E63" s="1203">
        <v>9</v>
      </c>
      <c r="F63" s="1204" t="s">
        <v>1145</v>
      </c>
    </row>
    <row r="64" spans="1:13">
      <c r="A64" s="1203" t="s">
        <v>1147</v>
      </c>
      <c r="B64" s="1204">
        <v>12.6</v>
      </c>
      <c r="C64" s="1204">
        <v>12.6</v>
      </c>
      <c r="D64" s="1204">
        <v>12.6</v>
      </c>
      <c r="E64" s="1204">
        <v>12.6</v>
      </c>
      <c r="F64" s="1204" t="s">
        <v>1145</v>
      </c>
    </row>
    <row r="65" spans="1:9">
      <c r="B65" s="1226">
        <f>B62*B63*B64</f>
        <v>2741.76</v>
      </c>
      <c r="C65" s="1226">
        <f t="shared" ref="C65:E65" si="7">C62*C63*C64</f>
        <v>3064.32</v>
      </c>
      <c r="D65" s="1226">
        <f t="shared" si="7"/>
        <v>5806.08</v>
      </c>
      <c r="E65" s="1226">
        <f t="shared" si="7"/>
        <v>1451.52</v>
      </c>
      <c r="F65" s="1203" t="s">
        <v>208</v>
      </c>
    </row>
    <row r="66" spans="1:9">
      <c r="B66" s="1227">
        <f>B65*85%</f>
        <v>2330.4960000000001</v>
      </c>
      <c r="C66" s="1227">
        <f t="shared" ref="C66:E66" si="8">C65*85%</f>
        <v>2604.672</v>
      </c>
      <c r="D66" s="1227">
        <f t="shared" si="8"/>
        <v>4935.1679999999997</v>
      </c>
      <c r="E66" s="1227">
        <f t="shared" si="8"/>
        <v>1233.7919999999999</v>
      </c>
      <c r="F66" s="1203" t="s">
        <v>211</v>
      </c>
    </row>
    <row r="69" spans="1:9">
      <c r="B69" s="1228">
        <v>1</v>
      </c>
      <c r="C69" s="1204" t="s">
        <v>1148</v>
      </c>
    </row>
    <row r="70" spans="1:9">
      <c r="B70" s="1204">
        <v>2</v>
      </c>
      <c r="C70" s="1204" t="s">
        <v>1149</v>
      </c>
    </row>
    <row r="72" spans="1:9">
      <c r="A72" s="1203" t="s">
        <v>1152</v>
      </c>
      <c r="G72" s="1215">
        <f>11*25</f>
        <v>275</v>
      </c>
      <c r="H72" s="1203" t="s">
        <v>1150</v>
      </c>
    </row>
    <row r="73" spans="1:9">
      <c r="A73" s="1203" t="s">
        <v>1153</v>
      </c>
      <c r="G73" s="1216">
        <f>25*17</f>
        <v>425</v>
      </c>
      <c r="H73" s="1204" t="s">
        <v>1151</v>
      </c>
    </row>
    <row r="77" spans="1:9" ht="20.25" customHeight="1">
      <c r="B77" s="3620" t="s">
        <v>856</v>
      </c>
      <c r="C77" s="3621"/>
      <c r="D77" s="3621"/>
      <c r="E77" s="3621"/>
    </row>
    <row r="78" spans="1:9" ht="20.25" customHeight="1">
      <c r="B78" s="3622" t="s">
        <v>1576</v>
      </c>
      <c r="C78" s="3622"/>
      <c r="D78" s="3622" t="s">
        <v>1587</v>
      </c>
      <c r="E78" s="3622"/>
      <c r="I78" s="1204"/>
    </row>
    <row r="79" spans="1:9" ht="20.25" customHeight="1">
      <c r="B79" s="3622" t="s">
        <v>1577</v>
      </c>
      <c r="C79" s="3622"/>
      <c r="D79" s="3622" t="s">
        <v>1586</v>
      </c>
      <c r="E79" s="3622"/>
      <c r="I79" s="1204"/>
    </row>
    <row r="80" spans="1:9" ht="20.25" customHeight="1">
      <c r="B80" s="3622" t="s">
        <v>1578</v>
      </c>
      <c r="C80" s="3622"/>
      <c r="D80" s="3622" t="s">
        <v>1581</v>
      </c>
      <c r="E80" s="3622"/>
    </row>
    <row r="81" spans="2:5" ht="20.25" customHeight="1">
      <c r="B81" s="3622" t="s">
        <v>1579</v>
      </c>
      <c r="C81" s="3622"/>
      <c r="D81" s="3622" t="s">
        <v>1583</v>
      </c>
      <c r="E81" s="3622"/>
    </row>
    <row r="82" spans="2:5" ht="20.25" customHeight="1">
      <c r="B82" s="3622" t="s">
        <v>1580</v>
      </c>
      <c r="C82" s="3622"/>
      <c r="D82" s="3622" t="s">
        <v>1582</v>
      </c>
      <c r="E82" s="3622"/>
    </row>
    <row r="83" spans="2:5" ht="20.25" customHeight="1">
      <c r="B83" s="3622" t="s">
        <v>1584</v>
      </c>
      <c r="C83" s="3622"/>
      <c r="D83" s="3622" t="s">
        <v>1585</v>
      </c>
      <c r="E83" s="3622"/>
    </row>
    <row r="85" spans="2:5">
      <c r="B85" s="1204" t="s">
        <v>856</v>
      </c>
      <c r="C85" s="1221"/>
    </row>
    <row r="86" spans="2:5">
      <c r="B86" s="1204" t="s">
        <v>853</v>
      </c>
      <c r="C86" s="1222"/>
    </row>
    <row r="87" spans="2:5">
      <c r="B87" s="1204" t="s">
        <v>854</v>
      </c>
    </row>
    <row r="88" spans="2:5">
      <c r="B88" s="1204" t="s">
        <v>1134</v>
      </c>
    </row>
    <row r="89" spans="2:5">
      <c r="B89" s="1204" t="s">
        <v>855</v>
      </c>
    </row>
    <row r="91" spans="2:5">
      <c r="B91" s="1204" t="s">
        <v>1589</v>
      </c>
    </row>
    <row r="92" spans="2:5">
      <c r="B92" s="1204" t="s">
        <v>1590</v>
      </c>
    </row>
  </sheetData>
  <mergeCells count="24">
    <mergeCell ref="J9:K9"/>
    <mergeCell ref="B8:C8"/>
    <mergeCell ref="D8:E8"/>
    <mergeCell ref="F8:G8"/>
    <mergeCell ref="H8:I8"/>
    <mergeCell ref="J8:K8"/>
    <mergeCell ref="B18:E19"/>
    <mergeCell ref="B9:C9"/>
    <mergeCell ref="D9:E9"/>
    <mergeCell ref="F9:G9"/>
    <mergeCell ref="H9:I9"/>
    <mergeCell ref="B77:E77"/>
    <mergeCell ref="B83:C83"/>
    <mergeCell ref="D83:E83"/>
    <mergeCell ref="B80:C80"/>
    <mergeCell ref="B81:C81"/>
    <mergeCell ref="B82:C82"/>
    <mergeCell ref="D80:E80"/>
    <mergeCell ref="D81:E81"/>
    <mergeCell ref="D82:E82"/>
    <mergeCell ref="B79:C79"/>
    <mergeCell ref="B78:C78"/>
    <mergeCell ref="D78:E78"/>
    <mergeCell ref="D79:E79"/>
  </mergeCells>
  <phoneticPr fontId="7" type="noConversion"/>
  <pageMargins left="0.7" right="0.7" top="0.75" bottom="0.75" header="0.3" footer="0.3"/>
  <pageSetup paperSize="9" orientation="portrait" verticalDpi="0" r:id="rId1"/>
  <drawing r:id="rId2"/>
</worksheet>
</file>

<file path=xl/worksheets/sheet49.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919" customWidth="1"/>
    <col min="2" max="2" width="12.875" style="919" customWidth="1"/>
    <col min="3" max="10" width="12.375" style="919" customWidth="1"/>
    <col min="11" max="16384" width="9" style="919"/>
  </cols>
  <sheetData>
    <row r="1" spans="1:10" ht="32.25" customHeight="1">
      <c r="B1" s="3628" t="s">
        <v>887</v>
      </c>
      <c r="C1" s="3628"/>
      <c r="D1" s="3628"/>
      <c r="E1" s="3628"/>
      <c r="F1" s="3628"/>
      <c r="G1" s="3628"/>
      <c r="H1" s="3628"/>
      <c r="I1" s="3628"/>
      <c r="J1" s="3628"/>
    </row>
    <row r="2" spans="1:10" ht="21" customHeight="1">
      <c r="B2" s="3628" t="s">
        <v>888</v>
      </c>
      <c r="C2" s="3628" t="s">
        <v>889</v>
      </c>
      <c r="D2" s="3628"/>
      <c r="E2" s="3628"/>
      <c r="F2" s="3628"/>
      <c r="G2" s="3628"/>
      <c r="H2" s="3628"/>
      <c r="I2" s="3628"/>
      <c r="J2" s="3628"/>
    </row>
    <row r="3" spans="1:10" ht="21" customHeight="1">
      <c r="B3" s="3628"/>
      <c r="C3" s="920">
        <v>1</v>
      </c>
      <c r="D3" s="920">
        <v>2</v>
      </c>
      <c r="E3" s="920">
        <v>3</v>
      </c>
      <c r="F3" s="920">
        <v>4</v>
      </c>
      <c r="G3" s="920">
        <v>5</v>
      </c>
      <c r="H3" s="920">
        <v>6</v>
      </c>
      <c r="I3" s="920">
        <v>7</v>
      </c>
      <c r="J3" s="920">
        <v>8</v>
      </c>
    </row>
    <row r="4" spans="1:10" ht="21" customHeight="1">
      <c r="A4" s="919" t="s">
        <v>890</v>
      </c>
      <c r="B4" s="921" t="s">
        <v>891</v>
      </c>
      <c r="C4" s="922" t="s">
        <v>892</v>
      </c>
      <c r="D4" s="922" t="s">
        <v>893</v>
      </c>
      <c r="E4" s="922" t="s">
        <v>894</v>
      </c>
      <c r="F4" s="922"/>
      <c r="G4" s="922" t="s">
        <v>895</v>
      </c>
      <c r="H4" s="922" t="s">
        <v>896</v>
      </c>
      <c r="I4" s="922" t="s">
        <v>897</v>
      </c>
      <c r="J4" s="922" t="s">
        <v>898</v>
      </c>
    </row>
    <row r="5" spans="1:10" ht="21" customHeight="1">
      <c r="A5" s="919" t="s">
        <v>890</v>
      </c>
      <c r="B5" s="921" t="s">
        <v>899</v>
      </c>
      <c r="C5" s="922" t="s">
        <v>892</v>
      </c>
      <c r="D5" s="922" t="s">
        <v>893</v>
      </c>
      <c r="E5" s="922" t="s">
        <v>894</v>
      </c>
      <c r="F5" s="922"/>
      <c r="G5" s="922" t="s">
        <v>895</v>
      </c>
      <c r="H5" s="922" t="s">
        <v>896</v>
      </c>
      <c r="I5" s="922" t="s">
        <v>897</v>
      </c>
      <c r="J5" s="922" t="s">
        <v>898</v>
      </c>
    </row>
    <row r="6" spans="1:10" ht="21" customHeight="1">
      <c r="A6" s="919" t="s">
        <v>900</v>
      </c>
      <c r="B6" s="921" t="s">
        <v>901</v>
      </c>
      <c r="C6" s="922" t="s">
        <v>892</v>
      </c>
      <c r="D6" s="922" t="s">
        <v>893</v>
      </c>
      <c r="E6" s="922" t="s">
        <v>894</v>
      </c>
      <c r="F6" s="922"/>
      <c r="G6" s="922" t="s">
        <v>895</v>
      </c>
      <c r="H6" s="922" t="s">
        <v>896</v>
      </c>
      <c r="I6" s="922" t="s">
        <v>897</v>
      </c>
      <c r="J6" s="922" t="s">
        <v>898</v>
      </c>
    </row>
    <row r="7" spans="1:10" ht="21" customHeight="1">
      <c r="A7" s="919" t="s">
        <v>902</v>
      </c>
      <c r="B7" s="921" t="s">
        <v>903</v>
      </c>
      <c r="C7" s="922" t="s">
        <v>892</v>
      </c>
      <c r="D7" s="923"/>
      <c r="E7" s="922" t="s">
        <v>894</v>
      </c>
      <c r="F7" s="922" t="s">
        <v>904</v>
      </c>
      <c r="G7" s="922" t="s">
        <v>895</v>
      </c>
      <c r="H7" s="922"/>
      <c r="I7" s="922" t="s">
        <v>897</v>
      </c>
      <c r="J7" s="922" t="s">
        <v>898</v>
      </c>
    </row>
    <row r="8" spans="1:10" ht="21" customHeight="1">
      <c r="A8" s="919" t="s">
        <v>902</v>
      </c>
      <c r="B8" s="921" t="s">
        <v>905</v>
      </c>
      <c r="C8" s="922" t="s">
        <v>892</v>
      </c>
      <c r="D8" s="923"/>
      <c r="E8" s="922" t="s">
        <v>894</v>
      </c>
      <c r="F8" s="922" t="s">
        <v>904</v>
      </c>
      <c r="G8" s="922" t="s">
        <v>895</v>
      </c>
      <c r="H8" s="922"/>
      <c r="I8" s="922" t="s">
        <v>897</v>
      </c>
      <c r="J8" s="922" t="s">
        <v>898</v>
      </c>
    </row>
    <row r="9" spans="1:10" ht="21" customHeight="1">
      <c r="A9" s="919" t="s">
        <v>902</v>
      </c>
      <c r="B9" s="921" t="s">
        <v>906</v>
      </c>
      <c r="C9" s="922" t="s">
        <v>892</v>
      </c>
      <c r="D9" s="923"/>
      <c r="E9" s="922" t="s">
        <v>894</v>
      </c>
      <c r="F9" s="922" t="s">
        <v>904</v>
      </c>
      <c r="G9" s="922" t="s">
        <v>895</v>
      </c>
      <c r="H9" s="922"/>
      <c r="I9" s="922" t="s">
        <v>897</v>
      </c>
      <c r="J9" s="922" t="s">
        <v>898</v>
      </c>
    </row>
    <row r="10" spans="1:10" ht="21" customHeight="1">
      <c r="A10" s="919" t="s">
        <v>907</v>
      </c>
      <c r="B10" s="921" t="s">
        <v>908</v>
      </c>
      <c r="C10" s="922" t="s">
        <v>892</v>
      </c>
      <c r="D10" s="922"/>
      <c r="E10" s="922"/>
      <c r="F10" s="922"/>
      <c r="G10" s="922" t="s">
        <v>895</v>
      </c>
      <c r="H10" s="922"/>
      <c r="I10" s="922"/>
      <c r="J10" s="922"/>
    </row>
    <row r="11" spans="1:10" ht="21" customHeight="1">
      <c r="A11" s="919" t="s">
        <v>909</v>
      </c>
      <c r="B11" s="921" t="s">
        <v>910</v>
      </c>
      <c r="C11" s="922" t="s">
        <v>892</v>
      </c>
      <c r="D11" s="922"/>
      <c r="E11" s="922"/>
      <c r="F11" s="922" t="s">
        <v>904</v>
      </c>
      <c r="G11" s="922"/>
      <c r="H11" s="922"/>
      <c r="I11" s="922"/>
      <c r="J11" s="922"/>
    </row>
  </sheetData>
  <mergeCells count="3">
    <mergeCell ref="B1:J1"/>
    <mergeCell ref="B2:B3"/>
    <mergeCell ref="C2:J2"/>
  </mergeCells>
  <phoneticPr fontId="7" type="noConversion"/>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24" customWidth="1"/>
    <col min="2" max="2" width="13" style="324" customWidth="1"/>
    <col min="3" max="3" width="33.125" style="324" customWidth="1"/>
    <col min="4" max="5" width="12.625" style="324" customWidth="1"/>
    <col min="6" max="6" width="27.5" style="324" customWidth="1"/>
    <col min="7" max="7" width="12.5" style="818" bestFit="1" customWidth="1"/>
    <col min="8" max="8" width="12.5" style="818" customWidth="1"/>
    <col min="9" max="9" width="12.5" style="819" customWidth="1"/>
    <col min="10" max="10" width="13.375" style="818" bestFit="1" customWidth="1"/>
    <col min="11" max="11" width="13.375" style="818" customWidth="1"/>
    <col min="12" max="12" width="13.375" style="819" customWidth="1"/>
    <col min="13" max="13" width="13.375" style="818" bestFit="1" customWidth="1"/>
    <col min="14" max="14" width="13.375" style="818" customWidth="1"/>
    <col min="15" max="15" width="13.375" style="819" customWidth="1"/>
    <col min="16" max="16" width="15.125" style="818" customWidth="1"/>
    <col min="17" max="17" width="11.75" style="818" customWidth="1"/>
    <col min="18" max="18" width="10.125" style="819" customWidth="1"/>
    <col min="19" max="19" width="10.125" style="818" bestFit="1" customWidth="1"/>
    <col min="20" max="20" width="10.125" style="325" customWidth="1"/>
    <col min="21" max="21" width="10.125" style="321" customWidth="1"/>
    <col min="22" max="22" width="10.125" style="818" bestFit="1" customWidth="1"/>
    <col min="23" max="23" width="10.125" style="325" customWidth="1"/>
    <col min="24" max="24" width="10.125" style="321" customWidth="1"/>
    <col min="25" max="25" width="9" style="321"/>
    <col min="26" max="37" width="9" style="321" hidden="1" customWidth="1"/>
    <col min="38" max="16384" width="9" style="321"/>
  </cols>
  <sheetData>
    <row r="1" spans="1:49" ht="71.45" customHeight="1">
      <c r="A1" s="796" t="s">
        <v>319</v>
      </c>
      <c r="B1" s="796"/>
      <c r="C1" s="796"/>
      <c r="D1" s="796"/>
      <c r="E1" s="796"/>
      <c r="F1" s="796"/>
      <c r="G1" s="814"/>
      <c r="H1" s="814"/>
      <c r="I1" s="814"/>
      <c r="J1" s="814"/>
      <c r="K1" s="814"/>
      <c r="L1" s="814"/>
      <c r="M1" s="814"/>
      <c r="N1" s="814"/>
      <c r="O1" s="814"/>
      <c r="P1" s="814"/>
      <c r="Q1" s="814"/>
      <c r="R1" s="814"/>
      <c r="S1" s="814"/>
      <c r="T1" s="796"/>
      <c r="U1" s="796"/>
      <c r="V1" s="814"/>
      <c r="W1" s="797"/>
      <c r="X1" s="798"/>
    </row>
    <row r="2" spans="1:49" s="326" customFormat="1" ht="15">
      <c r="A2" s="323" t="s">
        <v>320</v>
      </c>
      <c r="B2" s="323" t="s">
        <v>321</v>
      </c>
      <c r="C2" s="323" t="s">
        <v>322</v>
      </c>
      <c r="D2" s="323" t="s">
        <v>323</v>
      </c>
      <c r="E2" s="323" t="s">
        <v>324</v>
      </c>
      <c r="F2" s="323" t="s">
        <v>325</v>
      </c>
      <c r="G2" s="815" t="s">
        <v>326</v>
      </c>
      <c r="H2" s="815" t="s">
        <v>327</v>
      </c>
      <c r="I2" s="816" t="s">
        <v>328</v>
      </c>
      <c r="J2" s="815" t="s">
        <v>329</v>
      </c>
      <c r="K2" s="815" t="s">
        <v>330</v>
      </c>
      <c r="L2" s="816" t="s">
        <v>331</v>
      </c>
      <c r="M2" s="815" t="s">
        <v>332</v>
      </c>
      <c r="N2" s="815" t="s">
        <v>333</v>
      </c>
      <c r="O2" s="816" t="s">
        <v>334</v>
      </c>
      <c r="P2" s="815" t="s">
        <v>335</v>
      </c>
      <c r="Q2" s="815" t="s">
        <v>336</v>
      </c>
      <c r="R2" s="816" t="s">
        <v>337</v>
      </c>
      <c r="S2" s="815" t="s">
        <v>338</v>
      </c>
      <c r="T2" s="322" t="s">
        <v>339</v>
      </c>
      <c r="U2" s="323" t="s">
        <v>340</v>
      </c>
      <c r="V2" s="815" t="s">
        <v>341</v>
      </c>
      <c r="W2" s="322" t="s">
        <v>342</v>
      </c>
      <c r="X2" s="323" t="s">
        <v>343</v>
      </c>
      <c r="Z2" s="809">
        <v>1</v>
      </c>
      <c r="AA2" s="809" t="s">
        <v>832</v>
      </c>
      <c r="AB2" s="809">
        <v>2</v>
      </c>
      <c r="AC2" s="809" t="s">
        <v>832</v>
      </c>
      <c r="AD2" s="809">
        <v>3</v>
      </c>
      <c r="AE2" s="809" t="s">
        <v>832</v>
      </c>
      <c r="AF2" s="809">
        <v>4</v>
      </c>
      <c r="AG2" s="809" t="s">
        <v>832</v>
      </c>
      <c r="AH2" s="809">
        <v>5</v>
      </c>
      <c r="AI2" s="809" t="s">
        <v>832</v>
      </c>
      <c r="AJ2" s="809">
        <v>6</v>
      </c>
      <c r="AK2" s="809" t="s">
        <v>832</v>
      </c>
      <c r="AL2" s="826">
        <v>1</v>
      </c>
      <c r="AM2" s="826" t="s">
        <v>832</v>
      </c>
      <c r="AN2" s="826">
        <v>2</v>
      </c>
      <c r="AO2" s="826" t="s">
        <v>832</v>
      </c>
      <c r="AP2" s="826">
        <v>3</v>
      </c>
      <c r="AQ2" s="826" t="s">
        <v>832</v>
      </c>
      <c r="AR2" s="826">
        <v>4</v>
      </c>
      <c r="AS2" s="826" t="s">
        <v>832</v>
      </c>
      <c r="AT2" s="826">
        <v>5</v>
      </c>
      <c r="AU2" s="826" t="s">
        <v>832</v>
      </c>
      <c r="AV2" s="826">
        <v>6</v>
      </c>
      <c r="AW2" s="826" t="s">
        <v>832</v>
      </c>
    </row>
    <row r="3" spans="1:49" s="326" customFormat="1" ht="15">
      <c r="A3" s="323" t="s">
        <v>344</v>
      </c>
      <c r="B3" s="323" t="s">
        <v>345</v>
      </c>
      <c r="C3" s="323" t="s">
        <v>346</v>
      </c>
      <c r="D3" s="323" t="s">
        <v>347</v>
      </c>
      <c r="E3" s="323" t="s">
        <v>348</v>
      </c>
      <c r="F3" s="323" t="s">
        <v>349</v>
      </c>
      <c r="G3" s="815" t="s">
        <v>350</v>
      </c>
      <c r="H3" s="815" t="s">
        <v>351</v>
      </c>
      <c r="I3" s="816" t="s">
        <v>1</v>
      </c>
      <c r="J3" s="815" t="s">
        <v>352</v>
      </c>
      <c r="K3" s="815"/>
      <c r="L3" s="816" t="s">
        <v>1</v>
      </c>
      <c r="M3" s="815" t="s">
        <v>353</v>
      </c>
      <c r="N3" s="815"/>
      <c r="O3" s="816" t="s">
        <v>1</v>
      </c>
      <c r="P3" s="815" t="s">
        <v>354</v>
      </c>
      <c r="Q3" s="815"/>
      <c r="R3" s="816" t="s">
        <v>1</v>
      </c>
      <c r="S3" s="815" t="s">
        <v>355</v>
      </c>
      <c r="T3" s="322"/>
      <c r="U3" s="323" t="s">
        <v>1</v>
      </c>
      <c r="V3" s="815" t="s">
        <v>356</v>
      </c>
      <c r="W3" s="322"/>
      <c r="X3" s="323" t="s">
        <v>1</v>
      </c>
    </row>
    <row r="4" spans="1:49" s="328" customFormat="1">
      <c r="A4" s="865">
        <f>'1. XL-1E kh'!G3</f>
        <v>0</v>
      </c>
      <c r="B4" s="327" t="s">
        <v>240</v>
      </c>
      <c r="C4" s="327" t="str">
        <f t="shared" ref="C4:C33" si="0">IFERROR(VLOOKUP($B4,_XM_XT_THUCTE,3,0),"")</f>
        <v xml:space="preserve">Xà bông (1)脫脂 </v>
      </c>
      <c r="D4" s="327" t="str">
        <f t="shared" ref="D4:D33" si="1">IFERROR(VLOOKUP($B4,_XM_XT_THUCTE,2,0),"")</f>
        <v>XL-001E</v>
      </c>
      <c r="E4" s="327" t="str">
        <f t="shared" ref="E4:E33" si="2">IFERROR(VLOOKUP($B4,_XM_XT_THUCTE,4,0),"")</f>
        <v>g/L</v>
      </c>
      <c r="F4" s="327" t="str">
        <f t="shared" ref="F4:F33" si="3">IFERROR(VLOOKUP($B4,_XM_XT_THUCTE,5,0),"")</f>
        <v>20~40</v>
      </c>
      <c r="G4" s="812">
        <f t="shared" ref="G4:G33" si="4">IFERROR(VLOOKUP($B4,_XM_XT_THUCTE,8,0),"")</f>
        <v>0</v>
      </c>
      <c r="H4" s="812" t="str">
        <f t="shared" ref="H4:H33" si="5">IFERROR(VLOOKUP($B4,_XM_XT_THUCTE,11,0),"")</f>
        <v>+</v>
      </c>
      <c r="I4" s="817">
        <f t="shared" ref="I4:I33" si="6">IFERROR(VLOOKUP($B4,_XM_XT_THUCTE,12,0),"")</f>
        <v>0</v>
      </c>
      <c r="J4" s="812" t="str">
        <f t="shared" ref="J4:J44" si="7">IFERROR(VLOOKUP($B4,_XM_XT_THUCTE,14,0),"")</f>
        <v>kg</v>
      </c>
      <c r="K4" s="812">
        <f t="shared" ref="K4:K33" si="8">IFERROR(VLOOKUP($B4,_XM_XT_THUCTE,17,0),"")</f>
        <v>80.790000000000006</v>
      </c>
      <c r="L4" s="817" t="str">
        <f t="shared" ref="L4:L33" si="9">IFERROR(VLOOKUP($B4,_XM_XT_THUCTE,18,0),"")</f>
        <v>+</v>
      </c>
      <c r="M4" s="812" t="str">
        <f t="shared" ref="M4:M33" si="10">IFERROR(VLOOKUP($B4,_XM_XT_THUCTE,20,0),"")</f>
        <v/>
      </c>
      <c r="N4" s="812">
        <f t="shared" ref="N4:N33" si="11">IFERROR(VLOOKUP($B4,_XM_XT_THUCTE,23,0),"")</f>
        <v>0</v>
      </c>
      <c r="O4" s="817">
        <f t="shared" ref="O4:O33" si="12">IFERROR(VLOOKUP($B4,_XM_XT_THUCTE,24,0),"")</f>
        <v>80.790000000000006</v>
      </c>
      <c r="P4" s="812">
        <f t="shared" ref="P4:P33" si="13">IFERROR(VLOOKUP($B4,_XM_XT_THUCTE,26,0),"")</f>
        <v>0</v>
      </c>
      <c r="Q4" s="812">
        <f t="shared" ref="Q4:Q33" si="14">IFERROR(VLOOKUP($B4,_XM_XT_THUCTE,29,0),"")</f>
        <v>0</v>
      </c>
      <c r="R4" s="817">
        <f t="shared" ref="R4:R33" si="15">IFERROR(VLOOKUP($B4,_XM_XT_THUCTE,30,0),"")</f>
        <v>0</v>
      </c>
      <c r="S4" s="812" t="str">
        <f t="shared" ref="S4:S33" si="16">IFERROR(VLOOKUP($B4,_XM_XT_THUCTE,32,0),"")</f>
        <v>+</v>
      </c>
      <c r="T4" s="805" t="str">
        <f t="shared" ref="T4:T33" si="17">IFERROR(VLOOKUP($B4,_XM_XT_THUCTE,35,0),"")</f>
        <v>kg</v>
      </c>
      <c r="U4" s="806">
        <f t="shared" ref="U4:U33" si="18">IFERROR(VLOOKUP($B4,_XM_XT_THUCTE,36,0),"")</f>
        <v>0</v>
      </c>
      <c r="V4" s="812">
        <f t="shared" ref="V4:V33" si="19">IFERROR(VLOOKUP($B4,_XM_XT_THUCTE,38,0),"")</f>
        <v>80.790000000000006</v>
      </c>
      <c r="W4" s="805" t="str">
        <f t="shared" ref="W4:W33" si="20">IFERROR(VLOOKUP($B4,_XM_XT_THUCTE,41,0),"")</f>
        <v/>
      </c>
      <c r="X4" s="806" t="str">
        <f t="shared" ref="X4:X33" si="21">IFERROR(VLOOKUP($B4,_XM_XT_THUCTE,42,0),"")</f>
        <v>kg</v>
      </c>
      <c r="Z4" s="328" t="b">
        <f>ISNUMBER(G4)</f>
        <v>1</v>
      </c>
      <c r="AA4" s="328" t="b">
        <f>ISNUMBER(H4)</f>
        <v>0</v>
      </c>
      <c r="AB4" s="328" t="b">
        <f>ISNUMBER(J4)</f>
        <v>0</v>
      </c>
      <c r="AC4" s="328" t="b">
        <f>ISNUMBER(K4)</f>
        <v>1</v>
      </c>
      <c r="AD4" s="328" t="b">
        <f>ISNUMBER(M4)</f>
        <v>0</v>
      </c>
      <c r="AE4" s="328" t="b">
        <f>ISNUMBER(N4)</f>
        <v>1</v>
      </c>
      <c r="AF4" s="328" t="b">
        <f>ISNUMBER(P4)</f>
        <v>1</v>
      </c>
      <c r="AG4" s="328" t="b">
        <f>ISNUMBER(Q4)</f>
        <v>1</v>
      </c>
      <c r="AH4" s="328" t="b">
        <f>ISNUMBER(S4)</f>
        <v>0</v>
      </c>
      <c r="AI4" s="328" t="b">
        <f>ISNUMBER(T4)</f>
        <v>0</v>
      </c>
      <c r="AJ4" s="328" t="b">
        <f>ISNUMBER(V4)</f>
        <v>1</v>
      </c>
      <c r="AK4" s="328" t="b">
        <f>ISNUMBER(W4)</f>
        <v>0</v>
      </c>
      <c r="AL4" s="836" t="str">
        <f t="shared" ref="AL4:AW4" si="22">IF(Z4=TRUE,"",1)</f>
        <v/>
      </c>
      <c r="AM4" s="837">
        <f t="shared" si="22"/>
        <v>1</v>
      </c>
      <c r="AN4" s="837">
        <f t="shared" si="22"/>
        <v>1</v>
      </c>
      <c r="AO4" s="837" t="str">
        <f t="shared" si="22"/>
        <v/>
      </c>
      <c r="AP4" s="837">
        <f t="shared" si="22"/>
        <v>1</v>
      </c>
      <c r="AQ4" s="837" t="str">
        <f t="shared" si="22"/>
        <v/>
      </c>
      <c r="AR4" s="837" t="str">
        <f t="shared" si="22"/>
        <v/>
      </c>
      <c r="AS4" s="837" t="str">
        <f t="shared" si="22"/>
        <v/>
      </c>
      <c r="AT4" s="837">
        <f t="shared" si="22"/>
        <v>1</v>
      </c>
      <c r="AU4" s="837">
        <f t="shared" si="22"/>
        <v>1</v>
      </c>
      <c r="AV4" s="837" t="str">
        <f t="shared" si="22"/>
        <v/>
      </c>
      <c r="AW4" s="842">
        <f t="shared" si="22"/>
        <v>1</v>
      </c>
    </row>
    <row r="5" spans="1:49" s="328" customFormat="1">
      <c r="A5" s="823">
        <f>IF(B5="","",$A$4)</f>
        <v>0</v>
      </c>
      <c r="B5" s="327" t="s">
        <v>241</v>
      </c>
      <c r="C5" s="327" t="str">
        <f t="shared" si="0"/>
        <v xml:space="preserve">Xà bông (2)脫脂 </v>
      </c>
      <c r="D5" s="327" t="str">
        <f t="shared" si="1"/>
        <v>XL-001E</v>
      </c>
      <c r="E5" s="327" t="str">
        <f t="shared" si="2"/>
        <v>g/L</v>
      </c>
      <c r="F5" s="327" t="str">
        <f t="shared" si="3"/>
        <v>20~40</v>
      </c>
      <c r="G5" s="812">
        <f t="shared" si="4"/>
        <v>0</v>
      </c>
      <c r="H5" s="812" t="str">
        <f t="shared" si="5"/>
        <v>+</v>
      </c>
      <c r="I5" s="817">
        <f t="shared" si="6"/>
        <v>0</v>
      </c>
      <c r="J5" s="812" t="str">
        <f t="shared" si="7"/>
        <v>kg</v>
      </c>
      <c r="K5" s="812">
        <f t="shared" si="8"/>
        <v>99.15</v>
      </c>
      <c r="L5" s="817" t="str">
        <f t="shared" si="9"/>
        <v>+</v>
      </c>
      <c r="M5" s="812" t="str">
        <f t="shared" si="10"/>
        <v/>
      </c>
      <c r="N5" s="812">
        <f t="shared" si="11"/>
        <v>0</v>
      </c>
      <c r="O5" s="817">
        <f t="shared" si="12"/>
        <v>99.15</v>
      </c>
      <c r="P5" s="812">
        <f t="shared" si="13"/>
        <v>0</v>
      </c>
      <c r="Q5" s="812">
        <f t="shared" si="14"/>
        <v>0</v>
      </c>
      <c r="R5" s="817">
        <f t="shared" si="15"/>
        <v>0</v>
      </c>
      <c r="S5" s="812" t="str">
        <f t="shared" si="16"/>
        <v>+</v>
      </c>
      <c r="T5" s="805" t="str">
        <f t="shared" si="17"/>
        <v>kg</v>
      </c>
      <c r="U5" s="806">
        <f t="shared" si="18"/>
        <v>0</v>
      </c>
      <c r="V5" s="812">
        <f t="shared" si="19"/>
        <v>99.15</v>
      </c>
      <c r="W5" s="805" t="str">
        <f t="shared" si="20"/>
        <v/>
      </c>
      <c r="X5" s="806" t="str">
        <f t="shared" si="21"/>
        <v>kg</v>
      </c>
      <c r="Z5" s="328" t="b">
        <f t="shared" ref="Z5:Z68" si="23">ISNUMBER(G5)</f>
        <v>1</v>
      </c>
      <c r="AA5" s="328" t="b">
        <f t="shared" ref="AA5:AA68" si="24">ISNUMBER(H5)</f>
        <v>0</v>
      </c>
      <c r="AB5" s="328" t="b">
        <f t="shared" ref="AB5:AB68" si="25">ISNUMBER(J5)</f>
        <v>0</v>
      </c>
      <c r="AC5" s="328" t="b">
        <f t="shared" ref="AC5:AC68" si="26">ISNUMBER(K5)</f>
        <v>1</v>
      </c>
      <c r="AD5" s="328" t="b">
        <f t="shared" ref="AD5:AD68" si="27">ISNUMBER(M5)</f>
        <v>0</v>
      </c>
      <c r="AE5" s="328" t="b">
        <f t="shared" ref="AE5:AE68" si="28">ISNUMBER(N5)</f>
        <v>1</v>
      </c>
      <c r="AF5" s="328" t="b">
        <f t="shared" ref="AF5:AF68" si="29">ISNUMBER(P5)</f>
        <v>1</v>
      </c>
      <c r="AG5" s="328" t="b">
        <f t="shared" ref="AG5:AG68" si="30">ISNUMBER(Q5)</f>
        <v>1</v>
      </c>
      <c r="AH5" s="328" t="b">
        <f t="shared" ref="AH5:AH68" si="31">ISNUMBER(S5)</f>
        <v>0</v>
      </c>
      <c r="AI5" s="328" t="b">
        <f t="shared" ref="AI5:AI68" si="32">ISNUMBER(T5)</f>
        <v>0</v>
      </c>
      <c r="AJ5" s="328" t="b">
        <f t="shared" ref="AJ5:AJ68" si="33">ISNUMBER(V5)</f>
        <v>1</v>
      </c>
      <c r="AK5" s="328" t="b">
        <f t="shared" ref="AK5:AK68" si="34">ISNUMBER(W5)</f>
        <v>0</v>
      </c>
      <c r="AL5" s="838" t="str">
        <f t="shared" ref="AL5:AL68" si="35">IF(Z5=TRUE,"",1)</f>
        <v/>
      </c>
      <c r="AM5" s="839">
        <f t="shared" ref="AM5:AM68" si="36">IF(AA5=TRUE,"",1)</f>
        <v>1</v>
      </c>
      <c r="AN5" s="839">
        <f t="shared" ref="AN5:AN68" si="37">IF(AB5=TRUE,"",1)</f>
        <v>1</v>
      </c>
      <c r="AO5" s="839" t="str">
        <f t="shared" ref="AO5:AO68" si="38">IF(AC5=TRUE,"",1)</f>
        <v/>
      </c>
      <c r="AP5" s="839">
        <f t="shared" ref="AP5:AP68" si="39">IF(AD5=TRUE,"",1)</f>
        <v>1</v>
      </c>
      <c r="AQ5" s="839" t="str">
        <f t="shared" ref="AQ5:AQ68" si="40">IF(AE5=TRUE,"",1)</f>
        <v/>
      </c>
      <c r="AR5" s="839" t="str">
        <f t="shared" ref="AR5:AR68" si="41">IF(AF5=TRUE,"",1)</f>
        <v/>
      </c>
      <c r="AS5" s="839" t="str">
        <f t="shared" ref="AS5:AS68" si="42">IF(AG5=TRUE,"",1)</f>
        <v/>
      </c>
      <c r="AT5" s="839">
        <f t="shared" ref="AT5:AT68" si="43">IF(AH5=TRUE,"",1)</f>
        <v>1</v>
      </c>
      <c r="AU5" s="839">
        <f t="shared" ref="AU5:AU68" si="44">IF(AI5=TRUE,"",1)</f>
        <v>1</v>
      </c>
      <c r="AV5" s="839" t="str">
        <f t="shared" ref="AV5:AW68" si="45">IF(AJ5=TRUE,"",1)</f>
        <v/>
      </c>
      <c r="AW5" s="843">
        <f t="shared" si="45"/>
        <v>1</v>
      </c>
    </row>
    <row r="6" spans="1:49" s="328" customFormat="1">
      <c r="A6" s="823">
        <f t="shared" ref="A6:A61" si="46">IF(B6="","",$A$4)</f>
        <v>0</v>
      </c>
      <c r="B6" s="327" t="s">
        <v>242</v>
      </c>
      <c r="C6" s="327" t="str">
        <f t="shared" si="0"/>
        <v xml:space="preserve">điện giải(1)+電解  </v>
      </c>
      <c r="D6" s="327" t="str">
        <f t="shared" si="1"/>
        <v>XL-001E</v>
      </c>
      <c r="E6" s="327" t="str">
        <f t="shared" si="2"/>
        <v>g/L</v>
      </c>
      <c r="F6" s="327" t="str">
        <f t="shared" si="3"/>
        <v>60~80</v>
      </c>
      <c r="G6" s="812">
        <f t="shared" si="4"/>
        <v>0</v>
      </c>
      <c r="H6" s="812" t="str">
        <f t="shared" si="5"/>
        <v>+</v>
      </c>
      <c r="I6" s="817">
        <f t="shared" si="6"/>
        <v>0</v>
      </c>
      <c r="J6" s="812" t="str">
        <f t="shared" si="7"/>
        <v>kg</v>
      </c>
      <c r="K6" s="812">
        <f t="shared" si="8"/>
        <v>80.92</v>
      </c>
      <c r="L6" s="817" t="str">
        <f t="shared" si="9"/>
        <v>+</v>
      </c>
      <c r="M6" s="812" t="str">
        <f t="shared" si="10"/>
        <v/>
      </c>
      <c r="N6" s="812">
        <f t="shared" si="11"/>
        <v>0</v>
      </c>
      <c r="O6" s="817">
        <f t="shared" si="12"/>
        <v>80.92</v>
      </c>
      <c r="P6" s="812">
        <f t="shared" si="13"/>
        <v>0</v>
      </c>
      <c r="Q6" s="812">
        <f t="shared" si="14"/>
        <v>0</v>
      </c>
      <c r="R6" s="817">
        <f t="shared" si="15"/>
        <v>0</v>
      </c>
      <c r="S6" s="812" t="str">
        <f t="shared" si="16"/>
        <v>+</v>
      </c>
      <c r="T6" s="805" t="str">
        <f t="shared" si="17"/>
        <v>kg</v>
      </c>
      <c r="U6" s="806">
        <f t="shared" si="18"/>
        <v>0</v>
      </c>
      <c r="V6" s="812">
        <f t="shared" si="19"/>
        <v>80.92</v>
      </c>
      <c r="W6" s="805" t="str">
        <f t="shared" si="20"/>
        <v/>
      </c>
      <c r="X6" s="806" t="str">
        <f t="shared" si="21"/>
        <v>kg</v>
      </c>
      <c r="Z6" s="328" t="b">
        <f t="shared" si="23"/>
        <v>1</v>
      </c>
      <c r="AA6" s="328" t="b">
        <f t="shared" si="24"/>
        <v>0</v>
      </c>
      <c r="AB6" s="328" t="b">
        <f t="shared" si="25"/>
        <v>0</v>
      </c>
      <c r="AC6" s="328" t="b">
        <f t="shared" si="26"/>
        <v>1</v>
      </c>
      <c r="AD6" s="328" t="b">
        <f t="shared" si="27"/>
        <v>0</v>
      </c>
      <c r="AE6" s="328" t="b">
        <f t="shared" si="28"/>
        <v>1</v>
      </c>
      <c r="AF6" s="328" t="b">
        <f t="shared" si="29"/>
        <v>1</v>
      </c>
      <c r="AG6" s="328" t="b">
        <f t="shared" si="30"/>
        <v>1</v>
      </c>
      <c r="AH6" s="328" t="b">
        <f t="shared" si="31"/>
        <v>0</v>
      </c>
      <c r="AI6" s="328" t="b">
        <f t="shared" si="32"/>
        <v>0</v>
      </c>
      <c r="AJ6" s="328" t="b">
        <f t="shared" si="33"/>
        <v>1</v>
      </c>
      <c r="AK6" s="328" t="b">
        <f t="shared" si="34"/>
        <v>0</v>
      </c>
      <c r="AL6" s="838" t="str">
        <f t="shared" si="35"/>
        <v/>
      </c>
      <c r="AM6" s="839">
        <f t="shared" si="36"/>
        <v>1</v>
      </c>
      <c r="AN6" s="839">
        <f t="shared" si="37"/>
        <v>1</v>
      </c>
      <c r="AO6" s="839" t="str">
        <f t="shared" si="38"/>
        <v/>
      </c>
      <c r="AP6" s="839">
        <f t="shared" si="39"/>
        <v>1</v>
      </c>
      <c r="AQ6" s="839" t="str">
        <f t="shared" si="40"/>
        <v/>
      </c>
      <c r="AR6" s="839" t="str">
        <f t="shared" si="41"/>
        <v/>
      </c>
      <c r="AS6" s="839" t="str">
        <f t="shared" si="42"/>
        <v/>
      </c>
      <c r="AT6" s="839">
        <f t="shared" si="43"/>
        <v>1</v>
      </c>
      <c r="AU6" s="839">
        <f t="shared" si="44"/>
        <v>1</v>
      </c>
      <c r="AV6" s="839" t="str">
        <f t="shared" si="45"/>
        <v/>
      </c>
      <c r="AW6" s="843">
        <f t="shared" si="45"/>
        <v>1</v>
      </c>
    </row>
    <row r="7" spans="1:49" s="328" customFormat="1">
      <c r="A7" s="823">
        <f t="shared" si="46"/>
        <v>0</v>
      </c>
      <c r="B7" s="327" t="s">
        <v>243</v>
      </c>
      <c r="C7" s="327" t="str">
        <f t="shared" si="0"/>
        <v xml:space="preserve">điện giải (2)+電解  </v>
      </c>
      <c r="D7" s="327" t="str">
        <f t="shared" si="1"/>
        <v>XL-001E</v>
      </c>
      <c r="E7" s="327" t="str">
        <f t="shared" si="2"/>
        <v>g/L</v>
      </c>
      <c r="F7" s="327" t="str">
        <f t="shared" si="3"/>
        <v>60~80</v>
      </c>
      <c r="G7" s="812">
        <f t="shared" si="4"/>
        <v>0</v>
      </c>
      <c r="H7" s="812" t="str">
        <f t="shared" si="5"/>
        <v>+</v>
      </c>
      <c r="I7" s="817">
        <f t="shared" si="6"/>
        <v>0</v>
      </c>
      <c r="J7" s="812" t="str">
        <f t="shared" si="7"/>
        <v>kg</v>
      </c>
      <c r="K7" s="812">
        <f t="shared" si="8"/>
        <v>102.13</v>
      </c>
      <c r="L7" s="817" t="str">
        <f t="shared" si="9"/>
        <v>+</v>
      </c>
      <c r="M7" s="812" t="str">
        <f t="shared" si="10"/>
        <v/>
      </c>
      <c r="N7" s="812">
        <f t="shared" si="11"/>
        <v>0</v>
      </c>
      <c r="O7" s="817">
        <f t="shared" si="12"/>
        <v>102.13</v>
      </c>
      <c r="P7" s="812">
        <f t="shared" si="13"/>
        <v>0</v>
      </c>
      <c r="Q7" s="812">
        <f t="shared" si="14"/>
        <v>0</v>
      </c>
      <c r="R7" s="817">
        <f t="shared" si="15"/>
        <v>0</v>
      </c>
      <c r="S7" s="812" t="str">
        <f t="shared" si="16"/>
        <v>+</v>
      </c>
      <c r="T7" s="805" t="str">
        <f t="shared" si="17"/>
        <v>kg</v>
      </c>
      <c r="U7" s="806">
        <f t="shared" si="18"/>
        <v>0</v>
      </c>
      <c r="V7" s="812">
        <f t="shared" si="19"/>
        <v>102.13</v>
      </c>
      <c r="W7" s="805" t="str">
        <f t="shared" si="20"/>
        <v/>
      </c>
      <c r="X7" s="806" t="str">
        <f t="shared" si="21"/>
        <v>kg</v>
      </c>
      <c r="Z7" s="328" t="b">
        <f t="shared" si="23"/>
        <v>1</v>
      </c>
      <c r="AA7" s="328" t="b">
        <f t="shared" si="24"/>
        <v>0</v>
      </c>
      <c r="AB7" s="328" t="b">
        <f t="shared" si="25"/>
        <v>0</v>
      </c>
      <c r="AC7" s="328" t="b">
        <f t="shared" si="26"/>
        <v>1</v>
      </c>
      <c r="AD7" s="328" t="b">
        <f t="shared" si="27"/>
        <v>0</v>
      </c>
      <c r="AE7" s="328" t="b">
        <f t="shared" si="28"/>
        <v>1</v>
      </c>
      <c r="AF7" s="328" t="b">
        <f t="shared" si="29"/>
        <v>1</v>
      </c>
      <c r="AG7" s="328" t="b">
        <f t="shared" si="30"/>
        <v>1</v>
      </c>
      <c r="AH7" s="328" t="b">
        <f t="shared" si="31"/>
        <v>0</v>
      </c>
      <c r="AI7" s="328" t="b">
        <f t="shared" si="32"/>
        <v>0</v>
      </c>
      <c r="AJ7" s="328" t="b">
        <f t="shared" si="33"/>
        <v>1</v>
      </c>
      <c r="AK7" s="328" t="b">
        <f t="shared" si="34"/>
        <v>0</v>
      </c>
      <c r="AL7" s="838" t="str">
        <f t="shared" si="35"/>
        <v/>
      </c>
      <c r="AM7" s="839">
        <f t="shared" si="36"/>
        <v>1</v>
      </c>
      <c r="AN7" s="839">
        <f t="shared" si="37"/>
        <v>1</v>
      </c>
      <c r="AO7" s="839" t="str">
        <f t="shared" si="38"/>
        <v/>
      </c>
      <c r="AP7" s="839">
        <f t="shared" si="39"/>
        <v>1</v>
      </c>
      <c r="AQ7" s="839" t="str">
        <f t="shared" si="40"/>
        <v/>
      </c>
      <c r="AR7" s="839" t="str">
        <f t="shared" si="41"/>
        <v/>
      </c>
      <c r="AS7" s="839" t="str">
        <f t="shared" si="42"/>
        <v/>
      </c>
      <c r="AT7" s="839">
        <f t="shared" si="43"/>
        <v>1</v>
      </c>
      <c r="AU7" s="839">
        <f t="shared" si="44"/>
        <v>1</v>
      </c>
      <c r="AV7" s="839" t="str">
        <f t="shared" si="45"/>
        <v/>
      </c>
      <c r="AW7" s="843">
        <f t="shared" si="45"/>
        <v>1</v>
      </c>
    </row>
    <row r="8" spans="1:49" s="328" customFormat="1">
      <c r="A8" s="823">
        <f t="shared" si="46"/>
        <v>0</v>
      </c>
      <c r="B8" s="327" t="s">
        <v>244</v>
      </c>
      <c r="C8" s="327" t="str">
        <f t="shared" si="0"/>
        <v>Nồng độ    NaOH
氫氧化鈉</v>
      </c>
      <c r="D8" s="327" t="str">
        <f t="shared" si="1"/>
        <v>XL-001E</v>
      </c>
      <c r="E8" s="327" t="str">
        <f t="shared" si="2"/>
        <v>g/L</v>
      </c>
      <c r="F8" s="327" t="str">
        <f t="shared" si="3"/>
        <v>130 - 150</v>
      </c>
      <c r="G8" s="812">
        <f t="shared" si="4"/>
        <v>0</v>
      </c>
      <c r="H8" s="812" t="str">
        <f t="shared" si="5"/>
        <v>+</v>
      </c>
      <c r="I8" s="817">
        <f t="shared" si="6"/>
        <v>0</v>
      </c>
      <c r="J8" s="812" t="str">
        <f t="shared" si="7"/>
        <v>kg</v>
      </c>
      <c r="K8" s="812">
        <f t="shared" si="8"/>
        <v>2793.14</v>
      </c>
      <c r="L8" s="817" t="str">
        <f t="shared" si="9"/>
        <v>+</v>
      </c>
      <c r="M8" s="812" t="str">
        <f t="shared" si="10"/>
        <v/>
      </c>
      <c r="N8" s="812">
        <f t="shared" si="11"/>
        <v>0</v>
      </c>
      <c r="O8" s="817">
        <f t="shared" si="12"/>
        <v>2793.14</v>
      </c>
      <c r="P8" s="812">
        <f t="shared" si="13"/>
        <v>0</v>
      </c>
      <c r="Q8" s="812">
        <f t="shared" si="14"/>
        <v>0</v>
      </c>
      <c r="R8" s="817">
        <f t="shared" si="15"/>
        <v>0</v>
      </c>
      <c r="S8" s="812" t="str">
        <f t="shared" si="16"/>
        <v>+</v>
      </c>
      <c r="T8" s="805" t="str">
        <f t="shared" si="17"/>
        <v>kg</v>
      </c>
      <c r="U8" s="806">
        <f t="shared" si="18"/>
        <v>0</v>
      </c>
      <c r="V8" s="812">
        <f t="shared" si="19"/>
        <v>2793.14</v>
      </c>
      <c r="W8" s="805" t="str">
        <f t="shared" si="20"/>
        <v/>
      </c>
      <c r="X8" s="806" t="str">
        <f t="shared" si="21"/>
        <v>kg</v>
      </c>
      <c r="Z8" s="328" t="b">
        <f t="shared" si="23"/>
        <v>1</v>
      </c>
      <c r="AA8" s="328" t="b">
        <f t="shared" si="24"/>
        <v>0</v>
      </c>
      <c r="AB8" s="328" t="b">
        <f t="shared" si="25"/>
        <v>0</v>
      </c>
      <c r="AC8" s="328" t="b">
        <f t="shared" si="26"/>
        <v>1</v>
      </c>
      <c r="AD8" s="328" t="b">
        <f t="shared" si="27"/>
        <v>0</v>
      </c>
      <c r="AE8" s="328" t="b">
        <f t="shared" si="28"/>
        <v>1</v>
      </c>
      <c r="AF8" s="328" t="b">
        <f t="shared" si="29"/>
        <v>1</v>
      </c>
      <c r="AG8" s="328" t="b">
        <f t="shared" si="30"/>
        <v>1</v>
      </c>
      <c r="AH8" s="328" t="b">
        <f t="shared" si="31"/>
        <v>0</v>
      </c>
      <c r="AI8" s="328" t="b">
        <f t="shared" si="32"/>
        <v>0</v>
      </c>
      <c r="AJ8" s="328" t="b">
        <f t="shared" si="33"/>
        <v>1</v>
      </c>
      <c r="AK8" s="328" t="b">
        <f t="shared" si="34"/>
        <v>0</v>
      </c>
      <c r="AL8" s="838" t="str">
        <f t="shared" si="35"/>
        <v/>
      </c>
      <c r="AM8" s="839">
        <f t="shared" si="36"/>
        <v>1</v>
      </c>
      <c r="AN8" s="839">
        <f t="shared" si="37"/>
        <v>1</v>
      </c>
      <c r="AO8" s="839" t="str">
        <f t="shared" si="38"/>
        <v/>
      </c>
      <c r="AP8" s="839">
        <f t="shared" si="39"/>
        <v>1</v>
      </c>
      <c r="AQ8" s="839" t="str">
        <f t="shared" si="40"/>
        <v/>
      </c>
      <c r="AR8" s="839" t="str">
        <f t="shared" si="41"/>
        <v/>
      </c>
      <c r="AS8" s="839" t="str">
        <f t="shared" si="42"/>
        <v/>
      </c>
      <c r="AT8" s="839">
        <f t="shared" si="43"/>
        <v>1</v>
      </c>
      <c r="AU8" s="839">
        <f t="shared" si="44"/>
        <v>1</v>
      </c>
      <c r="AV8" s="839" t="str">
        <f t="shared" si="45"/>
        <v/>
      </c>
      <c r="AW8" s="843">
        <f t="shared" si="45"/>
        <v>1</v>
      </c>
    </row>
    <row r="9" spans="1:49" s="328" customFormat="1">
      <c r="A9" s="823">
        <f t="shared" si="46"/>
        <v>0</v>
      </c>
      <c r="B9" s="327" t="s">
        <v>245</v>
      </c>
      <c r="C9" s="327" t="str">
        <f t="shared" si="0"/>
        <v>Nồng độ Zn  鋅
(1 pcs Zn=25kg)</v>
      </c>
      <c r="D9" s="327" t="str">
        <f t="shared" si="1"/>
        <v>XL-001E</v>
      </c>
      <c r="E9" s="327" t="str">
        <f t="shared" si="2"/>
        <v>g/L</v>
      </c>
      <c r="F9" s="327" t="str">
        <f t="shared" si="3"/>
        <v>8~12</v>
      </c>
      <c r="G9" s="812">
        <f t="shared" si="4"/>
        <v>0</v>
      </c>
      <c r="H9" s="812" t="str">
        <f t="shared" si="5"/>
        <v>+</v>
      </c>
      <c r="I9" s="817">
        <f t="shared" si="6"/>
        <v>0</v>
      </c>
      <c r="J9" s="812" t="str">
        <f t="shared" si="7"/>
        <v>kg</v>
      </c>
      <c r="K9" s="812">
        <f t="shared" si="8"/>
        <v>199.51</v>
      </c>
      <c r="L9" s="817" t="str">
        <f t="shared" si="9"/>
        <v>+</v>
      </c>
      <c r="M9" s="812" t="str">
        <f t="shared" si="10"/>
        <v/>
      </c>
      <c r="N9" s="812">
        <f t="shared" si="11"/>
        <v>0</v>
      </c>
      <c r="O9" s="817">
        <f t="shared" si="12"/>
        <v>199.51</v>
      </c>
      <c r="P9" s="812">
        <f t="shared" si="13"/>
        <v>0</v>
      </c>
      <c r="Q9" s="812">
        <f t="shared" si="14"/>
        <v>0</v>
      </c>
      <c r="R9" s="817">
        <f t="shared" si="15"/>
        <v>0</v>
      </c>
      <c r="S9" s="812" t="str">
        <f t="shared" si="16"/>
        <v>+</v>
      </c>
      <c r="T9" s="805" t="str">
        <f t="shared" si="17"/>
        <v>kg</v>
      </c>
      <c r="U9" s="806">
        <f t="shared" si="18"/>
        <v>0</v>
      </c>
      <c r="V9" s="812">
        <f t="shared" si="19"/>
        <v>199.51</v>
      </c>
      <c r="W9" s="805" t="str">
        <f t="shared" si="20"/>
        <v/>
      </c>
      <c r="X9" s="806" t="str">
        <f t="shared" si="21"/>
        <v>kg</v>
      </c>
      <c r="Z9" s="328" t="b">
        <f t="shared" si="23"/>
        <v>1</v>
      </c>
      <c r="AA9" s="328" t="b">
        <f t="shared" si="24"/>
        <v>0</v>
      </c>
      <c r="AB9" s="328" t="b">
        <f t="shared" si="25"/>
        <v>0</v>
      </c>
      <c r="AC9" s="328" t="b">
        <f t="shared" si="26"/>
        <v>1</v>
      </c>
      <c r="AD9" s="328" t="b">
        <f t="shared" si="27"/>
        <v>0</v>
      </c>
      <c r="AE9" s="328" t="b">
        <f t="shared" si="28"/>
        <v>1</v>
      </c>
      <c r="AF9" s="328" t="b">
        <f t="shared" si="29"/>
        <v>1</v>
      </c>
      <c r="AG9" s="328" t="b">
        <f t="shared" si="30"/>
        <v>1</v>
      </c>
      <c r="AH9" s="328" t="b">
        <f t="shared" si="31"/>
        <v>0</v>
      </c>
      <c r="AI9" s="328" t="b">
        <f t="shared" si="32"/>
        <v>0</v>
      </c>
      <c r="AJ9" s="328" t="b">
        <f t="shared" si="33"/>
        <v>1</v>
      </c>
      <c r="AK9" s="328" t="b">
        <f t="shared" si="34"/>
        <v>0</v>
      </c>
      <c r="AL9" s="838" t="str">
        <f t="shared" si="35"/>
        <v/>
      </c>
      <c r="AM9" s="839">
        <f t="shared" si="36"/>
        <v>1</v>
      </c>
      <c r="AN9" s="839">
        <f t="shared" si="37"/>
        <v>1</v>
      </c>
      <c r="AO9" s="839" t="str">
        <f t="shared" si="38"/>
        <v/>
      </c>
      <c r="AP9" s="839">
        <f t="shared" si="39"/>
        <v>1</v>
      </c>
      <c r="AQ9" s="839" t="str">
        <f t="shared" si="40"/>
        <v/>
      </c>
      <c r="AR9" s="839" t="str">
        <f t="shared" si="41"/>
        <v/>
      </c>
      <c r="AS9" s="839" t="str">
        <f t="shared" si="42"/>
        <v/>
      </c>
      <c r="AT9" s="839">
        <f t="shared" si="43"/>
        <v>1</v>
      </c>
      <c r="AU9" s="839">
        <f t="shared" si="44"/>
        <v>1</v>
      </c>
      <c r="AV9" s="839" t="str">
        <f t="shared" si="45"/>
        <v/>
      </c>
      <c r="AW9" s="843">
        <f t="shared" si="45"/>
        <v>1</v>
      </c>
    </row>
    <row r="10" spans="1:49" s="328" customFormat="1">
      <c r="A10" s="823">
        <f t="shared" si="46"/>
        <v>0</v>
      </c>
      <c r="B10" s="327" t="s">
        <v>251</v>
      </c>
      <c r="C10" s="327" t="str">
        <f t="shared" si="0"/>
        <v>Nồng độ Cr2O3
三價鉻</v>
      </c>
      <c r="D10" s="327" t="str">
        <f t="shared" si="1"/>
        <v>XL-001E</v>
      </c>
      <c r="E10" s="327" t="str">
        <f t="shared" si="2"/>
        <v>%</v>
      </c>
      <c r="F10" s="327" t="str">
        <f t="shared" si="3"/>
        <v xml:space="preserve">12~18 </v>
      </c>
      <c r="G10" s="812">
        <f t="shared" si="4"/>
        <v>0</v>
      </c>
      <c r="H10" s="812" t="str">
        <f t="shared" si="5"/>
        <v>+</v>
      </c>
      <c r="I10" s="817">
        <f t="shared" si="6"/>
        <v>0</v>
      </c>
      <c r="J10" s="812" t="str">
        <f t="shared" si="7"/>
        <v>L</v>
      </c>
      <c r="K10" s="812">
        <f t="shared" si="8"/>
        <v>80.5</v>
      </c>
      <c r="L10" s="817" t="str">
        <f t="shared" si="9"/>
        <v>+</v>
      </c>
      <c r="M10" s="812" t="str">
        <f t="shared" si="10"/>
        <v/>
      </c>
      <c r="N10" s="812">
        <f t="shared" si="11"/>
        <v>0</v>
      </c>
      <c r="O10" s="817">
        <f t="shared" si="12"/>
        <v>80.5</v>
      </c>
      <c r="P10" s="812">
        <f t="shared" si="13"/>
        <v>0</v>
      </c>
      <c r="Q10" s="812">
        <f t="shared" si="14"/>
        <v>0</v>
      </c>
      <c r="R10" s="817">
        <f t="shared" si="15"/>
        <v>0</v>
      </c>
      <c r="S10" s="812" t="str">
        <f t="shared" si="16"/>
        <v>+</v>
      </c>
      <c r="T10" s="805" t="str">
        <f t="shared" si="17"/>
        <v>L</v>
      </c>
      <c r="U10" s="806">
        <f t="shared" si="18"/>
        <v>0</v>
      </c>
      <c r="V10" s="812">
        <f t="shared" si="19"/>
        <v>80.5</v>
      </c>
      <c r="W10" s="805" t="str">
        <f t="shared" si="20"/>
        <v/>
      </c>
      <c r="X10" s="806" t="str">
        <f t="shared" si="21"/>
        <v>L</v>
      </c>
      <c r="Z10" s="328" t="b">
        <f t="shared" si="23"/>
        <v>1</v>
      </c>
      <c r="AA10" s="328" t="b">
        <f t="shared" si="24"/>
        <v>0</v>
      </c>
      <c r="AB10" s="328" t="b">
        <f t="shared" si="25"/>
        <v>0</v>
      </c>
      <c r="AC10" s="328" t="b">
        <f t="shared" si="26"/>
        <v>1</v>
      </c>
      <c r="AD10" s="328" t="b">
        <f t="shared" si="27"/>
        <v>0</v>
      </c>
      <c r="AE10" s="328" t="b">
        <f t="shared" si="28"/>
        <v>1</v>
      </c>
      <c r="AF10" s="328" t="b">
        <f t="shared" si="29"/>
        <v>1</v>
      </c>
      <c r="AG10" s="328" t="b">
        <f t="shared" si="30"/>
        <v>1</v>
      </c>
      <c r="AH10" s="328" t="b">
        <f t="shared" si="31"/>
        <v>0</v>
      </c>
      <c r="AI10" s="328" t="b">
        <f t="shared" si="32"/>
        <v>0</v>
      </c>
      <c r="AJ10" s="328" t="b">
        <f t="shared" si="33"/>
        <v>1</v>
      </c>
      <c r="AK10" s="328" t="b">
        <f t="shared" si="34"/>
        <v>0</v>
      </c>
      <c r="AL10" s="838" t="str">
        <f t="shared" si="35"/>
        <v/>
      </c>
      <c r="AM10" s="839">
        <f t="shared" si="36"/>
        <v>1</v>
      </c>
      <c r="AN10" s="839">
        <f t="shared" si="37"/>
        <v>1</v>
      </c>
      <c r="AO10" s="839" t="str">
        <f t="shared" si="38"/>
        <v/>
      </c>
      <c r="AP10" s="839">
        <f t="shared" si="39"/>
        <v>1</v>
      </c>
      <c r="AQ10" s="839" t="str">
        <f t="shared" si="40"/>
        <v/>
      </c>
      <c r="AR10" s="839" t="str">
        <f t="shared" si="41"/>
        <v/>
      </c>
      <c r="AS10" s="839" t="str">
        <f t="shared" si="42"/>
        <v/>
      </c>
      <c r="AT10" s="839">
        <f t="shared" si="43"/>
        <v>1</v>
      </c>
      <c r="AU10" s="839">
        <f t="shared" si="44"/>
        <v>1</v>
      </c>
      <c r="AV10" s="839" t="str">
        <f t="shared" si="45"/>
        <v/>
      </c>
      <c r="AW10" s="843">
        <f t="shared" si="45"/>
        <v>1</v>
      </c>
    </row>
    <row r="11" spans="1:49" s="328" customFormat="1">
      <c r="A11" s="823">
        <f t="shared" si="46"/>
        <v>0</v>
      </c>
      <c r="B11" s="327" t="s">
        <v>253</v>
      </c>
      <c r="C11" s="327" t="str">
        <f t="shared" si="0"/>
        <v>Pha mới: 2024/01/02</v>
      </c>
      <c r="D11" s="327" t="str">
        <f t="shared" si="1"/>
        <v>XL-001E</v>
      </c>
      <c r="E11" s="327" t="str">
        <f t="shared" si="2"/>
        <v>pH</v>
      </c>
      <c r="F11" s="327" t="str">
        <f t="shared" si="3"/>
        <v>1.6~2.2</v>
      </c>
      <c r="G11" s="812">
        <f t="shared" si="4"/>
        <v>0</v>
      </c>
      <c r="H11" s="812">
        <f t="shared" si="5"/>
        <v>0</v>
      </c>
      <c r="I11" s="817">
        <f t="shared" si="6"/>
        <v>0</v>
      </c>
      <c r="J11" s="812">
        <f t="shared" si="7"/>
        <v>0</v>
      </c>
      <c r="K11" s="812">
        <f t="shared" si="8"/>
        <v>0</v>
      </c>
      <c r="L11" s="817">
        <f t="shared" si="9"/>
        <v>0</v>
      </c>
      <c r="M11" s="812" t="str">
        <f t="shared" si="10"/>
        <v/>
      </c>
      <c r="N11" s="812">
        <f t="shared" si="11"/>
        <v>0</v>
      </c>
      <c r="O11" s="817">
        <f t="shared" si="12"/>
        <v>0</v>
      </c>
      <c r="P11" s="812">
        <f t="shared" si="13"/>
        <v>0</v>
      </c>
      <c r="Q11" s="812">
        <f t="shared" si="14"/>
        <v>0</v>
      </c>
      <c r="R11" s="817">
        <f t="shared" si="15"/>
        <v>0</v>
      </c>
      <c r="S11" s="812">
        <f t="shared" si="16"/>
        <v>0</v>
      </c>
      <c r="T11" s="805">
        <f t="shared" si="17"/>
        <v>0</v>
      </c>
      <c r="U11" s="806">
        <f t="shared" si="18"/>
        <v>0</v>
      </c>
      <c r="V11" s="812">
        <f t="shared" si="19"/>
        <v>0</v>
      </c>
      <c r="W11" s="805" t="str">
        <f t="shared" si="20"/>
        <v/>
      </c>
      <c r="X11" s="806">
        <f t="shared" si="21"/>
        <v>0</v>
      </c>
      <c r="Z11" s="328" t="b">
        <f t="shared" si="23"/>
        <v>1</v>
      </c>
      <c r="AA11" s="328" t="b">
        <f t="shared" si="24"/>
        <v>1</v>
      </c>
      <c r="AB11" s="328" t="b">
        <f t="shared" si="25"/>
        <v>1</v>
      </c>
      <c r="AC11" s="328" t="b">
        <f t="shared" si="26"/>
        <v>1</v>
      </c>
      <c r="AD11" s="328" t="b">
        <f t="shared" si="27"/>
        <v>0</v>
      </c>
      <c r="AE11" s="328" t="b">
        <f t="shared" si="28"/>
        <v>1</v>
      </c>
      <c r="AF11" s="328" t="b">
        <f t="shared" si="29"/>
        <v>1</v>
      </c>
      <c r="AG11" s="328" t="b">
        <f t="shared" si="30"/>
        <v>1</v>
      </c>
      <c r="AH11" s="328" t="b">
        <f t="shared" si="31"/>
        <v>1</v>
      </c>
      <c r="AI11" s="328" t="b">
        <f t="shared" si="32"/>
        <v>1</v>
      </c>
      <c r="AJ11" s="328" t="b">
        <f t="shared" si="33"/>
        <v>1</v>
      </c>
      <c r="AK11" s="328" t="b">
        <f t="shared" si="34"/>
        <v>0</v>
      </c>
      <c r="AL11" s="838" t="str">
        <f t="shared" si="35"/>
        <v/>
      </c>
      <c r="AM11" s="839" t="str">
        <f t="shared" si="36"/>
        <v/>
      </c>
      <c r="AN11" s="839" t="str">
        <f t="shared" si="37"/>
        <v/>
      </c>
      <c r="AO11" s="839" t="str">
        <f t="shared" si="38"/>
        <v/>
      </c>
      <c r="AP11" s="839">
        <f t="shared" si="39"/>
        <v>1</v>
      </c>
      <c r="AQ11" s="839" t="str">
        <f t="shared" si="40"/>
        <v/>
      </c>
      <c r="AR11" s="839" t="str">
        <f t="shared" si="41"/>
        <v/>
      </c>
      <c r="AS11" s="839" t="str">
        <f t="shared" si="42"/>
        <v/>
      </c>
      <c r="AT11" s="839" t="str">
        <f t="shared" si="43"/>
        <v/>
      </c>
      <c r="AU11" s="839" t="str">
        <f t="shared" si="44"/>
        <v/>
      </c>
      <c r="AV11" s="839" t="str">
        <f t="shared" si="45"/>
        <v/>
      </c>
      <c r="AW11" s="843">
        <f t="shared" si="45"/>
        <v>1</v>
      </c>
    </row>
    <row r="12" spans="1:49" s="328" customFormat="1">
      <c r="A12" s="823">
        <f t="shared" si="46"/>
        <v>0</v>
      </c>
      <c r="B12" s="327" t="s">
        <v>246</v>
      </c>
      <c r="C12" s="327" t="str">
        <f t="shared" si="0"/>
        <v>Nồng độ acid đặc
鹽酸 濃度</v>
      </c>
      <c r="D12" s="327" t="str">
        <f t="shared" si="1"/>
        <v>XL-001E</v>
      </c>
      <c r="E12" s="327" t="str">
        <f t="shared" si="2"/>
        <v>%V/V</v>
      </c>
      <c r="F12" s="327" t="str">
        <f t="shared" si="3"/>
        <v xml:space="preserve">40~50 </v>
      </c>
      <c r="G12" s="812">
        <f t="shared" si="4"/>
        <v>0</v>
      </c>
      <c r="H12" s="812" t="str">
        <f t="shared" si="5"/>
        <v>+</v>
      </c>
      <c r="I12" s="817">
        <f t="shared" si="6"/>
        <v>0</v>
      </c>
      <c r="J12" s="812" t="str">
        <f t="shared" si="7"/>
        <v>L</v>
      </c>
      <c r="K12" s="812">
        <f t="shared" si="8"/>
        <v>954.9</v>
      </c>
      <c r="L12" s="817" t="str">
        <f t="shared" si="9"/>
        <v>+</v>
      </c>
      <c r="M12" s="812" t="str">
        <f t="shared" si="10"/>
        <v/>
      </c>
      <c r="N12" s="812">
        <f t="shared" si="11"/>
        <v>0</v>
      </c>
      <c r="O12" s="817">
        <f t="shared" si="12"/>
        <v>954.9</v>
      </c>
      <c r="P12" s="812">
        <f t="shared" si="13"/>
        <v>0</v>
      </c>
      <c r="Q12" s="812">
        <f t="shared" si="14"/>
        <v>0</v>
      </c>
      <c r="R12" s="817">
        <f t="shared" si="15"/>
        <v>0</v>
      </c>
      <c r="S12" s="812" t="str">
        <f t="shared" si="16"/>
        <v>+</v>
      </c>
      <c r="T12" s="805" t="str">
        <f t="shared" si="17"/>
        <v>L</v>
      </c>
      <c r="U12" s="806">
        <f t="shared" si="18"/>
        <v>0</v>
      </c>
      <c r="V12" s="812">
        <f t="shared" si="19"/>
        <v>954.9</v>
      </c>
      <c r="W12" s="805" t="str">
        <f t="shared" si="20"/>
        <v/>
      </c>
      <c r="X12" s="806" t="str">
        <f t="shared" si="21"/>
        <v>L</v>
      </c>
      <c r="Z12" s="328" t="b">
        <f t="shared" si="23"/>
        <v>1</v>
      </c>
      <c r="AA12" s="328" t="b">
        <f t="shared" si="24"/>
        <v>0</v>
      </c>
      <c r="AB12" s="328" t="b">
        <f t="shared" si="25"/>
        <v>0</v>
      </c>
      <c r="AC12" s="328" t="b">
        <f t="shared" si="26"/>
        <v>1</v>
      </c>
      <c r="AD12" s="328" t="b">
        <f t="shared" si="27"/>
        <v>0</v>
      </c>
      <c r="AE12" s="328" t="b">
        <f t="shared" si="28"/>
        <v>1</v>
      </c>
      <c r="AF12" s="328" t="b">
        <f t="shared" si="29"/>
        <v>1</v>
      </c>
      <c r="AG12" s="328" t="b">
        <f t="shared" si="30"/>
        <v>1</v>
      </c>
      <c r="AH12" s="328" t="b">
        <f t="shared" si="31"/>
        <v>0</v>
      </c>
      <c r="AI12" s="328" t="b">
        <f t="shared" si="32"/>
        <v>0</v>
      </c>
      <c r="AJ12" s="328" t="b">
        <f t="shared" si="33"/>
        <v>1</v>
      </c>
      <c r="AK12" s="328" t="b">
        <f t="shared" si="34"/>
        <v>0</v>
      </c>
      <c r="AL12" s="838" t="str">
        <f t="shared" si="35"/>
        <v/>
      </c>
      <c r="AM12" s="839">
        <f t="shared" si="36"/>
        <v>1</v>
      </c>
      <c r="AN12" s="839">
        <f t="shared" si="37"/>
        <v>1</v>
      </c>
      <c r="AO12" s="839" t="str">
        <f t="shared" si="38"/>
        <v/>
      </c>
      <c r="AP12" s="839">
        <f t="shared" si="39"/>
        <v>1</v>
      </c>
      <c r="AQ12" s="839" t="str">
        <f t="shared" si="40"/>
        <v/>
      </c>
      <c r="AR12" s="839" t="str">
        <f t="shared" si="41"/>
        <v/>
      </c>
      <c r="AS12" s="839" t="str">
        <f t="shared" si="42"/>
        <v/>
      </c>
      <c r="AT12" s="839">
        <f t="shared" si="43"/>
        <v>1</v>
      </c>
      <c r="AU12" s="839">
        <f t="shared" si="44"/>
        <v>1</v>
      </c>
      <c r="AV12" s="839" t="str">
        <f t="shared" si="45"/>
        <v/>
      </c>
      <c r="AW12" s="843">
        <f t="shared" si="45"/>
        <v>1</v>
      </c>
    </row>
    <row r="13" spans="1:49" s="328" customFormat="1">
      <c r="A13" s="823">
        <f t="shared" si="46"/>
        <v>0</v>
      </c>
      <c r="B13" s="327" t="s">
        <v>247</v>
      </c>
      <c r="C13" s="327" t="str">
        <f t="shared" si="0"/>
        <v>Nồng độ acid loãng
稀酸 濃度</v>
      </c>
      <c r="D13" s="327" t="str">
        <f t="shared" si="1"/>
        <v>XL-001E</v>
      </c>
      <c r="E13" s="327" t="str">
        <f t="shared" si="2"/>
        <v>%V/V</v>
      </c>
      <c r="F13" s="327" t="str">
        <f t="shared" si="3"/>
        <v>(22±5) =17~27</v>
      </c>
      <c r="G13" s="812">
        <f t="shared" si="4"/>
        <v>0</v>
      </c>
      <c r="H13" s="812" t="str">
        <f t="shared" si="5"/>
        <v>+</v>
      </c>
      <c r="I13" s="817">
        <f t="shared" si="6"/>
        <v>0</v>
      </c>
      <c r="J13" s="812" t="str">
        <f t="shared" si="7"/>
        <v>L</v>
      </c>
      <c r="K13" s="812">
        <f t="shared" si="8"/>
        <v>134.64000000000001</v>
      </c>
      <c r="L13" s="817" t="str">
        <f t="shared" si="9"/>
        <v>+</v>
      </c>
      <c r="M13" s="812" t="str">
        <f t="shared" si="10"/>
        <v/>
      </c>
      <c r="N13" s="812">
        <f t="shared" si="11"/>
        <v>0</v>
      </c>
      <c r="O13" s="817">
        <f t="shared" si="12"/>
        <v>134.64000000000001</v>
      </c>
      <c r="P13" s="812">
        <f t="shared" si="13"/>
        <v>0</v>
      </c>
      <c r="Q13" s="812">
        <f t="shared" si="14"/>
        <v>0</v>
      </c>
      <c r="R13" s="817">
        <f t="shared" si="15"/>
        <v>0</v>
      </c>
      <c r="S13" s="812" t="str">
        <f t="shared" si="16"/>
        <v>+</v>
      </c>
      <c r="T13" s="805" t="str">
        <f t="shared" si="17"/>
        <v>L</v>
      </c>
      <c r="U13" s="806">
        <f t="shared" si="18"/>
        <v>0</v>
      </c>
      <c r="V13" s="812">
        <f t="shared" si="19"/>
        <v>134.64000000000001</v>
      </c>
      <c r="W13" s="805" t="str">
        <f t="shared" si="20"/>
        <v/>
      </c>
      <c r="X13" s="806" t="str">
        <f t="shared" si="21"/>
        <v>L</v>
      </c>
      <c r="Z13" s="328" t="b">
        <f t="shared" si="23"/>
        <v>1</v>
      </c>
      <c r="AA13" s="328" t="b">
        <f t="shared" si="24"/>
        <v>0</v>
      </c>
      <c r="AB13" s="328" t="b">
        <f t="shared" si="25"/>
        <v>0</v>
      </c>
      <c r="AC13" s="328" t="b">
        <f t="shared" si="26"/>
        <v>1</v>
      </c>
      <c r="AD13" s="328" t="b">
        <f t="shared" si="27"/>
        <v>0</v>
      </c>
      <c r="AE13" s="328" t="b">
        <f t="shared" si="28"/>
        <v>1</v>
      </c>
      <c r="AF13" s="328" t="b">
        <f t="shared" si="29"/>
        <v>1</v>
      </c>
      <c r="AG13" s="328" t="b">
        <f t="shared" si="30"/>
        <v>1</v>
      </c>
      <c r="AH13" s="328" t="b">
        <f t="shared" si="31"/>
        <v>0</v>
      </c>
      <c r="AI13" s="328" t="b">
        <f t="shared" si="32"/>
        <v>0</v>
      </c>
      <c r="AJ13" s="328" t="b">
        <f t="shared" si="33"/>
        <v>1</v>
      </c>
      <c r="AK13" s="328" t="b">
        <f t="shared" si="34"/>
        <v>0</v>
      </c>
      <c r="AL13" s="838" t="str">
        <f t="shared" si="35"/>
        <v/>
      </c>
      <c r="AM13" s="839">
        <f t="shared" si="36"/>
        <v>1</v>
      </c>
      <c r="AN13" s="839">
        <f t="shared" si="37"/>
        <v>1</v>
      </c>
      <c r="AO13" s="839" t="str">
        <f t="shared" si="38"/>
        <v/>
      </c>
      <c r="AP13" s="839">
        <f t="shared" si="39"/>
        <v>1</v>
      </c>
      <c r="AQ13" s="839" t="str">
        <f t="shared" si="40"/>
        <v/>
      </c>
      <c r="AR13" s="839" t="str">
        <f t="shared" si="41"/>
        <v/>
      </c>
      <c r="AS13" s="839" t="str">
        <f t="shared" si="42"/>
        <v/>
      </c>
      <c r="AT13" s="839">
        <f t="shared" si="43"/>
        <v>1</v>
      </c>
      <c r="AU13" s="839">
        <f t="shared" si="44"/>
        <v>1</v>
      </c>
      <c r="AV13" s="839" t="str">
        <f t="shared" si="45"/>
        <v/>
      </c>
      <c r="AW13" s="843">
        <f t="shared" si="45"/>
        <v>1</v>
      </c>
    </row>
    <row r="14" spans="1:49" s="328" customFormat="1">
      <c r="A14" s="823">
        <f t="shared" si="46"/>
        <v>0</v>
      </c>
      <c r="B14" s="327" t="s">
        <v>248</v>
      </c>
      <c r="C14" s="327" t="str">
        <f t="shared" si="0"/>
        <v>Nồng độ HCl hoạt hóa
稀酸活化 濃度</v>
      </c>
      <c r="D14" s="327" t="str">
        <f t="shared" si="1"/>
        <v>XL-001E</v>
      </c>
      <c r="E14" s="327" t="str">
        <f t="shared" si="2"/>
        <v>%V/V</v>
      </c>
      <c r="F14" s="327" t="str">
        <f t="shared" si="3"/>
        <v>5~15</v>
      </c>
      <c r="G14" s="812">
        <f t="shared" si="4"/>
        <v>0</v>
      </c>
      <c r="H14" s="812" t="str">
        <f t="shared" si="5"/>
        <v>+</v>
      </c>
      <c r="I14" s="817">
        <f t="shared" si="6"/>
        <v>0</v>
      </c>
      <c r="J14" s="812" t="str">
        <f t="shared" si="7"/>
        <v>L</v>
      </c>
      <c r="K14" s="812">
        <f t="shared" si="8"/>
        <v>57.5</v>
      </c>
      <c r="L14" s="817" t="str">
        <f t="shared" si="9"/>
        <v>+</v>
      </c>
      <c r="M14" s="812" t="str">
        <f t="shared" si="10"/>
        <v/>
      </c>
      <c r="N14" s="812">
        <f t="shared" si="11"/>
        <v>0</v>
      </c>
      <c r="O14" s="817">
        <f t="shared" si="12"/>
        <v>57.5</v>
      </c>
      <c r="P14" s="812">
        <f t="shared" si="13"/>
        <v>0</v>
      </c>
      <c r="Q14" s="812">
        <f t="shared" si="14"/>
        <v>0</v>
      </c>
      <c r="R14" s="817">
        <f t="shared" si="15"/>
        <v>0</v>
      </c>
      <c r="S14" s="812" t="str">
        <f t="shared" si="16"/>
        <v>+</v>
      </c>
      <c r="T14" s="805" t="str">
        <f t="shared" si="17"/>
        <v>L</v>
      </c>
      <c r="U14" s="806">
        <f t="shared" si="18"/>
        <v>0</v>
      </c>
      <c r="V14" s="812">
        <f t="shared" si="19"/>
        <v>57.5</v>
      </c>
      <c r="W14" s="805" t="str">
        <f t="shared" si="20"/>
        <v/>
      </c>
      <c r="X14" s="806" t="str">
        <f t="shared" si="21"/>
        <v>L</v>
      </c>
      <c r="Z14" s="328" t="b">
        <f t="shared" si="23"/>
        <v>1</v>
      </c>
      <c r="AA14" s="328" t="b">
        <f t="shared" si="24"/>
        <v>0</v>
      </c>
      <c r="AB14" s="328" t="b">
        <f t="shared" si="25"/>
        <v>0</v>
      </c>
      <c r="AC14" s="328" t="b">
        <f t="shared" si="26"/>
        <v>1</v>
      </c>
      <c r="AD14" s="328" t="b">
        <f t="shared" si="27"/>
        <v>0</v>
      </c>
      <c r="AE14" s="328" t="b">
        <f t="shared" si="28"/>
        <v>1</v>
      </c>
      <c r="AF14" s="328" t="b">
        <f t="shared" si="29"/>
        <v>1</v>
      </c>
      <c r="AG14" s="328" t="b">
        <f t="shared" si="30"/>
        <v>1</v>
      </c>
      <c r="AH14" s="328" t="b">
        <f t="shared" si="31"/>
        <v>0</v>
      </c>
      <c r="AI14" s="328" t="b">
        <f t="shared" si="32"/>
        <v>0</v>
      </c>
      <c r="AJ14" s="328" t="b">
        <f t="shared" si="33"/>
        <v>1</v>
      </c>
      <c r="AK14" s="328" t="b">
        <f t="shared" si="34"/>
        <v>0</v>
      </c>
      <c r="AL14" s="838" t="str">
        <f t="shared" si="35"/>
        <v/>
      </c>
      <c r="AM14" s="839">
        <f t="shared" si="36"/>
        <v>1</v>
      </c>
      <c r="AN14" s="839">
        <f t="shared" si="37"/>
        <v>1</v>
      </c>
      <c r="AO14" s="839" t="str">
        <f t="shared" si="38"/>
        <v/>
      </c>
      <c r="AP14" s="839">
        <f t="shared" si="39"/>
        <v>1</v>
      </c>
      <c r="AQ14" s="839" t="str">
        <f t="shared" si="40"/>
        <v/>
      </c>
      <c r="AR14" s="839" t="str">
        <f t="shared" si="41"/>
        <v/>
      </c>
      <c r="AS14" s="839" t="str">
        <f t="shared" si="42"/>
        <v/>
      </c>
      <c r="AT14" s="839">
        <f t="shared" si="43"/>
        <v>1</v>
      </c>
      <c r="AU14" s="839">
        <f t="shared" si="44"/>
        <v>1</v>
      </c>
      <c r="AV14" s="839" t="str">
        <f t="shared" si="45"/>
        <v/>
      </c>
      <c r="AW14" s="843">
        <f t="shared" si="45"/>
        <v>1</v>
      </c>
    </row>
    <row r="15" spans="1:49" s="328" customFormat="1">
      <c r="A15" s="823">
        <f t="shared" si="46"/>
        <v>0</v>
      </c>
      <c r="B15" s="327" t="s">
        <v>249</v>
      </c>
      <c r="C15" s="327" t="str">
        <f t="shared" si="0"/>
        <v>Nồng độ  HNO3
硝酸濃度</v>
      </c>
      <c r="D15" s="327" t="str">
        <f t="shared" si="1"/>
        <v>XL-001E</v>
      </c>
      <c r="E15" s="327" t="str">
        <f t="shared" si="2"/>
        <v>%</v>
      </c>
      <c r="F15" s="327" t="str">
        <f t="shared" si="3"/>
        <v>0.5~1.5</v>
      </c>
      <c r="G15" s="812">
        <f t="shared" si="4"/>
        <v>0</v>
      </c>
      <c r="H15" s="812" t="str">
        <f t="shared" si="5"/>
        <v>+</v>
      </c>
      <c r="I15" s="817">
        <f t="shared" si="6"/>
        <v>0</v>
      </c>
      <c r="J15" s="812" t="str">
        <f t="shared" si="7"/>
        <v>L</v>
      </c>
      <c r="K15" s="812">
        <f t="shared" si="8"/>
        <v>5.3998981151299033</v>
      </c>
      <c r="L15" s="817" t="str">
        <f t="shared" si="9"/>
        <v>+</v>
      </c>
      <c r="M15" s="812" t="str">
        <f t="shared" si="10"/>
        <v/>
      </c>
      <c r="N15" s="812">
        <f t="shared" si="11"/>
        <v>0</v>
      </c>
      <c r="O15" s="817">
        <f t="shared" si="12"/>
        <v>5.3998981151299033</v>
      </c>
      <c r="P15" s="812">
        <f t="shared" si="13"/>
        <v>0</v>
      </c>
      <c r="Q15" s="812">
        <f t="shared" si="14"/>
        <v>0</v>
      </c>
      <c r="R15" s="817">
        <f t="shared" si="15"/>
        <v>0</v>
      </c>
      <c r="S15" s="812" t="str">
        <f t="shared" si="16"/>
        <v>+</v>
      </c>
      <c r="T15" s="805" t="str">
        <f t="shared" si="17"/>
        <v>L</v>
      </c>
      <c r="U15" s="806">
        <f t="shared" si="18"/>
        <v>0</v>
      </c>
      <c r="V15" s="812">
        <f t="shared" si="19"/>
        <v>5.3998981151299033</v>
      </c>
      <c r="W15" s="805" t="str">
        <f t="shared" si="20"/>
        <v/>
      </c>
      <c r="X15" s="806" t="str">
        <f t="shared" si="21"/>
        <v>L</v>
      </c>
      <c r="Z15" s="328" t="b">
        <f t="shared" si="23"/>
        <v>1</v>
      </c>
      <c r="AA15" s="328" t="b">
        <f t="shared" si="24"/>
        <v>0</v>
      </c>
      <c r="AB15" s="328" t="b">
        <f t="shared" si="25"/>
        <v>0</v>
      </c>
      <c r="AC15" s="328" t="b">
        <f t="shared" si="26"/>
        <v>1</v>
      </c>
      <c r="AD15" s="328" t="b">
        <f t="shared" si="27"/>
        <v>0</v>
      </c>
      <c r="AE15" s="328" t="b">
        <f t="shared" si="28"/>
        <v>1</v>
      </c>
      <c r="AF15" s="328" t="b">
        <f t="shared" si="29"/>
        <v>1</v>
      </c>
      <c r="AG15" s="328" t="b">
        <f t="shared" si="30"/>
        <v>1</v>
      </c>
      <c r="AH15" s="328" t="b">
        <f t="shared" si="31"/>
        <v>0</v>
      </c>
      <c r="AI15" s="328" t="b">
        <f t="shared" si="32"/>
        <v>0</v>
      </c>
      <c r="AJ15" s="328" t="b">
        <f t="shared" si="33"/>
        <v>1</v>
      </c>
      <c r="AK15" s="328" t="b">
        <f t="shared" si="34"/>
        <v>0</v>
      </c>
      <c r="AL15" s="838" t="str">
        <f t="shared" si="35"/>
        <v/>
      </c>
      <c r="AM15" s="839">
        <f t="shared" si="36"/>
        <v>1</v>
      </c>
      <c r="AN15" s="839">
        <f t="shared" si="37"/>
        <v>1</v>
      </c>
      <c r="AO15" s="839" t="str">
        <f t="shared" si="38"/>
        <v/>
      </c>
      <c r="AP15" s="839">
        <f t="shared" si="39"/>
        <v>1</v>
      </c>
      <c r="AQ15" s="839" t="str">
        <f t="shared" si="40"/>
        <v/>
      </c>
      <c r="AR15" s="839" t="str">
        <f t="shared" si="41"/>
        <v/>
      </c>
      <c r="AS15" s="839" t="str">
        <f t="shared" si="42"/>
        <v/>
      </c>
      <c r="AT15" s="839">
        <f t="shared" si="43"/>
        <v>1</v>
      </c>
      <c r="AU15" s="839">
        <f t="shared" si="44"/>
        <v>1</v>
      </c>
      <c r="AV15" s="839" t="str">
        <f t="shared" si="45"/>
        <v/>
      </c>
      <c r="AW15" s="843">
        <f t="shared" si="45"/>
        <v>1</v>
      </c>
    </row>
    <row r="16" spans="1:49" s="328" customFormat="1">
      <c r="A16" s="823">
        <f t="shared" si="46"/>
        <v>0</v>
      </c>
      <c r="B16" s="327" t="s">
        <v>261</v>
      </c>
      <c r="C16" s="327" t="str">
        <f t="shared" si="0"/>
        <v>chất mềm (merlin starer)
開缸劑</v>
      </c>
      <c r="D16" s="327" t="str">
        <f t="shared" si="1"/>
        <v>XL-001E</v>
      </c>
      <c r="E16" s="327" t="str">
        <f t="shared" si="2"/>
        <v>ml/KAH</v>
      </c>
      <c r="F16" s="327" t="str">
        <f t="shared" si="3"/>
        <v>300-360</v>
      </c>
      <c r="G16" s="812">
        <f t="shared" si="4"/>
        <v>0</v>
      </c>
      <c r="H16" s="812">
        <f t="shared" si="5"/>
        <v>0</v>
      </c>
      <c r="I16" s="817">
        <f t="shared" si="6"/>
        <v>0</v>
      </c>
      <c r="J16" s="812">
        <f t="shared" si="7"/>
        <v>0</v>
      </c>
      <c r="K16" s="812">
        <f t="shared" si="8"/>
        <v>0</v>
      </c>
      <c r="L16" s="817">
        <f t="shared" si="9"/>
        <v>0</v>
      </c>
      <c r="M16" s="812">
        <f t="shared" si="10"/>
        <v>0</v>
      </c>
      <c r="N16" s="812">
        <f t="shared" si="11"/>
        <v>0</v>
      </c>
      <c r="O16" s="817">
        <f t="shared" si="12"/>
        <v>0</v>
      </c>
      <c r="P16" s="812">
        <f t="shared" si="13"/>
        <v>0</v>
      </c>
      <c r="Q16" s="812">
        <f t="shared" si="14"/>
        <v>0</v>
      </c>
      <c r="R16" s="817">
        <f t="shared" si="15"/>
        <v>0</v>
      </c>
      <c r="S16" s="812">
        <f t="shared" si="16"/>
        <v>0</v>
      </c>
      <c r="T16" s="805">
        <f t="shared" si="17"/>
        <v>0</v>
      </c>
      <c r="U16" s="806">
        <f t="shared" si="18"/>
        <v>0</v>
      </c>
      <c r="V16" s="812">
        <f t="shared" si="19"/>
        <v>0</v>
      </c>
      <c r="W16" s="805">
        <f t="shared" si="20"/>
        <v>0</v>
      </c>
      <c r="X16" s="806">
        <f t="shared" si="21"/>
        <v>0</v>
      </c>
      <c r="Z16" s="328" t="b">
        <f t="shared" si="23"/>
        <v>1</v>
      </c>
      <c r="AA16" s="328" t="b">
        <f t="shared" si="24"/>
        <v>1</v>
      </c>
      <c r="AB16" s="328" t="b">
        <f t="shared" si="25"/>
        <v>1</v>
      </c>
      <c r="AC16" s="328" t="b">
        <f t="shared" si="26"/>
        <v>1</v>
      </c>
      <c r="AD16" s="328" t="b">
        <f t="shared" si="27"/>
        <v>1</v>
      </c>
      <c r="AE16" s="328" t="b">
        <f t="shared" si="28"/>
        <v>1</v>
      </c>
      <c r="AF16" s="328" t="b">
        <f t="shared" si="29"/>
        <v>1</v>
      </c>
      <c r="AG16" s="328" t="b">
        <f t="shared" si="30"/>
        <v>1</v>
      </c>
      <c r="AH16" s="328" t="b">
        <f t="shared" si="31"/>
        <v>1</v>
      </c>
      <c r="AI16" s="328" t="b">
        <f t="shared" si="32"/>
        <v>1</v>
      </c>
      <c r="AJ16" s="328" t="b">
        <f t="shared" si="33"/>
        <v>1</v>
      </c>
      <c r="AK16" s="328" t="b">
        <f t="shared" si="34"/>
        <v>1</v>
      </c>
      <c r="AL16" s="838" t="str">
        <f t="shared" si="35"/>
        <v/>
      </c>
      <c r="AM16" s="839" t="str">
        <f t="shared" si="36"/>
        <v/>
      </c>
      <c r="AN16" s="839" t="str">
        <f t="shared" si="37"/>
        <v/>
      </c>
      <c r="AO16" s="839" t="str">
        <f t="shared" si="38"/>
        <v/>
      </c>
      <c r="AP16" s="839" t="str">
        <f t="shared" si="39"/>
        <v/>
      </c>
      <c r="AQ16" s="839" t="str">
        <f t="shared" si="40"/>
        <v/>
      </c>
      <c r="AR16" s="839" t="str">
        <f t="shared" si="41"/>
        <v/>
      </c>
      <c r="AS16" s="839" t="str">
        <f t="shared" si="42"/>
        <v/>
      </c>
      <c r="AT16" s="839" t="str">
        <f t="shared" si="43"/>
        <v/>
      </c>
      <c r="AU16" s="839" t="str">
        <f t="shared" si="44"/>
        <v/>
      </c>
      <c r="AV16" s="839" t="str">
        <f t="shared" si="45"/>
        <v/>
      </c>
      <c r="AW16" s="843" t="str">
        <f t="shared" si="45"/>
        <v/>
      </c>
    </row>
    <row r="17" spans="1:49" s="328" customFormat="1">
      <c r="A17" s="823">
        <f t="shared" si="46"/>
        <v>0</v>
      </c>
      <c r="B17" s="327" t="s">
        <v>262</v>
      </c>
      <c r="C17" s="327" t="str">
        <f t="shared" si="0"/>
        <v>chaát boùng (merlin brightener)
光亮劑</v>
      </c>
      <c r="D17" s="327" t="str">
        <f t="shared" si="1"/>
        <v>XL-001E</v>
      </c>
      <c r="E17" s="327" t="str">
        <f t="shared" si="2"/>
        <v>ml/KAH</v>
      </c>
      <c r="F17" s="327" t="str">
        <f t="shared" si="3"/>
        <v>30-50</v>
      </c>
      <c r="G17" s="812">
        <f t="shared" si="4"/>
        <v>0</v>
      </c>
      <c r="H17" s="812">
        <f t="shared" si="5"/>
        <v>0</v>
      </c>
      <c r="I17" s="817">
        <f t="shared" si="6"/>
        <v>0</v>
      </c>
      <c r="J17" s="812">
        <f t="shared" si="7"/>
        <v>0</v>
      </c>
      <c r="K17" s="812">
        <f t="shared" si="8"/>
        <v>0</v>
      </c>
      <c r="L17" s="817">
        <f t="shared" si="9"/>
        <v>0</v>
      </c>
      <c r="M17" s="812">
        <f t="shared" si="10"/>
        <v>0</v>
      </c>
      <c r="N17" s="812">
        <f t="shared" si="11"/>
        <v>0</v>
      </c>
      <c r="O17" s="817">
        <f t="shared" si="12"/>
        <v>0</v>
      </c>
      <c r="P17" s="812">
        <f t="shared" si="13"/>
        <v>0</v>
      </c>
      <c r="Q17" s="812">
        <f t="shared" si="14"/>
        <v>0</v>
      </c>
      <c r="R17" s="817">
        <f t="shared" si="15"/>
        <v>0</v>
      </c>
      <c r="S17" s="812">
        <f t="shared" si="16"/>
        <v>0</v>
      </c>
      <c r="T17" s="805">
        <f t="shared" si="17"/>
        <v>0</v>
      </c>
      <c r="U17" s="806">
        <f t="shared" si="18"/>
        <v>0</v>
      </c>
      <c r="V17" s="812">
        <f t="shared" si="19"/>
        <v>0</v>
      </c>
      <c r="W17" s="805">
        <f t="shared" si="20"/>
        <v>0</v>
      </c>
      <c r="X17" s="806">
        <f t="shared" si="21"/>
        <v>0</v>
      </c>
      <c r="Z17" s="328" t="b">
        <f t="shared" si="23"/>
        <v>1</v>
      </c>
      <c r="AA17" s="328" t="b">
        <f t="shared" si="24"/>
        <v>1</v>
      </c>
      <c r="AB17" s="328" t="b">
        <f t="shared" si="25"/>
        <v>1</v>
      </c>
      <c r="AC17" s="328" t="b">
        <f t="shared" si="26"/>
        <v>1</v>
      </c>
      <c r="AD17" s="328" t="b">
        <f t="shared" si="27"/>
        <v>1</v>
      </c>
      <c r="AE17" s="328" t="b">
        <f t="shared" si="28"/>
        <v>1</v>
      </c>
      <c r="AF17" s="328" t="b">
        <f t="shared" si="29"/>
        <v>1</v>
      </c>
      <c r="AG17" s="328" t="b">
        <f t="shared" si="30"/>
        <v>1</v>
      </c>
      <c r="AH17" s="328" t="b">
        <f t="shared" si="31"/>
        <v>1</v>
      </c>
      <c r="AI17" s="328" t="b">
        <f t="shared" si="32"/>
        <v>1</v>
      </c>
      <c r="AJ17" s="328" t="b">
        <f t="shared" si="33"/>
        <v>1</v>
      </c>
      <c r="AK17" s="328" t="b">
        <f t="shared" si="34"/>
        <v>1</v>
      </c>
      <c r="AL17" s="838" t="str">
        <f t="shared" si="35"/>
        <v/>
      </c>
      <c r="AM17" s="839" t="str">
        <f t="shared" si="36"/>
        <v/>
      </c>
      <c r="AN17" s="839" t="str">
        <f t="shared" si="37"/>
        <v/>
      </c>
      <c r="AO17" s="839" t="str">
        <f t="shared" si="38"/>
        <v/>
      </c>
      <c r="AP17" s="839" t="str">
        <f t="shared" si="39"/>
        <v/>
      </c>
      <c r="AQ17" s="839" t="str">
        <f t="shared" si="40"/>
        <v/>
      </c>
      <c r="AR17" s="839" t="str">
        <f t="shared" si="41"/>
        <v/>
      </c>
      <c r="AS17" s="839" t="str">
        <f t="shared" si="42"/>
        <v/>
      </c>
      <c r="AT17" s="839" t="str">
        <f t="shared" si="43"/>
        <v/>
      </c>
      <c r="AU17" s="839" t="str">
        <f t="shared" si="44"/>
        <v/>
      </c>
      <c r="AV17" s="839" t="str">
        <f t="shared" si="45"/>
        <v/>
      </c>
      <c r="AW17" s="843" t="str">
        <f t="shared" si="45"/>
        <v/>
      </c>
    </row>
    <row r="18" spans="1:49" s="328" customFormat="1">
      <c r="A18" s="823">
        <f t="shared" si="46"/>
        <v>0</v>
      </c>
      <c r="B18" s="327" t="s">
        <v>263</v>
      </c>
      <c r="C18" s="327" t="str">
        <f t="shared" si="0"/>
        <v>Xà bông (1)脫脂 
 CT-21A</v>
      </c>
      <c r="D18" s="327" t="str">
        <f t="shared" si="1"/>
        <v>XL-001F</v>
      </c>
      <c r="E18" s="327" t="str">
        <f t="shared" si="2"/>
        <v>g/L</v>
      </c>
      <c r="F18" s="327" t="str">
        <f t="shared" si="3"/>
        <v>60~80</v>
      </c>
      <c r="G18" s="812">
        <f t="shared" si="4"/>
        <v>10.8</v>
      </c>
      <c r="H18" s="812" t="str">
        <f t="shared" si="5"/>
        <v>+</v>
      </c>
      <c r="I18" s="817">
        <f t="shared" si="6"/>
        <v>0</v>
      </c>
      <c r="J18" s="812" t="str">
        <f t="shared" si="7"/>
        <v>kg</v>
      </c>
      <c r="K18" s="812">
        <f t="shared" si="8"/>
        <v>-1.995512999999999</v>
      </c>
      <c r="L18" s="817" t="str">
        <f t="shared" si="9"/>
        <v>+</v>
      </c>
      <c r="M18" s="812" t="str">
        <f t="shared" si="10"/>
        <v/>
      </c>
      <c r="N18" s="812">
        <f t="shared" si="11"/>
        <v>73.986000000000004</v>
      </c>
      <c r="O18" s="817">
        <f t="shared" si="12"/>
        <v>-10.734298000000011</v>
      </c>
      <c r="P18" s="812">
        <f t="shared" si="13"/>
        <v>0</v>
      </c>
      <c r="Q18" s="812">
        <f t="shared" si="14"/>
        <v>11.5</v>
      </c>
      <c r="R18" s="817">
        <f t="shared" si="15"/>
        <v>74.635000000000005</v>
      </c>
      <c r="S18" s="812" t="str">
        <f t="shared" si="16"/>
        <v>+</v>
      </c>
      <c r="T18" s="805" t="str">
        <f t="shared" si="17"/>
        <v>kg</v>
      </c>
      <c r="U18" s="806">
        <f t="shared" si="18"/>
        <v>0</v>
      </c>
      <c r="V18" s="812">
        <f t="shared" si="19"/>
        <v>188.51</v>
      </c>
      <c r="W18" s="805" t="str">
        <f t="shared" si="20"/>
        <v/>
      </c>
      <c r="X18" s="806" t="str">
        <f t="shared" si="21"/>
        <v>kg</v>
      </c>
      <c r="Z18" s="328" t="b">
        <f t="shared" si="23"/>
        <v>1</v>
      </c>
      <c r="AA18" s="328" t="b">
        <f t="shared" si="24"/>
        <v>0</v>
      </c>
      <c r="AB18" s="328" t="b">
        <f t="shared" si="25"/>
        <v>0</v>
      </c>
      <c r="AC18" s="328" t="b">
        <f t="shared" si="26"/>
        <v>1</v>
      </c>
      <c r="AD18" s="328" t="b">
        <f t="shared" si="27"/>
        <v>0</v>
      </c>
      <c r="AE18" s="328" t="b">
        <f t="shared" si="28"/>
        <v>1</v>
      </c>
      <c r="AF18" s="328" t="b">
        <f t="shared" si="29"/>
        <v>1</v>
      </c>
      <c r="AG18" s="328" t="b">
        <f t="shared" si="30"/>
        <v>1</v>
      </c>
      <c r="AH18" s="328" t="b">
        <f t="shared" si="31"/>
        <v>0</v>
      </c>
      <c r="AI18" s="328" t="b">
        <f t="shared" si="32"/>
        <v>0</v>
      </c>
      <c r="AJ18" s="328" t="b">
        <f t="shared" si="33"/>
        <v>1</v>
      </c>
      <c r="AK18" s="328" t="b">
        <f t="shared" si="34"/>
        <v>0</v>
      </c>
      <c r="AL18" s="838" t="str">
        <f t="shared" si="35"/>
        <v/>
      </c>
      <c r="AM18" s="839">
        <f t="shared" si="36"/>
        <v>1</v>
      </c>
      <c r="AN18" s="839">
        <f t="shared" si="37"/>
        <v>1</v>
      </c>
      <c r="AO18" s="839" t="str">
        <f t="shared" si="38"/>
        <v/>
      </c>
      <c r="AP18" s="839">
        <f t="shared" si="39"/>
        <v>1</v>
      </c>
      <c r="AQ18" s="839" t="str">
        <f t="shared" si="40"/>
        <v/>
      </c>
      <c r="AR18" s="839" t="str">
        <f t="shared" si="41"/>
        <v/>
      </c>
      <c r="AS18" s="839" t="str">
        <f t="shared" si="42"/>
        <v/>
      </c>
      <c r="AT18" s="839">
        <f t="shared" si="43"/>
        <v>1</v>
      </c>
      <c r="AU18" s="839">
        <f t="shared" si="44"/>
        <v>1</v>
      </c>
      <c r="AV18" s="839" t="str">
        <f t="shared" si="45"/>
        <v/>
      </c>
      <c r="AW18" s="843">
        <f t="shared" si="45"/>
        <v>1</v>
      </c>
    </row>
    <row r="19" spans="1:49" s="328" customFormat="1">
      <c r="A19" s="823">
        <f t="shared" si="46"/>
        <v>0</v>
      </c>
      <c r="B19" s="327" t="s">
        <v>264</v>
      </c>
      <c r="C19" s="327" t="str">
        <f t="shared" si="0"/>
        <v>Xà bông (2)脫脂 
 CT-21A</v>
      </c>
      <c r="D19" s="327" t="str">
        <f t="shared" si="1"/>
        <v>XL-001F</v>
      </c>
      <c r="E19" s="327" t="str">
        <f t="shared" si="2"/>
        <v>g/L</v>
      </c>
      <c r="F19" s="327" t="str">
        <f t="shared" si="3"/>
        <v>60~80</v>
      </c>
      <c r="G19" s="812">
        <f t="shared" si="4"/>
        <v>11.45</v>
      </c>
      <c r="H19" s="812" t="str">
        <f t="shared" si="5"/>
        <v>+</v>
      </c>
      <c r="I19" s="817">
        <f t="shared" si="6"/>
        <v>0</v>
      </c>
      <c r="J19" s="812" t="str">
        <f t="shared" si="7"/>
        <v>kg</v>
      </c>
      <c r="K19" s="812">
        <f t="shared" si="8"/>
        <v>-13.173730000000013</v>
      </c>
      <c r="L19" s="817" t="str">
        <f t="shared" si="9"/>
        <v>+</v>
      </c>
      <c r="M19" s="812" t="str">
        <f t="shared" si="10"/>
        <v/>
      </c>
      <c r="N19" s="812">
        <f t="shared" si="11"/>
        <v>72.039000000000001</v>
      </c>
      <c r="O19" s="817">
        <f t="shared" si="12"/>
        <v>-6.7388950000000047</v>
      </c>
      <c r="P19" s="812">
        <f t="shared" si="13"/>
        <v>0</v>
      </c>
      <c r="Q19" s="812">
        <f t="shared" si="14"/>
        <v>11</v>
      </c>
      <c r="R19" s="817">
        <f t="shared" si="15"/>
        <v>71.39</v>
      </c>
      <c r="S19" s="812" t="str">
        <f t="shared" si="16"/>
        <v>+</v>
      </c>
      <c r="T19" s="805" t="str">
        <f t="shared" si="17"/>
        <v>kg</v>
      </c>
      <c r="U19" s="806">
        <f t="shared" si="18"/>
        <v>0</v>
      </c>
      <c r="V19" s="812">
        <f t="shared" si="19"/>
        <v>231.35</v>
      </c>
      <c r="W19" s="805" t="str">
        <f t="shared" si="20"/>
        <v/>
      </c>
      <c r="X19" s="806" t="str">
        <f t="shared" si="21"/>
        <v>kg</v>
      </c>
      <c r="Z19" s="328" t="b">
        <f t="shared" si="23"/>
        <v>1</v>
      </c>
      <c r="AA19" s="328" t="b">
        <f t="shared" si="24"/>
        <v>0</v>
      </c>
      <c r="AB19" s="328" t="b">
        <f t="shared" si="25"/>
        <v>0</v>
      </c>
      <c r="AC19" s="328" t="b">
        <f t="shared" si="26"/>
        <v>1</v>
      </c>
      <c r="AD19" s="328" t="b">
        <f t="shared" si="27"/>
        <v>0</v>
      </c>
      <c r="AE19" s="328" t="b">
        <f t="shared" si="28"/>
        <v>1</v>
      </c>
      <c r="AF19" s="328" t="b">
        <f t="shared" si="29"/>
        <v>1</v>
      </c>
      <c r="AG19" s="328" t="b">
        <f t="shared" si="30"/>
        <v>1</v>
      </c>
      <c r="AH19" s="328" t="b">
        <f t="shared" si="31"/>
        <v>0</v>
      </c>
      <c r="AI19" s="328" t="b">
        <f t="shared" si="32"/>
        <v>0</v>
      </c>
      <c r="AJ19" s="328" t="b">
        <f t="shared" si="33"/>
        <v>1</v>
      </c>
      <c r="AK19" s="328" t="b">
        <f t="shared" si="34"/>
        <v>0</v>
      </c>
      <c r="AL19" s="838" t="str">
        <f t="shared" si="35"/>
        <v/>
      </c>
      <c r="AM19" s="839">
        <f t="shared" si="36"/>
        <v>1</v>
      </c>
      <c r="AN19" s="839">
        <f t="shared" si="37"/>
        <v>1</v>
      </c>
      <c r="AO19" s="839" t="str">
        <f t="shared" si="38"/>
        <v/>
      </c>
      <c r="AP19" s="839">
        <f t="shared" si="39"/>
        <v>1</v>
      </c>
      <c r="AQ19" s="839" t="str">
        <f t="shared" si="40"/>
        <v/>
      </c>
      <c r="AR19" s="839" t="str">
        <f t="shared" si="41"/>
        <v/>
      </c>
      <c r="AS19" s="839" t="str">
        <f t="shared" si="42"/>
        <v/>
      </c>
      <c r="AT19" s="839">
        <f t="shared" si="43"/>
        <v>1</v>
      </c>
      <c r="AU19" s="839">
        <f t="shared" si="44"/>
        <v>1</v>
      </c>
      <c r="AV19" s="839" t="str">
        <f t="shared" si="45"/>
        <v/>
      </c>
      <c r="AW19" s="843">
        <f t="shared" si="45"/>
        <v>1</v>
      </c>
    </row>
    <row r="20" spans="1:49" s="328" customFormat="1">
      <c r="A20" s="823">
        <f t="shared" si="46"/>
        <v>0</v>
      </c>
      <c r="B20" s="327" t="s">
        <v>265</v>
      </c>
      <c r="C20" s="327" t="str">
        <f t="shared" si="0"/>
        <v>điện giải(1)+電解 
EC-508A</v>
      </c>
      <c r="D20" s="327" t="str">
        <f t="shared" si="1"/>
        <v>XL-001F</v>
      </c>
      <c r="E20" s="327" t="str">
        <f t="shared" si="2"/>
        <v>g/L</v>
      </c>
      <c r="F20" s="327" t="str">
        <f t="shared" si="3"/>
        <v>50~70</v>
      </c>
      <c r="G20" s="812">
        <f t="shared" si="4"/>
        <v>12.25</v>
      </c>
      <c r="H20" s="812" t="str">
        <f t="shared" si="5"/>
        <v>+</v>
      </c>
      <c r="I20" s="817">
        <f t="shared" si="6"/>
        <v>3.9361800000000011</v>
      </c>
      <c r="J20" s="812" t="str">
        <f t="shared" si="7"/>
        <v>kg</v>
      </c>
      <c r="K20" s="812">
        <f t="shared" si="8"/>
        <v>4.2032160000000029</v>
      </c>
      <c r="L20" s="817" t="str">
        <f t="shared" si="9"/>
        <v>+</v>
      </c>
      <c r="M20" s="812" t="str">
        <f t="shared" si="10"/>
        <v>có</v>
      </c>
      <c r="N20" s="812">
        <f t="shared" si="11"/>
        <v>61.215000000000003</v>
      </c>
      <c r="O20" s="817">
        <f t="shared" si="12"/>
        <v>-1.4045400000000041</v>
      </c>
      <c r="P20" s="812">
        <f t="shared" si="13"/>
        <v>0</v>
      </c>
      <c r="Q20" s="812">
        <f t="shared" si="14"/>
        <v>13.6</v>
      </c>
      <c r="R20" s="817">
        <f t="shared" si="15"/>
        <v>62.832000000000001</v>
      </c>
      <c r="S20" s="812" t="str">
        <f t="shared" si="16"/>
        <v>+</v>
      </c>
      <c r="T20" s="805" t="str">
        <f t="shared" si="17"/>
        <v>kg</v>
      </c>
      <c r="U20" s="806">
        <f t="shared" si="18"/>
        <v>0</v>
      </c>
      <c r="V20" s="812">
        <f t="shared" si="19"/>
        <v>69.36</v>
      </c>
      <c r="W20" s="805" t="str">
        <f t="shared" si="20"/>
        <v/>
      </c>
      <c r="X20" s="806" t="str">
        <f t="shared" si="21"/>
        <v>kg</v>
      </c>
      <c r="Z20" s="328" t="b">
        <f t="shared" si="23"/>
        <v>1</v>
      </c>
      <c r="AA20" s="328" t="b">
        <f t="shared" si="24"/>
        <v>0</v>
      </c>
      <c r="AB20" s="328" t="b">
        <f t="shared" si="25"/>
        <v>0</v>
      </c>
      <c r="AC20" s="328" t="b">
        <f t="shared" si="26"/>
        <v>1</v>
      </c>
      <c r="AD20" s="328" t="b">
        <f t="shared" si="27"/>
        <v>0</v>
      </c>
      <c r="AE20" s="328" t="b">
        <f t="shared" si="28"/>
        <v>1</v>
      </c>
      <c r="AF20" s="328" t="b">
        <f t="shared" si="29"/>
        <v>1</v>
      </c>
      <c r="AG20" s="328" t="b">
        <f t="shared" si="30"/>
        <v>1</v>
      </c>
      <c r="AH20" s="328" t="b">
        <f t="shared" si="31"/>
        <v>0</v>
      </c>
      <c r="AI20" s="328" t="b">
        <f t="shared" si="32"/>
        <v>0</v>
      </c>
      <c r="AJ20" s="328" t="b">
        <f t="shared" si="33"/>
        <v>1</v>
      </c>
      <c r="AK20" s="328" t="b">
        <f t="shared" si="34"/>
        <v>0</v>
      </c>
      <c r="AL20" s="838" t="str">
        <f t="shared" si="35"/>
        <v/>
      </c>
      <c r="AM20" s="839">
        <f t="shared" si="36"/>
        <v>1</v>
      </c>
      <c r="AN20" s="839">
        <f t="shared" si="37"/>
        <v>1</v>
      </c>
      <c r="AO20" s="839" t="str">
        <f t="shared" si="38"/>
        <v/>
      </c>
      <c r="AP20" s="839">
        <f t="shared" si="39"/>
        <v>1</v>
      </c>
      <c r="AQ20" s="839" t="str">
        <f t="shared" si="40"/>
        <v/>
      </c>
      <c r="AR20" s="839" t="str">
        <f t="shared" si="41"/>
        <v/>
      </c>
      <c r="AS20" s="839" t="str">
        <f t="shared" si="42"/>
        <v/>
      </c>
      <c r="AT20" s="839">
        <f t="shared" si="43"/>
        <v>1</v>
      </c>
      <c r="AU20" s="839">
        <f t="shared" si="44"/>
        <v>1</v>
      </c>
      <c r="AV20" s="839" t="str">
        <f t="shared" si="45"/>
        <v/>
      </c>
      <c r="AW20" s="843">
        <f t="shared" si="45"/>
        <v>1</v>
      </c>
    </row>
    <row r="21" spans="1:49" s="328" customFormat="1">
      <c r="A21" s="823">
        <f t="shared" si="46"/>
        <v>0</v>
      </c>
      <c r="B21" s="327" t="s">
        <v>266</v>
      </c>
      <c r="C21" s="327" t="str">
        <f t="shared" si="0"/>
        <v xml:space="preserve">điện giải (2)+電解 
EC-508A
 </v>
      </c>
      <c r="D21" s="327" t="str">
        <f t="shared" si="1"/>
        <v>XL-001F</v>
      </c>
      <c r="E21" s="327" t="str">
        <f t="shared" si="2"/>
        <v>g/L</v>
      </c>
      <c r="F21" s="327" t="str">
        <f t="shared" si="3"/>
        <v>50~70</v>
      </c>
      <c r="G21" s="812">
        <f t="shared" si="4"/>
        <v>12.3</v>
      </c>
      <c r="H21" s="812" t="str">
        <f t="shared" si="5"/>
        <v>+</v>
      </c>
      <c r="I21" s="817">
        <f t="shared" si="6"/>
        <v>4.6308659999999895</v>
      </c>
      <c r="J21" s="812" t="str">
        <f t="shared" si="7"/>
        <v>kg</v>
      </c>
      <c r="K21" s="812">
        <f t="shared" si="8"/>
        <v>2.6086920000000053</v>
      </c>
      <c r="L21" s="817" t="str">
        <f t="shared" si="9"/>
        <v>+</v>
      </c>
      <c r="M21" s="812" t="str">
        <f t="shared" si="10"/>
        <v>có</v>
      </c>
      <c r="N21" s="812">
        <f t="shared" si="11"/>
        <v>64.218000000000004</v>
      </c>
      <c r="O21" s="817">
        <f t="shared" si="12"/>
        <v>-6.154062000000005</v>
      </c>
      <c r="P21" s="812">
        <f t="shared" si="13"/>
        <v>0</v>
      </c>
      <c r="Q21" s="812">
        <f t="shared" si="14"/>
        <v>13.4</v>
      </c>
      <c r="R21" s="817">
        <f t="shared" si="15"/>
        <v>61.908000000000001</v>
      </c>
      <c r="S21" s="812" t="str">
        <f t="shared" si="16"/>
        <v>+</v>
      </c>
      <c r="T21" s="805" t="str">
        <f t="shared" si="17"/>
        <v>kg</v>
      </c>
      <c r="U21" s="806">
        <f t="shared" si="18"/>
        <v>0</v>
      </c>
      <c r="V21" s="812">
        <f t="shared" si="19"/>
        <v>87.54</v>
      </c>
      <c r="W21" s="805" t="str">
        <f t="shared" si="20"/>
        <v/>
      </c>
      <c r="X21" s="806" t="str">
        <f t="shared" si="21"/>
        <v>kg</v>
      </c>
      <c r="Z21" s="328" t="b">
        <f t="shared" si="23"/>
        <v>1</v>
      </c>
      <c r="AA21" s="328" t="b">
        <f t="shared" si="24"/>
        <v>0</v>
      </c>
      <c r="AB21" s="328" t="b">
        <f t="shared" si="25"/>
        <v>0</v>
      </c>
      <c r="AC21" s="328" t="b">
        <f t="shared" si="26"/>
        <v>1</v>
      </c>
      <c r="AD21" s="328" t="b">
        <f t="shared" si="27"/>
        <v>0</v>
      </c>
      <c r="AE21" s="328" t="b">
        <f t="shared" si="28"/>
        <v>1</v>
      </c>
      <c r="AF21" s="328" t="b">
        <f t="shared" si="29"/>
        <v>1</v>
      </c>
      <c r="AG21" s="328" t="b">
        <f t="shared" si="30"/>
        <v>1</v>
      </c>
      <c r="AH21" s="328" t="b">
        <f t="shared" si="31"/>
        <v>0</v>
      </c>
      <c r="AI21" s="328" t="b">
        <f t="shared" si="32"/>
        <v>0</v>
      </c>
      <c r="AJ21" s="328" t="b">
        <f t="shared" si="33"/>
        <v>1</v>
      </c>
      <c r="AK21" s="328" t="b">
        <f t="shared" si="34"/>
        <v>0</v>
      </c>
      <c r="AL21" s="838" t="str">
        <f t="shared" si="35"/>
        <v/>
      </c>
      <c r="AM21" s="839">
        <f t="shared" si="36"/>
        <v>1</v>
      </c>
      <c r="AN21" s="839">
        <f t="shared" si="37"/>
        <v>1</v>
      </c>
      <c r="AO21" s="839" t="str">
        <f t="shared" si="38"/>
        <v/>
      </c>
      <c r="AP21" s="839">
        <f t="shared" si="39"/>
        <v>1</v>
      </c>
      <c r="AQ21" s="839" t="str">
        <f t="shared" si="40"/>
        <v/>
      </c>
      <c r="AR21" s="839" t="str">
        <f t="shared" si="41"/>
        <v/>
      </c>
      <c r="AS21" s="839" t="str">
        <f t="shared" si="42"/>
        <v/>
      </c>
      <c r="AT21" s="839">
        <f t="shared" si="43"/>
        <v>1</v>
      </c>
      <c r="AU21" s="839">
        <f t="shared" si="44"/>
        <v>1</v>
      </c>
      <c r="AV21" s="839" t="str">
        <f t="shared" si="45"/>
        <v/>
      </c>
      <c r="AW21" s="843">
        <f t="shared" si="45"/>
        <v>1</v>
      </c>
    </row>
    <row r="22" spans="1:49" s="328" customFormat="1">
      <c r="A22" s="823">
        <f t="shared" si="46"/>
        <v>0</v>
      </c>
      <c r="B22" s="327" t="s">
        <v>267</v>
      </c>
      <c r="C22" s="327" t="str">
        <f t="shared" si="0"/>
        <v>Nồng độ    NaOH
氫氧化鈉</v>
      </c>
      <c r="D22" s="327" t="str">
        <f t="shared" si="1"/>
        <v>XL-001F</v>
      </c>
      <c r="E22" s="327" t="str">
        <f t="shared" si="2"/>
        <v>g/L</v>
      </c>
      <c r="F22" s="327" t="str">
        <f t="shared" si="3"/>
        <v>130 - 150</v>
      </c>
      <c r="G22" s="812">
        <f t="shared" si="4"/>
        <v>18.05</v>
      </c>
      <c r="H22" s="812" t="str">
        <f t="shared" si="5"/>
        <v>+</v>
      </c>
      <c r="I22" s="817">
        <f t="shared" si="6"/>
        <v>0</v>
      </c>
      <c r="J22" s="812" t="str">
        <f t="shared" si="7"/>
        <v>kg</v>
      </c>
      <c r="K22" s="812">
        <f t="shared" si="8"/>
        <v>-111.72559999999989</v>
      </c>
      <c r="L22" s="817" t="str">
        <f t="shared" si="9"/>
        <v>+</v>
      </c>
      <c r="M22" s="812" t="str">
        <f t="shared" si="10"/>
        <v/>
      </c>
      <c r="N22" s="812">
        <f t="shared" si="11"/>
        <v>145.6</v>
      </c>
      <c r="O22" s="817">
        <f t="shared" si="12"/>
        <v>-111.72559999999989</v>
      </c>
      <c r="P22" s="812">
        <f t="shared" si="13"/>
        <v>0</v>
      </c>
      <c r="Q22" s="812">
        <f t="shared" si="14"/>
        <v>18.2</v>
      </c>
      <c r="R22" s="817">
        <f t="shared" si="15"/>
        <v>145.6</v>
      </c>
      <c r="S22" s="812" t="str">
        <f t="shared" si="16"/>
        <v>+</v>
      </c>
      <c r="T22" s="805" t="str">
        <f t="shared" si="17"/>
        <v>kg</v>
      </c>
      <c r="U22" s="806">
        <f t="shared" si="18"/>
        <v>0</v>
      </c>
      <c r="V22" s="812">
        <f t="shared" si="19"/>
        <v>2793.14</v>
      </c>
      <c r="W22" s="805" t="str">
        <f t="shared" si="20"/>
        <v/>
      </c>
      <c r="X22" s="806" t="str">
        <f t="shared" si="21"/>
        <v>kg</v>
      </c>
      <c r="Z22" s="328" t="b">
        <f t="shared" si="23"/>
        <v>1</v>
      </c>
      <c r="AA22" s="328" t="b">
        <f t="shared" si="24"/>
        <v>0</v>
      </c>
      <c r="AB22" s="328" t="b">
        <f t="shared" si="25"/>
        <v>0</v>
      </c>
      <c r="AC22" s="328" t="b">
        <f t="shared" si="26"/>
        <v>1</v>
      </c>
      <c r="AD22" s="328" t="b">
        <f t="shared" si="27"/>
        <v>0</v>
      </c>
      <c r="AE22" s="328" t="b">
        <f t="shared" si="28"/>
        <v>1</v>
      </c>
      <c r="AF22" s="328" t="b">
        <f t="shared" si="29"/>
        <v>1</v>
      </c>
      <c r="AG22" s="328" t="b">
        <f t="shared" si="30"/>
        <v>1</v>
      </c>
      <c r="AH22" s="328" t="b">
        <f t="shared" si="31"/>
        <v>0</v>
      </c>
      <c r="AI22" s="328" t="b">
        <f t="shared" si="32"/>
        <v>0</v>
      </c>
      <c r="AJ22" s="328" t="b">
        <f t="shared" si="33"/>
        <v>1</v>
      </c>
      <c r="AK22" s="328" t="b">
        <f t="shared" si="34"/>
        <v>0</v>
      </c>
      <c r="AL22" s="838" t="str">
        <f t="shared" si="35"/>
        <v/>
      </c>
      <c r="AM22" s="839">
        <f t="shared" si="36"/>
        <v>1</v>
      </c>
      <c r="AN22" s="839">
        <f t="shared" si="37"/>
        <v>1</v>
      </c>
      <c r="AO22" s="839" t="str">
        <f t="shared" si="38"/>
        <v/>
      </c>
      <c r="AP22" s="839">
        <f t="shared" si="39"/>
        <v>1</v>
      </c>
      <c r="AQ22" s="839" t="str">
        <f t="shared" si="40"/>
        <v/>
      </c>
      <c r="AR22" s="839" t="str">
        <f t="shared" si="41"/>
        <v/>
      </c>
      <c r="AS22" s="839" t="str">
        <f t="shared" si="42"/>
        <v/>
      </c>
      <c r="AT22" s="839">
        <f t="shared" si="43"/>
        <v>1</v>
      </c>
      <c r="AU22" s="839">
        <f t="shared" si="44"/>
        <v>1</v>
      </c>
      <c r="AV22" s="839" t="str">
        <f t="shared" si="45"/>
        <v/>
      </c>
      <c r="AW22" s="843">
        <f t="shared" si="45"/>
        <v>1</v>
      </c>
    </row>
    <row r="23" spans="1:49" s="328" customFormat="1">
      <c r="A23" s="823">
        <f t="shared" si="46"/>
        <v>0</v>
      </c>
      <c r="B23" s="327" t="s">
        <v>268</v>
      </c>
      <c r="C23" s="327" t="str">
        <f t="shared" si="0"/>
        <v>Nồng độ Zn  鋅
(1 pcs Zn=25kg)</v>
      </c>
      <c r="D23" s="327" t="str">
        <f t="shared" si="1"/>
        <v>XL-001F</v>
      </c>
      <c r="E23" s="327" t="str">
        <f t="shared" si="2"/>
        <v>g/L</v>
      </c>
      <c r="F23" s="327" t="str">
        <f t="shared" si="3"/>
        <v>8~12</v>
      </c>
      <c r="G23" s="812">
        <f t="shared" si="4"/>
        <v>8.9</v>
      </c>
      <c r="H23" s="812" t="str">
        <f t="shared" si="5"/>
        <v>+</v>
      </c>
      <c r="I23" s="817">
        <f t="shared" si="6"/>
        <v>0</v>
      </c>
      <c r="J23" s="812" t="str">
        <f t="shared" si="7"/>
        <v>kg</v>
      </c>
      <c r="K23" s="812">
        <f t="shared" si="8"/>
        <v>-23.542179999999995</v>
      </c>
      <c r="L23" s="817" t="str">
        <f t="shared" si="9"/>
        <v>+</v>
      </c>
      <c r="M23" s="812" t="str">
        <f t="shared" si="10"/>
        <v/>
      </c>
      <c r="N23" s="812">
        <f t="shared" si="11"/>
        <v>11.18</v>
      </c>
      <c r="O23" s="817">
        <f t="shared" si="12"/>
        <v>-23.542179999999995</v>
      </c>
      <c r="P23" s="812">
        <f t="shared" si="13"/>
        <v>0</v>
      </c>
      <c r="Q23" s="812">
        <f t="shared" si="14"/>
        <v>8.6</v>
      </c>
      <c r="R23" s="817">
        <f t="shared" si="15"/>
        <v>11.18</v>
      </c>
      <c r="S23" s="812" t="str">
        <f t="shared" si="16"/>
        <v>+</v>
      </c>
      <c r="T23" s="805" t="str">
        <f t="shared" si="17"/>
        <v>kg</v>
      </c>
      <c r="U23" s="806">
        <f t="shared" si="18"/>
        <v>0</v>
      </c>
      <c r="V23" s="812">
        <f t="shared" si="19"/>
        <v>199.51</v>
      </c>
      <c r="W23" s="805" t="str">
        <f t="shared" si="20"/>
        <v/>
      </c>
      <c r="X23" s="806" t="str">
        <f t="shared" si="21"/>
        <v>kg</v>
      </c>
      <c r="Z23" s="328" t="b">
        <f t="shared" si="23"/>
        <v>1</v>
      </c>
      <c r="AA23" s="328" t="b">
        <f t="shared" si="24"/>
        <v>0</v>
      </c>
      <c r="AB23" s="328" t="b">
        <f t="shared" si="25"/>
        <v>0</v>
      </c>
      <c r="AC23" s="328" t="b">
        <f t="shared" si="26"/>
        <v>1</v>
      </c>
      <c r="AD23" s="328" t="b">
        <f t="shared" si="27"/>
        <v>0</v>
      </c>
      <c r="AE23" s="328" t="b">
        <f t="shared" si="28"/>
        <v>1</v>
      </c>
      <c r="AF23" s="328" t="b">
        <f t="shared" si="29"/>
        <v>1</v>
      </c>
      <c r="AG23" s="328" t="b">
        <f t="shared" si="30"/>
        <v>1</v>
      </c>
      <c r="AH23" s="328" t="b">
        <f t="shared" si="31"/>
        <v>0</v>
      </c>
      <c r="AI23" s="328" t="b">
        <f t="shared" si="32"/>
        <v>0</v>
      </c>
      <c r="AJ23" s="328" t="b">
        <f t="shared" si="33"/>
        <v>1</v>
      </c>
      <c r="AK23" s="328" t="b">
        <f t="shared" si="34"/>
        <v>0</v>
      </c>
      <c r="AL23" s="838" t="str">
        <f t="shared" si="35"/>
        <v/>
      </c>
      <c r="AM23" s="839">
        <f t="shared" si="36"/>
        <v>1</v>
      </c>
      <c r="AN23" s="839">
        <f t="shared" si="37"/>
        <v>1</v>
      </c>
      <c r="AO23" s="839" t="str">
        <f t="shared" si="38"/>
        <v/>
      </c>
      <c r="AP23" s="839">
        <f t="shared" si="39"/>
        <v>1</v>
      </c>
      <c r="AQ23" s="839" t="str">
        <f t="shared" si="40"/>
        <v/>
      </c>
      <c r="AR23" s="839" t="str">
        <f t="shared" si="41"/>
        <v/>
      </c>
      <c r="AS23" s="839" t="str">
        <f t="shared" si="42"/>
        <v/>
      </c>
      <c r="AT23" s="839">
        <f t="shared" si="43"/>
        <v>1</v>
      </c>
      <c r="AU23" s="839">
        <f t="shared" si="44"/>
        <v>1</v>
      </c>
      <c r="AV23" s="839" t="str">
        <f t="shared" si="45"/>
        <v/>
      </c>
      <c r="AW23" s="843">
        <f t="shared" si="45"/>
        <v>1</v>
      </c>
    </row>
    <row r="24" spans="1:49" s="328" customFormat="1">
      <c r="A24" s="823">
        <f t="shared" si="46"/>
        <v>0</v>
      </c>
      <c r="B24" s="327" t="s">
        <v>269</v>
      </c>
      <c r="C24" s="327" t="str">
        <f t="shared" si="0"/>
        <v>Nồng độ Cr2O3 三價鉻
LANTHANE 318</v>
      </c>
      <c r="D24" s="327" t="str">
        <f t="shared" si="1"/>
        <v>XL-001F</v>
      </c>
      <c r="E24" s="327" t="str">
        <f t="shared" si="2"/>
        <v>%</v>
      </c>
      <c r="F24" s="327" t="str">
        <f t="shared" si="3"/>
        <v xml:space="preserve">6~10 </v>
      </c>
      <c r="G24" s="812">
        <f t="shared" si="4"/>
        <v>18.899999999999999</v>
      </c>
      <c r="H24" s="812" t="str">
        <f t="shared" si="5"/>
        <v>+</v>
      </c>
      <c r="I24" s="817">
        <f t="shared" si="6"/>
        <v>0.21947750000000021</v>
      </c>
      <c r="J24" s="812" t="str">
        <f t="shared" si="7"/>
        <v>L</v>
      </c>
      <c r="K24" s="812">
        <f t="shared" si="8"/>
        <v>-2.4149999999999894E-2</v>
      </c>
      <c r="L24" s="817" t="str">
        <f t="shared" si="9"/>
        <v>+</v>
      </c>
      <c r="M24" s="812" t="str">
        <f t="shared" si="10"/>
        <v/>
      </c>
      <c r="N24" s="812">
        <f t="shared" si="11"/>
        <v>6.6652399999999998</v>
      </c>
      <c r="O24" s="817">
        <f t="shared" si="12"/>
        <v>1.9248700000000012</v>
      </c>
      <c r="P24" s="812">
        <f t="shared" si="13"/>
        <v>1.9248700000000012</v>
      </c>
      <c r="Q24" s="812">
        <f t="shared" si="14"/>
        <v>18.8</v>
      </c>
      <c r="R24" s="817">
        <f t="shared" si="15"/>
        <v>6.9194600000000008</v>
      </c>
      <c r="S24" s="812" t="str">
        <f t="shared" si="16"/>
        <v>+</v>
      </c>
      <c r="T24" s="805" t="str">
        <f t="shared" si="17"/>
        <v>L</v>
      </c>
      <c r="U24" s="806">
        <f t="shared" si="18"/>
        <v>0</v>
      </c>
      <c r="V24" s="812">
        <f t="shared" si="19"/>
        <v>46.265074999999996</v>
      </c>
      <c r="W24" s="805" t="str">
        <f t="shared" si="20"/>
        <v/>
      </c>
      <c r="X24" s="806" t="str">
        <f t="shared" si="21"/>
        <v>L</v>
      </c>
      <c r="Z24" s="328" t="b">
        <f t="shared" si="23"/>
        <v>1</v>
      </c>
      <c r="AA24" s="328" t="b">
        <f t="shared" si="24"/>
        <v>0</v>
      </c>
      <c r="AB24" s="328" t="b">
        <f t="shared" si="25"/>
        <v>0</v>
      </c>
      <c r="AC24" s="328" t="b">
        <f t="shared" si="26"/>
        <v>1</v>
      </c>
      <c r="AD24" s="328" t="b">
        <f t="shared" si="27"/>
        <v>0</v>
      </c>
      <c r="AE24" s="328" t="b">
        <f t="shared" si="28"/>
        <v>1</v>
      </c>
      <c r="AF24" s="328" t="b">
        <f t="shared" si="29"/>
        <v>1</v>
      </c>
      <c r="AG24" s="328" t="b">
        <f t="shared" si="30"/>
        <v>1</v>
      </c>
      <c r="AH24" s="328" t="b">
        <f t="shared" si="31"/>
        <v>0</v>
      </c>
      <c r="AI24" s="328" t="b">
        <f t="shared" si="32"/>
        <v>0</v>
      </c>
      <c r="AJ24" s="328" t="b">
        <f t="shared" si="33"/>
        <v>1</v>
      </c>
      <c r="AK24" s="328" t="b">
        <f t="shared" si="34"/>
        <v>0</v>
      </c>
      <c r="AL24" s="838" t="str">
        <f t="shared" si="35"/>
        <v/>
      </c>
      <c r="AM24" s="839">
        <f t="shared" si="36"/>
        <v>1</v>
      </c>
      <c r="AN24" s="839">
        <f t="shared" si="37"/>
        <v>1</v>
      </c>
      <c r="AO24" s="839" t="str">
        <f t="shared" si="38"/>
        <v/>
      </c>
      <c r="AP24" s="839">
        <f t="shared" si="39"/>
        <v>1</v>
      </c>
      <c r="AQ24" s="839" t="str">
        <f t="shared" si="40"/>
        <v/>
      </c>
      <c r="AR24" s="839" t="str">
        <f t="shared" si="41"/>
        <v/>
      </c>
      <c r="AS24" s="839" t="str">
        <f t="shared" si="42"/>
        <v/>
      </c>
      <c r="AT24" s="839">
        <f t="shared" si="43"/>
        <v>1</v>
      </c>
      <c r="AU24" s="839">
        <f t="shared" si="44"/>
        <v>1</v>
      </c>
      <c r="AV24" s="839" t="str">
        <f t="shared" si="45"/>
        <v/>
      </c>
      <c r="AW24" s="843">
        <f t="shared" si="45"/>
        <v>1</v>
      </c>
    </row>
    <row r="25" spans="1:49" s="328" customFormat="1">
      <c r="A25" s="823">
        <f t="shared" si="46"/>
        <v>0</v>
      </c>
      <c r="B25" s="327" t="s">
        <v>270</v>
      </c>
      <c r="C25" s="327" t="str">
        <f t="shared" si="0"/>
        <v>Pha mới: 2024/01/07</v>
      </c>
      <c r="D25" s="327" t="str">
        <f t="shared" si="1"/>
        <v>XL-001F</v>
      </c>
      <c r="E25" s="327" t="str">
        <f t="shared" si="2"/>
        <v>pH</v>
      </c>
      <c r="F25" s="327" t="str">
        <f t="shared" si="3"/>
        <v>2~2.5</v>
      </c>
      <c r="G25" s="812">
        <f t="shared" si="4"/>
        <v>0</v>
      </c>
      <c r="H25" s="812">
        <f t="shared" si="5"/>
        <v>0</v>
      </c>
      <c r="I25" s="817">
        <f t="shared" si="6"/>
        <v>0</v>
      </c>
      <c r="J25" s="812">
        <f t="shared" si="7"/>
        <v>0</v>
      </c>
      <c r="K25" s="812">
        <f t="shared" si="8"/>
        <v>0</v>
      </c>
      <c r="L25" s="817">
        <f t="shared" si="9"/>
        <v>0</v>
      </c>
      <c r="M25" s="812" t="str">
        <f t="shared" si="10"/>
        <v/>
      </c>
      <c r="N25" s="812">
        <f t="shared" si="11"/>
        <v>2.2999999999999998</v>
      </c>
      <c r="O25" s="817">
        <f t="shared" si="12"/>
        <v>0</v>
      </c>
      <c r="P25" s="812">
        <f t="shared" si="13"/>
        <v>0</v>
      </c>
      <c r="Q25" s="812">
        <f t="shared" si="14"/>
        <v>0</v>
      </c>
      <c r="R25" s="817">
        <f t="shared" si="15"/>
        <v>2.2000000000000002</v>
      </c>
      <c r="S25" s="812">
        <f t="shared" si="16"/>
        <v>0</v>
      </c>
      <c r="T25" s="805">
        <f t="shared" si="17"/>
        <v>0</v>
      </c>
      <c r="U25" s="806">
        <f t="shared" si="18"/>
        <v>0</v>
      </c>
      <c r="V25" s="812">
        <f t="shared" si="19"/>
        <v>0</v>
      </c>
      <c r="W25" s="805" t="str">
        <f t="shared" si="20"/>
        <v/>
      </c>
      <c r="X25" s="806">
        <f t="shared" si="21"/>
        <v>0</v>
      </c>
      <c r="Z25" s="328" t="b">
        <f t="shared" si="23"/>
        <v>1</v>
      </c>
      <c r="AA25" s="328" t="b">
        <f t="shared" si="24"/>
        <v>1</v>
      </c>
      <c r="AB25" s="328" t="b">
        <f t="shared" si="25"/>
        <v>1</v>
      </c>
      <c r="AC25" s="328" t="b">
        <f t="shared" si="26"/>
        <v>1</v>
      </c>
      <c r="AD25" s="328" t="b">
        <f t="shared" si="27"/>
        <v>0</v>
      </c>
      <c r="AE25" s="328" t="b">
        <f t="shared" si="28"/>
        <v>1</v>
      </c>
      <c r="AF25" s="328" t="b">
        <f t="shared" si="29"/>
        <v>1</v>
      </c>
      <c r="AG25" s="328" t="b">
        <f t="shared" si="30"/>
        <v>1</v>
      </c>
      <c r="AH25" s="328" t="b">
        <f t="shared" si="31"/>
        <v>1</v>
      </c>
      <c r="AI25" s="328" t="b">
        <f t="shared" si="32"/>
        <v>1</v>
      </c>
      <c r="AJ25" s="328" t="b">
        <f t="shared" si="33"/>
        <v>1</v>
      </c>
      <c r="AK25" s="328" t="b">
        <f t="shared" si="34"/>
        <v>0</v>
      </c>
      <c r="AL25" s="838" t="str">
        <f t="shared" si="35"/>
        <v/>
      </c>
      <c r="AM25" s="839" t="str">
        <f t="shared" si="36"/>
        <v/>
      </c>
      <c r="AN25" s="839" t="str">
        <f t="shared" si="37"/>
        <v/>
      </c>
      <c r="AO25" s="839" t="str">
        <f t="shared" si="38"/>
        <v/>
      </c>
      <c r="AP25" s="839">
        <f t="shared" si="39"/>
        <v>1</v>
      </c>
      <c r="AQ25" s="839" t="str">
        <f t="shared" si="40"/>
        <v/>
      </c>
      <c r="AR25" s="839" t="str">
        <f t="shared" si="41"/>
        <v/>
      </c>
      <c r="AS25" s="839" t="str">
        <f t="shared" si="42"/>
        <v/>
      </c>
      <c r="AT25" s="839" t="str">
        <f t="shared" si="43"/>
        <v/>
      </c>
      <c r="AU25" s="839" t="str">
        <f t="shared" si="44"/>
        <v/>
      </c>
      <c r="AV25" s="839" t="str">
        <f t="shared" si="45"/>
        <v/>
      </c>
      <c r="AW25" s="843">
        <f t="shared" si="45"/>
        <v>1</v>
      </c>
    </row>
    <row r="26" spans="1:49" s="328" customFormat="1">
      <c r="A26" s="823">
        <f t="shared" si="46"/>
        <v>0</v>
      </c>
      <c r="B26" s="327" t="s">
        <v>271</v>
      </c>
      <c r="C26" s="327" t="str">
        <f t="shared" si="0"/>
        <v>Nồng độ acid đặc
鹽酸 濃度</v>
      </c>
      <c r="D26" s="327" t="str">
        <f t="shared" si="1"/>
        <v>XL-001F</v>
      </c>
      <c r="E26" s="327" t="str">
        <f t="shared" si="2"/>
        <v>%V/V</v>
      </c>
      <c r="F26" s="327" t="str">
        <f t="shared" si="3"/>
        <v xml:space="preserve">40~50 </v>
      </c>
      <c r="G26" s="812">
        <f t="shared" si="4"/>
        <v>3.8</v>
      </c>
      <c r="H26" s="812" t="str">
        <f t="shared" si="5"/>
        <v>+</v>
      </c>
      <c r="I26" s="817">
        <f t="shared" si="6"/>
        <v>35.145625000000074</v>
      </c>
      <c r="J26" s="812" t="str">
        <f t="shared" si="7"/>
        <v>L</v>
      </c>
      <c r="K26" s="812">
        <f t="shared" si="8"/>
        <v>-13.262499999999953</v>
      </c>
      <c r="L26" s="817" t="str">
        <f t="shared" si="9"/>
        <v>+</v>
      </c>
      <c r="M26" s="812" t="str">
        <f t="shared" si="10"/>
        <v/>
      </c>
      <c r="N26" s="812">
        <f t="shared" si="11"/>
        <v>0.47335937500000008</v>
      </c>
      <c r="O26" s="817">
        <f t="shared" si="12"/>
        <v>-49.568593750000147</v>
      </c>
      <c r="P26" s="812">
        <f t="shared" si="13"/>
        <v>0</v>
      </c>
      <c r="Q26" s="812">
        <f t="shared" si="14"/>
        <v>4</v>
      </c>
      <c r="R26" s="817">
        <f t="shared" si="15"/>
        <v>0.45624999999999999</v>
      </c>
      <c r="S26" s="812" t="str">
        <f t="shared" si="16"/>
        <v>+</v>
      </c>
      <c r="T26" s="805" t="str">
        <f t="shared" si="17"/>
        <v>L</v>
      </c>
      <c r="U26" s="806">
        <f t="shared" si="18"/>
        <v>0</v>
      </c>
      <c r="V26" s="812">
        <f t="shared" si="19"/>
        <v>954.9</v>
      </c>
      <c r="W26" s="805" t="str">
        <f t="shared" si="20"/>
        <v/>
      </c>
      <c r="X26" s="806" t="str">
        <f t="shared" si="21"/>
        <v>L</v>
      </c>
      <c r="Z26" s="328" t="b">
        <f t="shared" si="23"/>
        <v>1</v>
      </c>
      <c r="AA26" s="328" t="b">
        <f t="shared" si="24"/>
        <v>0</v>
      </c>
      <c r="AB26" s="328" t="b">
        <f t="shared" si="25"/>
        <v>0</v>
      </c>
      <c r="AC26" s="328" t="b">
        <f t="shared" si="26"/>
        <v>1</v>
      </c>
      <c r="AD26" s="328" t="b">
        <f t="shared" si="27"/>
        <v>0</v>
      </c>
      <c r="AE26" s="328" t="b">
        <f t="shared" si="28"/>
        <v>1</v>
      </c>
      <c r="AF26" s="328" t="b">
        <f t="shared" si="29"/>
        <v>1</v>
      </c>
      <c r="AG26" s="328" t="b">
        <f t="shared" si="30"/>
        <v>1</v>
      </c>
      <c r="AH26" s="328" t="b">
        <f t="shared" si="31"/>
        <v>0</v>
      </c>
      <c r="AI26" s="328" t="b">
        <f t="shared" si="32"/>
        <v>0</v>
      </c>
      <c r="AJ26" s="328" t="b">
        <f t="shared" si="33"/>
        <v>1</v>
      </c>
      <c r="AK26" s="328" t="b">
        <f t="shared" si="34"/>
        <v>0</v>
      </c>
      <c r="AL26" s="838" t="str">
        <f t="shared" si="35"/>
        <v/>
      </c>
      <c r="AM26" s="839">
        <f t="shared" si="36"/>
        <v>1</v>
      </c>
      <c r="AN26" s="839">
        <f t="shared" si="37"/>
        <v>1</v>
      </c>
      <c r="AO26" s="839" t="str">
        <f t="shared" si="38"/>
        <v/>
      </c>
      <c r="AP26" s="839">
        <f t="shared" si="39"/>
        <v>1</v>
      </c>
      <c r="AQ26" s="839" t="str">
        <f t="shared" si="40"/>
        <v/>
      </c>
      <c r="AR26" s="839" t="str">
        <f t="shared" si="41"/>
        <v/>
      </c>
      <c r="AS26" s="839" t="str">
        <f t="shared" si="42"/>
        <v/>
      </c>
      <c r="AT26" s="839">
        <f t="shared" si="43"/>
        <v>1</v>
      </c>
      <c r="AU26" s="839">
        <f t="shared" si="44"/>
        <v>1</v>
      </c>
      <c r="AV26" s="839" t="str">
        <f t="shared" si="45"/>
        <v/>
      </c>
      <c r="AW26" s="843">
        <f t="shared" si="45"/>
        <v>1</v>
      </c>
    </row>
    <row r="27" spans="1:49" s="328" customFormat="1">
      <c r="A27" s="823">
        <f t="shared" si="46"/>
        <v>0</v>
      </c>
      <c r="B27" s="327" t="s">
        <v>272</v>
      </c>
      <c r="C27" s="327" t="str">
        <f t="shared" si="0"/>
        <v>Nồng độ acid loãng
稀酸 濃度</v>
      </c>
      <c r="D27" s="327" t="str">
        <f t="shared" si="1"/>
        <v>XL-001F</v>
      </c>
      <c r="E27" s="327" t="str">
        <f t="shared" si="2"/>
        <v>%V/V</v>
      </c>
      <c r="F27" s="327" t="str">
        <f t="shared" si="3"/>
        <v>(22±5) =17~27</v>
      </c>
      <c r="G27" s="812">
        <f t="shared" si="4"/>
        <v>0</v>
      </c>
      <c r="H27" s="812" t="str">
        <f t="shared" si="5"/>
        <v>+</v>
      </c>
      <c r="I27" s="817">
        <f t="shared" si="6"/>
        <v>0</v>
      </c>
      <c r="J27" s="812" t="str">
        <f t="shared" si="7"/>
        <v>L</v>
      </c>
      <c r="K27" s="812">
        <f t="shared" si="8"/>
        <v>134.64000000000001</v>
      </c>
      <c r="L27" s="817" t="str">
        <f t="shared" si="9"/>
        <v>+</v>
      </c>
      <c r="M27" s="812" t="str">
        <f t="shared" si="10"/>
        <v/>
      </c>
      <c r="N27" s="812">
        <f t="shared" si="11"/>
        <v>0</v>
      </c>
      <c r="O27" s="817">
        <f t="shared" si="12"/>
        <v>134.64000000000001</v>
      </c>
      <c r="P27" s="812">
        <f t="shared" si="13"/>
        <v>0</v>
      </c>
      <c r="Q27" s="812">
        <f t="shared" si="14"/>
        <v>0</v>
      </c>
      <c r="R27" s="817">
        <f t="shared" si="15"/>
        <v>0</v>
      </c>
      <c r="S27" s="812" t="str">
        <f t="shared" si="16"/>
        <v>+</v>
      </c>
      <c r="T27" s="805" t="str">
        <f t="shared" si="17"/>
        <v>L</v>
      </c>
      <c r="U27" s="806">
        <f t="shared" si="18"/>
        <v>0</v>
      </c>
      <c r="V27" s="812">
        <f t="shared" si="19"/>
        <v>134.64000000000001</v>
      </c>
      <c r="W27" s="805" t="str">
        <f t="shared" si="20"/>
        <v/>
      </c>
      <c r="X27" s="806" t="str">
        <f t="shared" si="21"/>
        <v>L</v>
      </c>
      <c r="Z27" s="328" t="b">
        <f t="shared" si="23"/>
        <v>1</v>
      </c>
      <c r="AA27" s="328" t="b">
        <f t="shared" si="24"/>
        <v>0</v>
      </c>
      <c r="AB27" s="328" t="b">
        <f t="shared" si="25"/>
        <v>0</v>
      </c>
      <c r="AC27" s="328" t="b">
        <f t="shared" si="26"/>
        <v>1</v>
      </c>
      <c r="AD27" s="328" t="b">
        <f t="shared" si="27"/>
        <v>0</v>
      </c>
      <c r="AE27" s="328" t="b">
        <f t="shared" si="28"/>
        <v>1</v>
      </c>
      <c r="AF27" s="328" t="b">
        <f t="shared" si="29"/>
        <v>1</v>
      </c>
      <c r="AG27" s="328" t="b">
        <f t="shared" si="30"/>
        <v>1</v>
      </c>
      <c r="AH27" s="328" t="b">
        <f t="shared" si="31"/>
        <v>0</v>
      </c>
      <c r="AI27" s="328" t="b">
        <f t="shared" si="32"/>
        <v>0</v>
      </c>
      <c r="AJ27" s="328" t="b">
        <f t="shared" si="33"/>
        <v>1</v>
      </c>
      <c r="AK27" s="328" t="b">
        <f t="shared" si="34"/>
        <v>0</v>
      </c>
      <c r="AL27" s="838" t="str">
        <f t="shared" si="35"/>
        <v/>
      </c>
      <c r="AM27" s="839">
        <f t="shared" si="36"/>
        <v>1</v>
      </c>
      <c r="AN27" s="839">
        <f t="shared" si="37"/>
        <v>1</v>
      </c>
      <c r="AO27" s="839" t="str">
        <f t="shared" si="38"/>
        <v/>
      </c>
      <c r="AP27" s="839">
        <f t="shared" si="39"/>
        <v>1</v>
      </c>
      <c r="AQ27" s="839" t="str">
        <f t="shared" si="40"/>
        <v/>
      </c>
      <c r="AR27" s="839" t="str">
        <f t="shared" si="41"/>
        <v/>
      </c>
      <c r="AS27" s="839" t="str">
        <f t="shared" si="42"/>
        <v/>
      </c>
      <c r="AT27" s="839">
        <f t="shared" si="43"/>
        <v>1</v>
      </c>
      <c r="AU27" s="839">
        <f t="shared" si="44"/>
        <v>1</v>
      </c>
      <c r="AV27" s="839" t="str">
        <f t="shared" si="45"/>
        <v/>
      </c>
      <c r="AW27" s="843">
        <f t="shared" si="45"/>
        <v>1</v>
      </c>
    </row>
    <row r="28" spans="1:49" s="328" customFormat="1">
      <c r="A28" s="823">
        <f t="shared" si="46"/>
        <v>0</v>
      </c>
      <c r="B28" s="327" t="s">
        <v>273</v>
      </c>
      <c r="C28" s="327" t="str">
        <f t="shared" si="0"/>
        <v>Nồng độ HCl hoạt hóa
稀酸活化 濃度</v>
      </c>
      <c r="D28" s="327" t="str">
        <f t="shared" si="1"/>
        <v>XL-001F</v>
      </c>
      <c r="E28" s="327" t="str">
        <f t="shared" si="2"/>
        <v>%V/V</v>
      </c>
      <c r="F28" s="327" t="str">
        <f t="shared" si="3"/>
        <v>5~15</v>
      </c>
      <c r="G28" s="812">
        <f t="shared" si="4"/>
        <v>0</v>
      </c>
      <c r="H28" s="812" t="str">
        <f t="shared" si="5"/>
        <v>+</v>
      </c>
      <c r="I28" s="817">
        <f t="shared" si="6"/>
        <v>0</v>
      </c>
      <c r="J28" s="812" t="str">
        <f t="shared" si="7"/>
        <v>L</v>
      </c>
      <c r="K28" s="812">
        <f t="shared" si="8"/>
        <v>57.5</v>
      </c>
      <c r="L28" s="817" t="str">
        <f t="shared" si="9"/>
        <v>+</v>
      </c>
      <c r="M28" s="812" t="str">
        <f t="shared" si="10"/>
        <v/>
      </c>
      <c r="N28" s="812">
        <f t="shared" si="11"/>
        <v>0</v>
      </c>
      <c r="O28" s="817">
        <f t="shared" si="12"/>
        <v>57.5</v>
      </c>
      <c r="P28" s="812">
        <f t="shared" si="13"/>
        <v>0</v>
      </c>
      <c r="Q28" s="812">
        <f t="shared" si="14"/>
        <v>0</v>
      </c>
      <c r="R28" s="817">
        <f t="shared" si="15"/>
        <v>0</v>
      </c>
      <c r="S28" s="812" t="str">
        <f t="shared" si="16"/>
        <v>+</v>
      </c>
      <c r="T28" s="805" t="str">
        <f t="shared" si="17"/>
        <v>L</v>
      </c>
      <c r="U28" s="806">
        <f t="shared" si="18"/>
        <v>0</v>
      </c>
      <c r="V28" s="812">
        <f t="shared" si="19"/>
        <v>57.5</v>
      </c>
      <c r="W28" s="805" t="str">
        <f t="shared" si="20"/>
        <v/>
      </c>
      <c r="X28" s="806" t="str">
        <f t="shared" si="21"/>
        <v>L</v>
      </c>
      <c r="Z28" s="328" t="b">
        <f t="shared" si="23"/>
        <v>1</v>
      </c>
      <c r="AA28" s="328" t="b">
        <f t="shared" si="24"/>
        <v>0</v>
      </c>
      <c r="AB28" s="328" t="b">
        <f t="shared" si="25"/>
        <v>0</v>
      </c>
      <c r="AC28" s="328" t="b">
        <f t="shared" si="26"/>
        <v>1</v>
      </c>
      <c r="AD28" s="328" t="b">
        <f t="shared" si="27"/>
        <v>0</v>
      </c>
      <c r="AE28" s="328" t="b">
        <f t="shared" si="28"/>
        <v>1</v>
      </c>
      <c r="AF28" s="328" t="b">
        <f t="shared" si="29"/>
        <v>1</v>
      </c>
      <c r="AG28" s="328" t="b">
        <f t="shared" si="30"/>
        <v>1</v>
      </c>
      <c r="AH28" s="328" t="b">
        <f t="shared" si="31"/>
        <v>0</v>
      </c>
      <c r="AI28" s="328" t="b">
        <f t="shared" si="32"/>
        <v>0</v>
      </c>
      <c r="AJ28" s="328" t="b">
        <f t="shared" si="33"/>
        <v>1</v>
      </c>
      <c r="AK28" s="328" t="b">
        <f t="shared" si="34"/>
        <v>0</v>
      </c>
      <c r="AL28" s="838" t="str">
        <f t="shared" si="35"/>
        <v/>
      </c>
      <c r="AM28" s="839">
        <f t="shared" si="36"/>
        <v>1</v>
      </c>
      <c r="AN28" s="839">
        <f t="shared" si="37"/>
        <v>1</v>
      </c>
      <c r="AO28" s="839" t="str">
        <f t="shared" si="38"/>
        <v/>
      </c>
      <c r="AP28" s="839">
        <f t="shared" si="39"/>
        <v>1</v>
      </c>
      <c r="AQ28" s="839" t="str">
        <f t="shared" si="40"/>
        <v/>
      </c>
      <c r="AR28" s="839" t="str">
        <f t="shared" si="41"/>
        <v/>
      </c>
      <c r="AS28" s="839" t="str">
        <f t="shared" si="42"/>
        <v/>
      </c>
      <c r="AT28" s="839">
        <f t="shared" si="43"/>
        <v>1</v>
      </c>
      <c r="AU28" s="839">
        <f t="shared" si="44"/>
        <v>1</v>
      </c>
      <c r="AV28" s="839" t="str">
        <f t="shared" si="45"/>
        <v/>
      </c>
      <c r="AW28" s="843">
        <f t="shared" si="45"/>
        <v>1</v>
      </c>
    </row>
    <row r="29" spans="1:49" s="328" customFormat="1">
      <c r="A29" s="823">
        <f t="shared" si="46"/>
        <v>0</v>
      </c>
      <c r="B29" s="327" t="s">
        <v>274</v>
      </c>
      <c r="C29" s="327" t="str">
        <f t="shared" si="0"/>
        <v>Nồng độ  HNO3
硝酸濃度</v>
      </c>
      <c r="D29" s="327" t="str">
        <f t="shared" si="1"/>
        <v>XL-001F</v>
      </c>
      <c r="E29" s="327" t="str">
        <f t="shared" si="2"/>
        <v>%</v>
      </c>
      <c r="F29" s="327" t="str">
        <f t="shared" si="3"/>
        <v>0.5~1.5</v>
      </c>
      <c r="G29" s="812">
        <f t="shared" si="4"/>
        <v>9.4</v>
      </c>
      <c r="H29" s="812" t="str">
        <f t="shared" si="5"/>
        <v>+</v>
      </c>
      <c r="I29" s="817">
        <f t="shared" si="6"/>
        <v>0</v>
      </c>
      <c r="J29" s="812" t="str">
        <f t="shared" si="7"/>
        <v>L</v>
      </c>
      <c r="K29" s="812">
        <f t="shared" si="8"/>
        <v>-0.31535404992358601</v>
      </c>
      <c r="L29" s="817" t="str">
        <f t="shared" si="9"/>
        <v>+</v>
      </c>
      <c r="M29" s="812" t="str">
        <f t="shared" si="10"/>
        <v/>
      </c>
      <c r="N29" s="812">
        <f t="shared" si="11"/>
        <v>1.0331999999999999E-2</v>
      </c>
      <c r="O29" s="817">
        <f t="shared" si="12"/>
        <v>-0.17927661742231221</v>
      </c>
      <c r="P29" s="812">
        <f t="shared" si="13"/>
        <v>0</v>
      </c>
      <c r="Q29" s="812">
        <f t="shared" si="14"/>
        <v>9.8000000000000007</v>
      </c>
      <c r="R29" s="817">
        <f t="shared" si="15"/>
        <v>1.2348000000000001E-2</v>
      </c>
      <c r="S29" s="812" t="str">
        <f t="shared" si="16"/>
        <v>+</v>
      </c>
      <c r="T29" s="805" t="str">
        <f t="shared" si="17"/>
        <v>L</v>
      </c>
      <c r="U29" s="806">
        <f t="shared" si="18"/>
        <v>0</v>
      </c>
      <c r="V29" s="812">
        <f t="shared" si="19"/>
        <v>5.3998981151299033</v>
      </c>
      <c r="W29" s="805" t="str">
        <f t="shared" si="20"/>
        <v/>
      </c>
      <c r="X29" s="806" t="str">
        <f t="shared" si="21"/>
        <v>L</v>
      </c>
      <c r="Z29" s="328" t="b">
        <f t="shared" si="23"/>
        <v>1</v>
      </c>
      <c r="AA29" s="328" t="b">
        <f t="shared" si="24"/>
        <v>0</v>
      </c>
      <c r="AB29" s="328" t="b">
        <f t="shared" si="25"/>
        <v>0</v>
      </c>
      <c r="AC29" s="328" t="b">
        <f t="shared" si="26"/>
        <v>1</v>
      </c>
      <c r="AD29" s="328" t="b">
        <f t="shared" si="27"/>
        <v>0</v>
      </c>
      <c r="AE29" s="328" t="b">
        <f t="shared" si="28"/>
        <v>1</v>
      </c>
      <c r="AF29" s="328" t="b">
        <f t="shared" si="29"/>
        <v>1</v>
      </c>
      <c r="AG29" s="328" t="b">
        <f t="shared" si="30"/>
        <v>1</v>
      </c>
      <c r="AH29" s="328" t="b">
        <f t="shared" si="31"/>
        <v>0</v>
      </c>
      <c r="AI29" s="328" t="b">
        <f t="shared" si="32"/>
        <v>0</v>
      </c>
      <c r="AJ29" s="328" t="b">
        <f t="shared" si="33"/>
        <v>1</v>
      </c>
      <c r="AK29" s="328" t="b">
        <f t="shared" si="34"/>
        <v>0</v>
      </c>
      <c r="AL29" s="838" t="str">
        <f t="shared" si="35"/>
        <v/>
      </c>
      <c r="AM29" s="839">
        <f t="shared" si="36"/>
        <v>1</v>
      </c>
      <c r="AN29" s="839">
        <f t="shared" si="37"/>
        <v>1</v>
      </c>
      <c r="AO29" s="839" t="str">
        <f t="shared" si="38"/>
        <v/>
      </c>
      <c r="AP29" s="839">
        <f t="shared" si="39"/>
        <v>1</v>
      </c>
      <c r="AQ29" s="839" t="str">
        <f t="shared" si="40"/>
        <v/>
      </c>
      <c r="AR29" s="839" t="str">
        <f t="shared" si="41"/>
        <v/>
      </c>
      <c r="AS29" s="839" t="str">
        <f t="shared" si="42"/>
        <v/>
      </c>
      <c r="AT29" s="839">
        <f t="shared" si="43"/>
        <v>1</v>
      </c>
      <c r="AU29" s="839">
        <f t="shared" si="44"/>
        <v>1</v>
      </c>
      <c r="AV29" s="839" t="str">
        <f t="shared" si="45"/>
        <v/>
      </c>
      <c r="AW29" s="843">
        <f t="shared" si="45"/>
        <v>1</v>
      </c>
    </row>
    <row r="30" spans="1:49" s="328" customFormat="1">
      <c r="A30" s="823">
        <f t="shared" si="46"/>
        <v>0</v>
      </c>
      <c r="B30" s="327" t="s">
        <v>284</v>
      </c>
      <c r="C30" s="327" t="str">
        <f t="shared" si="0"/>
        <v>開缸劑
250 Base</v>
      </c>
      <c r="D30" s="327" t="str">
        <f t="shared" si="1"/>
        <v>XL-001F</v>
      </c>
      <c r="E30" s="327" t="str">
        <f t="shared" si="2"/>
        <v>ml/
1000AH</v>
      </c>
      <c r="F30" s="327" t="str">
        <f t="shared" si="3"/>
        <v>100-200</v>
      </c>
      <c r="G30" s="812">
        <f t="shared" si="4"/>
        <v>0</v>
      </c>
      <c r="H30" s="812">
        <f t="shared" si="5"/>
        <v>0</v>
      </c>
      <c r="I30" s="817">
        <f t="shared" si="6"/>
        <v>0</v>
      </c>
      <c r="J30" s="812">
        <f t="shared" si="7"/>
        <v>0</v>
      </c>
      <c r="K30" s="812">
        <f t="shared" si="8"/>
        <v>0</v>
      </c>
      <c r="L30" s="817">
        <f t="shared" si="9"/>
        <v>0</v>
      </c>
      <c r="M30" s="812">
        <f t="shared" si="10"/>
        <v>0</v>
      </c>
      <c r="N30" s="812">
        <f t="shared" si="11"/>
        <v>115</v>
      </c>
      <c r="O30" s="817">
        <f t="shared" si="12"/>
        <v>0</v>
      </c>
      <c r="P30" s="812">
        <f t="shared" si="13"/>
        <v>0</v>
      </c>
      <c r="Q30" s="812">
        <f t="shared" si="14"/>
        <v>0</v>
      </c>
      <c r="R30" s="817">
        <f t="shared" si="15"/>
        <v>115</v>
      </c>
      <c r="S30" s="812">
        <f t="shared" si="16"/>
        <v>0</v>
      </c>
      <c r="T30" s="805">
        <f t="shared" si="17"/>
        <v>0</v>
      </c>
      <c r="U30" s="806">
        <f t="shared" si="18"/>
        <v>0</v>
      </c>
      <c r="V30" s="812">
        <f t="shared" si="19"/>
        <v>0</v>
      </c>
      <c r="W30" s="805">
        <f t="shared" si="20"/>
        <v>0</v>
      </c>
      <c r="X30" s="806">
        <f t="shared" si="21"/>
        <v>0</v>
      </c>
      <c r="Z30" s="328" t="b">
        <f t="shared" si="23"/>
        <v>1</v>
      </c>
      <c r="AA30" s="328" t="b">
        <f t="shared" si="24"/>
        <v>1</v>
      </c>
      <c r="AB30" s="328" t="b">
        <f t="shared" si="25"/>
        <v>1</v>
      </c>
      <c r="AC30" s="328" t="b">
        <f t="shared" si="26"/>
        <v>1</v>
      </c>
      <c r="AD30" s="328" t="b">
        <f t="shared" si="27"/>
        <v>1</v>
      </c>
      <c r="AE30" s="328" t="b">
        <f t="shared" si="28"/>
        <v>1</v>
      </c>
      <c r="AF30" s="328" t="b">
        <f t="shared" si="29"/>
        <v>1</v>
      </c>
      <c r="AG30" s="328" t="b">
        <f t="shared" si="30"/>
        <v>1</v>
      </c>
      <c r="AH30" s="328" t="b">
        <f t="shared" si="31"/>
        <v>1</v>
      </c>
      <c r="AI30" s="328" t="b">
        <f t="shared" si="32"/>
        <v>1</v>
      </c>
      <c r="AJ30" s="328" t="b">
        <f t="shared" si="33"/>
        <v>1</v>
      </c>
      <c r="AK30" s="328" t="b">
        <f t="shared" si="34"/>
        <v>1</v>
      </c>
      <c r="AL30" s="838" t="str">
        <f t="shared" si="35"/>
        <v/>
      </c>
      <c r="AM30" s="839" t="str">
        <f t="shared" si="36"/>
        <v/>
      </c>
      <c r="AN30" s="839" t="str">
        <f t="shared" si="37"/>
        <v/>
      </c>
      <c r="AO30" s="839" t="str">
        <f t="shared" si="38"/>
        <v/>
      </c>
      <c r="AP30" s="839" t="str">
        <f t="shared" si="39"/>
        <v/>
      </c>
      <c r="AQ30" s="839" t="str">
        <f t="shared" si="40"/>
        <v/>
      </c>
      <c r="AR30" s="839" t="str">
        <f t="shared" si="41"/>
        <v/>
      </c>
      <c r="AS30" s="839" t="str">
        <f t="shared" si="42"/>
        <v/>
      </c>
      <c r="AT30" s="839" t="str">
        <f t="shared" si="43"/>
        <v/>
      </c>
      <c r="AU30" s="839" t="str">
        <f t="shared" si="44"/>
        <v/>
      </c>
      <c r="AV30" s="839" t="str">
        <f t="shared" si="45"/>
        <v/>
      </c>
      <c r="AW30" s="843" t="str">
        <f t="shared" si="45"/>
        <v/>
      </c>
    </row>
    <row r="31" spans="1:49" s="822" customFormat="1">
      <c r="A31" s="911">
        <f t="shared" si="46"/>
        <v>0</v>
      </c>
      <c r="B31" s="783" t="s">
        <v>285</v>
      </c>
      <c r="C31" s="783" t="str">
        <f t="shared" si="0"/>
        <v>光亮劑
250 Brightener</v>
      </c>
      <c r="D31" s="783" t="str">
        <f t="shared" si="1"/>
        <v>XL-001F</v>
      </c>
      <c r="E31" s="783" t="str">
        <f t="shared" si="2"/>
        <v>ml/
1000AH</v>
      </c>
      <c r="F31" s="783" t="str">
        <f t="shared" si="3"/>
        <v>20-50</v>
      </c>
      <c r="G31" s="807">
        <f t="shared" si="4"/>
        <v>0</v>
      </c>
      <c r="H31" s="807">
        <f t="shared" si="5"/>
        <v>0</v>
      </c>
      <c r="I31" s="808">
        <f t="shared" si="6"/>
        <v>0</v>
      </c>
      <c r="J31" s="807">
        <f t="shared" si="7"/>
        <v>0</v>
      </c>
      <c r="K31" s="807">
        <f t="shared" si="8"/>
        <v>0</v>
      </c>
      <c r="L31" s="808">
        <f t="shared" si="9"/>
        <v>0</v>
      </c>
      <c r="M31" s="807">
        <f t="shared" si="10"/>
        <v>0</v>
      </c>
      <c r="N31" s="807">
        <f t="shared" si="11"/>
        <v>40</v>
      </c>
      <c r="O31" s="808">
        <f t="shared" si="12"/>
        <v>0</v>
      </c>
      <c r="P31" s="807">
        <f t="shared" si="13"/>
        <v>0</v>
      </c>
      <c r="Q31" s="807">
        <f t="shared" si="14"/>
        <v>0</v>
      </c>
      <c r="R31" s="808">
        <f t="shared" si="15"/>
        <v>42</v>
      </c>
      <c r="S31" s="807">
        <f t="shared" si="16"/>
        <v>0</v>
      </c>
      <c r="T31" s="807">
        <f t="shared" si="17"/>
        <v>0</v>
      </c>
      <c r="U31" s="808">
        <f t="shared" si="18"/>
        <v>0</v>
      </c>
      <c r="V31" s="807">
        <f t="shared" si="19"/>
        <v>0</v>
      </c>
      <c r="W31" s="807">
        <f t="shared" si="20"/>
        <v>0</v>
      </c>
      <c r="X31" s="808">
        <f t="shared" si="21"/>
        <v>0</v>
      </c>
      <c r="Z31" s="822" t="b">
        <f t="shared" si="23"/>
        <v>1</v>
      </c>
      <c r="AA31" s="822" t="b">
        <f t="shared" si="24"/>
        <v>1</v>
      </c>
      <c r="AB31" s="822" t="b">
        <f t="shared" si="25"/>
        <v>1</v>
      </c>
      <c r="AC31" s="822" t="b">
        <f t="shared" si="26"/>
        <v>1</v>
      </c>
      <c r="AD31" s="822" t="b">
        <f t="shared" si="27"/>
        <v>1</v>
      </c>
      <c r="AE31" s="822" t="b">
        <f t="shared" si="28"/>
        <v>1</v>
      </c>
      <c r="AF31" s="822" t="b">
        <f t="shared" si="29"/>
        <v>1</v>
      </c>
      <c r="AG31" s="822" t="b">
        <f t="shared" si="30"/>
        <v>1</v>
      </c>
      <c r="AH31" s="822" t="b">
        <f t="shared" si="31"/>
        <v>1</v>
      </c>
      <c r="AI31" s="822" t="b">
        <f t="shared" si="32"/>
        <v>1</v>
      </c>
      <c r="AJ31" s="822" t="b">
        <f t="shared" si="33"/>
        <v>1</v>
      </c>
      <c r="AK31" s="822" t="b">
        <f t="shared" si="34"/>
        <v>1</v>
      </c>
      <c r="AL31" s="912" t="str">
        <f t="shared" si="35"/>
        <v/>
      </c>
      <c r="AM31" s="913" t="str">
        <f t="shared" si="36"/>
        <v/>
      </c>
      <c r="AN31" s="913" t="str">
        <f t="shared" si="37"/>
        <v/>
      </c>
      <c r="AO31" s="913" t="str">
        <f t="shared" si="38"/>
        <v/>
      </c>
      <c r="AP31" s="913" t="str">
        <f t="shared" si="39"/>
        <v/>
      </c>
      <c r="AQ31" s="913" t="str">
        <f t="shared" si="40"/>
        <v/>
      </c>
      <c r="AR31" s="913" t="str">
        <f t="shared" si="41"/>
        <v/>
      </c>
      <c r="AS31" s="913" t="str">
        <f t="shared" si="42"/>
        <v/>
      </c>
      <c r="AT31" s="913" t="str">
        <f t="shared" si="43"/>
        <v/>
      </c>
      <c r="AU31" s="913" t="str">
        <f t="shared" si="44"/>
        <v/>
      </c>
      <c r="AV31" s="913" t="str">
        <f t="shared" si="45"/>
        <v/>
      </c>
      <c r="AW31" s="914" t="str">
        <f t="shared" si="45"/>
        <v/>
      </c>
    </row>
    <row r="32" spans="1:49" s="328" customFormat="1">
      <c r="A32" s="823">
        <f t="shared" si="46"/>
        <v>0</v>
      </c>
      <c r="B32" s="327" t="s">
        <v>286</v>
      </c>
      <c r="C32" s="327" t="str">
        <f t="shared" si="0"/>
        <v xml:space="preserve"> Xà bông  脫脂 (2,3,4)
CT-21A</v>
      </c>
      <c r="D32" s="327" t="str">
        <f t="shared" si="1"/>
        <v>XT-000C</v>
      </c>
      <c r="E32" s="327" t="str">
        <f t="shared" si="2"/>
        <v>g/L</v>
      </c>
      <c r="F32" s="327" t="str">
        <f t="shared" si="3"/>
        <v>40~60</v>
      </c>
      <c r="G32" s="812">
        <f t="shared" si="4"/>
        <v>8.1</v>
      </c>
      <c r="H32" s="812" t="str">
        <f t="shared" si="5"/>
        <v>+</v>
      </c>
      <c r="I32" s="817">
        <f t="shared" si="6"/>
        <v>0</v>
      </c>
      <c r="J32" s="812" t="str">
        <f t="shared" si="7"/>
        <v>kg</v>
      </c>
      <c r="K32" s="812">
        <f t="shared" si="8"/>
        <v>-29.792640000000024</v>
      </c>
      <c r="L32" s="817" t="str">
        <f t="shared" si="9"/>
        <v>+</v>
      </c>
      <c r="M32" s="812" t="str">
        <f t="shared" si="10"/>
        <v/>
      </c>
      <c r="N32" s="812">
        <f t="shared" si="11"/>
        <v>51.595500000000001</v>
      </c>
      <c r="O32" s="817">
        <f t="shared" si="12"/>
        <v>-24.757373500000021</v>
      </c>
      <c r="P32" s="812">
        <f t="shared" si="13"/>
        <v>0</v>
      </c>
      <c r="Q32" s="812">
        <f t="shared" si="14"/>
        <v>8</v>
      </c>
      <c r="R32" s="817">
        <f t="shared" si="15"/>
        <v>51.92</v>
      </c>
      <c r="S32" s="812" t="str">
        <f t="shared" si="16"/>
        <v>+</v>
      </c>
      <c r="T32" s="805" t="str">
        <f t="shared" si="17"/>
        <v>kg</v>
      </c>
      <c r="U32" s="806">
        <f t="shared" si="18"/>
        <v>0</v>
      </c>
      <c r="V32" s="812">
        <f t="shared" si="19"/>
        <v>775.85</v>
      </c>
      <c r="W32" s="805" t="str">
        <f t="shared" si="20"/>
        <v/>
      </c>
      <c r="X32" s="806" t="str">
        <f t="shared" si="21"/>
        <v>kg</v>
      </c>
      <c r="Z32" s="328" t="b">
        <f t="shared" si="23"/>
        <v>1</v>
      </c>
      <c r="AA32" s="328" t="b">
        <f t="shared" si="24"/>
        <v>0</v>
      </c>
      <c r="AB32" s="328" t="b">
        <f t="shared" si="25"/>
        <v>0</v>
      </c>
      <c r="AC32" s="328" t="b">
        <f t="shared" si="26"/>
        <v>1</v>
      </c>
      <c r="AD32" s="328" t="b">
        <f t="shared" si="27"/>
        <v>0</v>
      </c>
      <c r="AE32" s="328" t="b">
        <f t="shared" si="28"/>
        <v>1</v>
      </c>
      <c r="AF32" s="328" t="b">
        <f t="shared" si="29"/>
        <v>1</v>
      </c>
      <c r="AG32" s="328" t="b">
        <f t="shared" si="30"/>
        <v>1</v>
      </c>
      <c r="AH32" s="328" t="b">
        <f t="shared" si="31"/>
        <v>0</v>
      </c>
      <c r="AI32" s="328" t="b">
        <f t="shared" si="32"/>
        <v>0</v>
      </c>
      <c r="AJ32" s="328" t="b">
        <f t="shared" si="33"/>
        <v>1</v>
      </c>
      <c r="AK32" s="328" t="b">
        <f t="shared" si="34"/>
        <v>0</v>
      </c>
      <c r="AL32" s="838" t="str">
        <f t="shared" si="35"/>
        <v/>
      </c>
      <c r="AM32" s="839">
        <f t="shared" si="36"/>
        <v>1</v>
      </c>
      <c r="AN32" s="839">
        <f t="shared" si="37"/>
        <v>1</v>
      </c>
      <c r="AO32" s="839" t="str">
        <f t="shared" si="38"/>
        <v/>
      </c>
      <c r="AP32" s="839">
        <f t="shared" si="39"/>
        <v>1</v>
      </c>
      <c r="AQ32" s="839" t="str">
        <f t="shared" si="40"/>
        <v/>
      </c>
      <c r="AR32" s="839" t="str">
        <f t="shared" si="41"/>
        <v/>
      </c>
      <c r="AS32" s="839" t="str">
        <f t="shared" si="42"/>
        <v/>
      </c>
      <c r="AT32" s="839">
        <f t="shared" si="43"/>
        <v>1</v>
      </c>
      <c r="AU32" s="839">
        <f t="shared" si="44"/>
        <v>1</v>
      </c>
      <c r="AV32" s="839" t="str">
        <f t="shared" si="45"/>
        <v/>
      </c>
      <c r="AW32" s="843">
        <f t="shared" si="45"/>
        <v>1</v>
      </c>
    </row>
    <row r="33" spans="1:49" s="328" customFormat="1">
      <c r="A33" s="823">
        <f t="shared" si="46"/>
        <v>0</v>
      </c>
      <c r="B33" s="327" t="s">
        <v>287</v>
      </c>
      <c r="C33" s="327" t="str">
        <f t="shared" si="0"/>
        <v>Xà bông  脫脂  (5,6)
CT-21A</v>
      </c>
      <c r="D33" s="327" t="str">
        <f t="shared" si="1"/>
        <v>XT-000C</v>
      </c>
      <c r="E33" s="327" t="str">
        <f t="shared" si="2"/>
        <v>g/L</v>
      </c>
      <c r="F33" s="327" t="str">
        <f t="shared" si="3"/>
        <v>40~60</v>
      </c>
      <c r="G33" s="812">
        <f t="shared" si="4"/>
        <v>7.75</v>
      </c>
      <c r="H33" s="812" t="str">
        <f t="shared" si="5"/>
        <v>+</v>
      </c>
      <c r="I33" s="817">
        <f t="shared" si="6"/>
        <v>0</v>
      </c>
      <c r="J33" s="812" t="str">
        <f t="shared" si="7"/>
        <v>kg</v>
      </c>
      <c r="K33" s="812">
        <f t="shared" si="8"/>
        <v>-3.4138124999999935</v>
      </c>
      <c r="L33" s="817" t="str">
        <f t="shared" si="9"/>
        <v>+</v>
      </c>
      <c r="M33" s="812" t="str">
        <f t="shared" si="10"/>
        <v/>
      </c>
      <c r="N33" s="812">
        <f t="shared" si="11"/>
        <v>50.297499999999999</v>
      </c>
      <c r="O33" s="817">
        <f t="shared" si="12"/>
        <v>-3.4138124999999935</v>
      </c>
      <c r="P33" s="812">
        <f t="shared" si="13"/>
        <v>0</v>
      </c>
      <c r="Q33" s="812">
        <f t="shared" si="14"/>
        <v>7.8</v>
      </c>
      <c r="R33" s="817">
        <f t="shared" si="15"/>
        <v>50.622</v>
      </c>
      <c r="S33" s="812" t="str">
        <f t="shared" si="16"/>
        <v>+</v>
      </c>
      <c r="T33" s="805" t="str">
        <f t="shared" si="17"/>
        <v>kg</v>
      </c>
      <c r="U33" s="806">
        <f t="shared" si="18"/>
        <v>0</v>
      </c>
      <c r="V33" s="812">
        <f t="shared" si="19"/>
        <v>573.75</v>
      </c>
      <c r="W33" s="805" t="str">
        <f t="shared" si="20"/>
        <v/>
      </c>
      <c r="X33" s="806" t="str">
        <f t="shared" si="21"/>
        <v>kg</v>
      </c>
      <c r="Z33" s="328" t="b">
        <f t="shared" si="23"/>
        <v>1</v>
      </c>
      <c r="AA33" s="328" t="b">
        <f t="shared" si="24"/>
        <v>0</v>
      </c>
      <c r="AB33" s="328" t="b">
        <f t="shared" si="25"/>
        <v>0</v>
      </c>
      <c r="AC33" s="328" t="b">
        <f t="shared" si="26"/>
        <v>1</v>
      </c>
      <c r="AD33" s="328" t="b">
        <f t="shared" si="27"/>
        <v>0</v>
      </c>
      <c r="AE33" s="328" t="b">
        <f t="shared" si="28"/>
        <v>1</v>
      </c>
      <c r="AF33" s="328" t="b">
        <f t="shared" si="29"/>
        <v>1</v>
      </c>
      <c r="AG33" s="328" t="b">
        <f t="shared" si="30"/>
        <v>1</v>
      </c>
      <c r="AH33" s="328" t="b">
        <f t="shared" si="31"/>
        <v>0</v>
      </c>
      <c r="AI33" s="328" t="b">
        <f t="shared" si="32"/>
        <v>0</v>
      </c>
      <c r="AJ33" s="328" t="b">
        <f t="shared" si="33"/>
        <v>1</v>
      </c>
      <c r="AK33" s="328" t="b">
        <f t="shared" si="34"/>
        <v>0</v>
      </c>
      <c r="AL33" s="838" t="str">
        <f t="shared" si="35"/>
        <v/>
      </c>
      <c r="AM33" s="839">
        <f t="shared" si="36"/>
        <v>1</v>
      </c>
      <c r="AN33" s="839">
        <f t="shared" si="37"/>
        <v>1</v>
      </c>
      <c r="AO33" s="839" t="str">
        <f t="shared" si="38"/>
        <v/>
      </c>
      <c r="AP33" s="839">
        <f t="shared" si="39"/>
        <v>1</v>
      </c>
      <c r="AQ33" s="839" t="str">
        <f t="shared" si="40"/>
        <v/>
      </c>
      <c r="AR33" s="839" t="str">
        <f t="shared" si="41"/>
        <v/>
      </c>
      <c r="AS33" s="839" t="str">
        <f t="shared" si="42"/>
        <v/>
      </c>
      <c r="AT33" s="839">
        <f t="shared" si="43"/>
        <v>1</v>
      </c>
      <c r="AU33" s="839">
        <f t="shared" si="44"/>
        <v>1</v>
      </c>
      <c r="AV33" s="839" t="str">
        <f t="shared" si="45"/>
        <v/>
      </c>
      <c r="AW33" s="843">
        <f t="shared" si="45"/>
        <v>1</v>
      </c>
    </row>
    <row r="34" spans="1:49" s="328" customFormat="1">
      <c r="A34" s="823">
        <f t="shared" si="46"/>
        <v>0</v>
      </c>
      <c r="B34" s="327" t="s">
        <v>288</v>
      </c>
      <c r="C34" s="327" t="str">
        <f t="shared" ref="C34:C45" si="47">IFERROR(VLOOKUP($B34,_XM_XT_THUCTE,3,0),"")</f>
        <v>Điện giải  電解 (8)
EC-508A</v>
      </c>
      <c r="D34" s="327" t="str">
        <f t="shared" ref="D34:D45" si="48">IFERROR(VLOOKUP($B34,_XM_XT_THUCTE,2,0),"")</f>
        <v>XT-000C</v>
      </c>
      <c r="E34" s="327" t="str">
        <f t="shared" ref="E34:E45" si="49">IFERROR(VLOOKUP($B34,_XM_XT_THUCTE,4,0),"")</f>
        <v>g/L</v>
      </c>
      <c r="F34" s="327" t="str">
        <f t="shared" ref="F34:F45" si="50">IFERROR(VLOOKUP($B34,_XM_XT_THUCTE,5,0),"")</f>
        <v>50~70</v>
      </c>
      <c r="G34" s="812">
        <f t="shared" ref="G34:G45" si="51">IFERROR(VLOOKUP($B34,_XM_XT_THUCTE,8,0),"")</f>
        <v>13.75</v>
      </c>
      <c r="H34" s="812" t="str">
        <f t="shared" ref="H34:H45" si="52">IFERROR(VLOOKUP($B34,_XM_XT_THUCTE,11,0),"")</f>
        <v>+</v>
      </c>
      <c r="I34" s="817">
        <f t="shared" ref="I34:I45" si="53">IFERROR(VLOOKUP($B34,_XM_XT_THUCTE,12,0),"")</f>
        <v>0</v>
      </c>
      <c r="J34" s="812" t="str">
        <f t="shared" si="7"/>
        <v>kg</v>
      </c>
      <c r="K34" s="812">
        <f t="shared" ref="K34:K45" si="54">IFERROR(VLOOKUP($B34,_XM_XT_THUCTE,17,0),"")</f>
        <v>-27.010799999999975</v>
      </c>
      <c r="L34" s="817" t="str">
        <f t="shared" ref="L34:L45" si="55">IFERROR(VLOOKUP($B34,_XM_XT_THUCTE,18,0),"")</f>
        <v>+</v>
      </c>
      <c r="M34" s="812" t="str">
        <f t="shared" ref="M34:M45" si="56">IFERROR(VLOOKUP($B34,_XM_XT_THUCTE,20,0),"")</f>
        <v/>
      </c>
      <c r="N34" s="812">
        <f t="shared" ref="N34:N45" si="57">IFERROR(VLOOKUP($B34,_XM_XT_THUCTE,23,0),"")</f>
        <v>61.908000000000001</v>
      </c>
      <c r="O34" s="817">
        <f t="shared" ref="O34:O45" si="58">IFERROR(VLOOKUP($B34,_XM_XT_THUCTE,24,0),"")</f>
        <v>-15.645600000000009</v>
      </c>
      <c r="P34" s="812">
        <f t="shared" ref="P34:P45" si="59">IFERROR(VLOOKUP($B34,_XM_XT_THUCTE,26,0),"")</f>
        <v>0</v>
      </c>
      <c r="Q34" s="812">
        <f t="shared" ref="Q34:Q45" si="60">IFERROR(VLOOKUP($B34,_XM_XT_THUCTE,29,0),"")</f>
        <v>13.4</v>
      </c>
      <c r="R34" s="817">
        <f t="shared" ref="R34:R45" si="61">IFERROR(VLOOKUP($B34,_XM_XT_THUCTE,30,0),"")</f>
        <v>61.908000000000001</v>
      </c>
      <c r="S34" s="812" t="str">
        <f t="shared" ref="S34:S45" si="62">IFERROR(VLOOKUP($B34,_XM_XT_THUCTE,32,0),"")</f>
        <v>+</v>
      </c>
      <c r="T34" s="805" t="str">
        <f t="shared" ref="T34:T45" si="63">IFERROR(VLOOKUP($B34,_XM_XT_THUCTE,35,0),"")</f>
        <v>kg</v>
      </c>
      <c r="U34" s="806">
        <f t="shared" ref="U34:U45" si="64">IFERROR(VLOOKUP($B34,_XM_XT_THUCTE,36,0),"")</f>
        <v>0</v>
      </c>
      <c r="V34" s="812">
        <f t="shared" ref="V34:V45" si="65">IFERROR(VLOOKUP($B34,_XM_XT_THUCTE,38,0),"")</f>
        <v>492</v>
      </c>
      <c r="W34" s="805" t="str">
        <f t="shared" ref="W34:W45" si="66">IFERROR(VLOOKUP($B34,_XM_XT_THUCTE,41,0),"")</f>
        <v/>
      </c>
      <c r="X34" s="806" t="str">
        <f t="shared" ref="X34:X45" si="67">IFERROR(VLOOKUP($B34,_XM_XT_THUCTE,42,0),"")</f>
        <v>kg</v>
      </c>
      <c r="Z34" s="328" t="b">
        <f t="shared" si="23"/>
        <v>1</v>
      </c>
      <c r="AA34" s="328" t="b">
        <f t="shared" si="24"/>
        <v>0</v>
      </c>
      <c r="AB34" s="328" t="b">
        <f t="shared" si="25"/>
        <v>0</v>
      </c>
      <c r="AC34" s="328" t="b">
        <f t="shared" si="26"/>
        <v>1</v>
      </c>
      <c r="AD34" s="328" t="b">
        <f t="shared" si="27"/>
        <v>0</v>
      </c>
      <c r="AE34" s="328" t="b">
        <f t="shared" si="28"/>
        <v>1</v>
      </c>
      <c r="AF34" s="328" t="b">
        <f t="shared" si="29"/>
        <v>1</v>
      </c>
      <c r="AG34" s="328" t="b">
        <f t="shared" si="30"/>
        <v>1</v>
      </c>
      <c r="AH34" s="328" t="b">
        <f t="shared" si="31"/>
        <v>0</v>
      </c>
      <c r="AI34" s="328" t="b">
        <f t="shared" si="32"/>
        <v>0</v>
      </c>
      <c r="AJ34" s="328" t="b">
        <f t="shared" si="33"/>
        <v>1</v>
      </c>
      <c r="AK34" s="328" t="b">
        <f t="shared" si="34"/>
        <v>0</v>
      </c>
      <c r="AL34" s="838" t="str">
        <f t="shared" si="35"/>
        <v/>
      </c>
      <c r="AM34" s="839">
        <f t="shared" si="36"/>
        <v>1</v>
      </c>
      <c r="AN34" s="839">
        <f t="shared" si="37"/>
        <v>1</v>
      </c>
      <c r="AO34" s="839" t="str">
        <f t="shared" si="38"/>
        <v/>
      </c>
      <c r="AP34" s="839">
        <f t="shared" si="39"/>
        <v>1</v>
      </c>
      <c r="AQ34" s="839" t="str">
        <f t="shared" si="40"/>
        <v/>
      </c>
      <c r="AR34" s="839" t="str">
        <f t="shared" si="41"/>
        <v/>
      </c>
      <c r="AS34" s="839" t="str">
        <f t="shared" si="42"/>
        <v/>
      </c>
      <c r="AT34" s="839">
        <f t="shared" si="43"/>
        <v>1</v>
      </c>
      <c r="AU34" s="839">
        <f t="shared" si="44"/>
        <v>1</v>
      </c>
      <c r="AV34" s="839" t="str">
        <f t="shared" si="45"/>
        <v/>
      </c>
      <c r="AW34" s="843">
        <f t="shared" si="45"/>
        <v>1</v>
      </c>
    </row>
    <row r="35" spans="1:49" s="328" customFormat="1">
      <c r="A35" s="823">
        <f t="shared" si="46"/>
        <v>0</v>
      </c>
      <c r="B35" s="327" t="s">
        <v>289</v>
      </c>
      <c r="C35" s="327" t="str">
        <f t="shared" si="47"/>
        <v>Điện giải  電解  (20,21)
EC-508A</v>
      </c>
      <c r="D35" s="327" t="str">
        <f t="shared" si="48"/>
        <v>XT-000C</v>
      </c>
      <c r="E35" s="327" t="str">
        <f t="shared" si="49"/>
        <v>g/L</v>
      </c>
      <c r="F35" s="327" t="str">
        <f t="shared" si="50"/>
        <v>50~70</v>
      </c>
      <c r="G35" s="812">
        <f t="shared" si="51"/>
        <v>13.35</v>
      </c>
      <c r="H35" s="812" t="str">
        <f t="shared" si="52"/>
        <v>+</v>
      </c>
      <c r="I35" s="817">
        <f t="shared" si="53"/>
        <v>0</v>
      </c>
      <c r="J35" s="812" t="str">
        <f t="shared" si="7"/>
        <v>kg</v>
      </c>
      <c r="K35" s="812">
        <f t="shared" si="54"/>
        <v>-26.55008400000002</v>
      </c>
      <c r="L35" s="817" t="str">
        <f t="shared" si="55"/>
        <v>+</v>
      </c>
      <c r="M35" s="812" t="str">
        <f t="shared" si="56"/>
        <v/>
      </c>
      <c r="N35" s="812">
        <f t="shared" si="57"/>
        <v>60.521999999999998</v>
      </c>
      <c r="O35" s="817">
        <f t="shared" si="58"/>
        <v>-4.5246959999999863</v>
      </c>
      <c r="P35" s="812">
        <f t="shared" si="59"/>
        <v>0</v>
      </c>
      <c r="Q35" s="812">
        <f t="shared" si="60"/>
        <v>13</v>
      </c>
      <c r="R35" s="817">
        <f t="shared" si="61"/>
        <v>60.06</v>
      </c>
      <c r="S35" s="812" t="str">
        <f t="shared" si="62"/>
        <v>+</v>
      </c>
      <c r="T35" s="805" t="str">
        <f t="shared" si="63"/>
        <v>kg</v>
      </c>
      <c r="U35" s="806">
        <f t="shared" si="64"/>
        <v>0</v>
      </c>
      <c r="V35" s="812">
        <f t="shared" si="65"/>
        <v>520.08000000000004</v>
      </c>
      <c r="W35" s="805" t="str">
        <f t="shared" si="66"/>
        <v/>
      </c>
      <c r="X35" s="806" t="str">
        <f t="shared" si="67"/>
        <v>kg</v>
      </c>
      <c r="Z35" s="328" t="b">
        <f t="shared" si="23"/>
        <v>1</v>
      </c>
      <c r="AA35" s="328" t="b">
        <f t="shared" si="24"/>
        <v>0</v>
      </c>
      <c r="AB35" s="328" t="b">
        <f t="shared" si="25"/>
        <v>0</v>
      </c>
      <c r="AC35" s="328" t="b">
        <f t="shared" si="26"/>
        <v>1</v>
      </c>
      <c r="AD35" s="328" t="b">
        <f t="shared" si="27"/>
        <v>0</v>
      </c>
      <c r="AE35" s="328" t="b">
        <f t="shared" si="28"/>
        <v>1</v>
      </c>
      <c r="AF35" s="328" t="b">
        <f t="shared" si="29"/>
        <v>1</v>
      </c>
      <c r="AG35" s="328" t="b">
        <f t="shared" si="30"/>
        <v>1</v>
      </c>
      <c r="AH35" s="328" t="b">
        <f t="shared" si="31"/>
        <v>0</v>
      </c>
      <c r="AI35" s="328" t="b">
        <f t="shared" si="32"/>
        <v>0</v>
      </c>
      <c r="AJ35" s="328" t="b">
        <f t="shared" si="33"/>
        <v>1</v>
      </c>
      <c r="AK35" s="328" t="b">
        <f t="shared" si="34"/>
        <v>0</v>
      </c>
      <c r="AL35" s="838" t="str">
        <f t="shared" si="35"/>
        <v/>
      </c>
      <c r="AM35" s="839">
        <f t="shared" si="36"/>
        <v>1</v>
      </c>
      <c r="AN35" s="839">
        <f t="shared" si="37"/>
        <v>1</v>
      </c>
      <c r="AO35" s="839" t="str">
        <f t="shared" si="38"/>
        <v/>
      </c>
      <c r="AP35" s="839">
        <f t="shared" si="39"/>
        <v>1</v>
      </c>
      <c r="AQ35" s="839" t="str">
        <f t="shared" si="40"/>
        <v/>
      </c>
      <c r="AR35" s="839" t="str">
        <f t="shared" si="41"/>
        <v/>
      </c>
      <c r="AS35" s="839" t="str">
        <f t="shared" si="42"/>
        <v/>
      </c>
      <c r="AT35" s="839">
        <f t="shared" si="43"/>
        <v>1</v>
      </c>
      <c r="AU35" s="839">
        <f t="shared" si="44"/>
        <v>1</v>
      </c>
      <c r="AV35" s="839" t="str">
        <f t="shared" si="45"/>
        <v/>
      </c>
      <c r="AW35" s="843">
        <f t="shared" si="45"/>
        <v>1</v>
      </c>
    </row>
    <row r="36" spans="1:49" s="328" customFormat="1">
      <c r="A36" s="823">
        <f t="shared" si="46"/>
        <v>0</v>
      </c>
      <c r="B36" s="327" t="s">
        <v>290</v>
      </c>
      <c r="C36" s="327" t="str">
        <f t="shared" si="47"/>
        <v>NaOH (26-37)
氫氧化鈉</v>
      </c>
      <c r="D36" s="327" t="str">
        <f t="shared" si="48"/>
        <v>XT-000C</v>
      </c>
      <c r="E36" s="327" t="str">
        <f t="shared" si="49"/>
        <v>g/L</v>
      </c>
      <c r="F36" s="327" t="str">
        <f t="shared" si="50"/>
        <v>135~ 145</v>
      </c>
      <c r="G36" s="812">
        <f t="shared" si="51"/>
        <v>17.95</v>
      </c>
      <c r="H36" s="812" t="str">
        <f t="shared" si="52"/>
        <v>+</v>
      </c>
      <c r="I36" s="817">
        <f t="shared" si="53"/>
        <v>0</v>
      </c>
      <c r="J36" s="812" t="str">
        <f t="shared" si="7"/>
        <v>kg</v>
      </c>
      <c r="K36" s="812">
        <f t="shared" si="54"/>
        <v>-254.7168000000006</v>
      </c>
      <c r="L36" s="817" t="str">
        <f t="shared" si="55"/>
        <v>+</v>
      </c>
      <c r="M36" s="812" t="str">
        <f t="shared" si="56"/>
        <v/>
      </c>
      <c r="N36" s="812">
        <f t="shared" si="57"/>
        <v>143.19999999999999</v>
      </c>
      <c r="O36" s="817">
        <f t="shared" si="58"/>
        <v>-169.81119999999939</v>
      </c>
      <c r="P36" s="812">
        <f t="shared" si="59"/>
        <v>0</v>
      </c>
      <c r="Q36" s="812">
        <f t="shared" si="60"/>
        <v>17.8</v>
      </c>
      <c r="R36" s="817">
        <f t="shared" si="61"/>
        <v>142.4</v>
      </c>
      <c r="S36" s="812" t="str">
        <f t="shared" si="62"/>
        <v>+</v>
      </c>
      <c r="T36" s="805" t="str">
        <f t="shared" si="63"/>
        <v>kg</v>
      </c>
      <c r="U36" s="806">
        <f t="shared" si="64"/>
        <v>0</v>
      </c>
      <c r="V36" s="812">
        <f t="shared" si="65"/>
        <v>7429.24</v>
      </c>
      <c r="W36" s="805" t="str">
        <f t="shared" si="66"/>
        <v/>
      </c>
      <c r="X36" s="806" t="str">
        <f t="shared" si="67"/>
        <v>kg</v>
      </c>
      <c r="Z36" s="328" t="b">
        <f t="shared" si="23"/>
        <v>1</v>
      </c>
      <c r="AA36" s="328" t="b">
        <f t="shared" si="24"/>
        <v>0</v>
      </c>
      <c r="AB36" s="328" t="b">
        <f t="shared" si="25"/>
        <v>0</v>
      </c>
      <c r="AC36" s="328" t="b">
        <f t="shared" si="26"/>
        <v>1</v>
      </c>
      <c r="AD36" s="328" t="b">
        <f t="shared" si="27"/>
        <v>0</v>
      </c>
      <c r="AE36" s="328" t="b">
        <f t="shared" si="28"/>
        <v>1</v>
      </c>
      <c r="AF36" s="328" t="b">
        <f t="shared" si="29"/>
        <v>1</v>
      </c>
      <c r="AG36" s="328" t="b">
        <f t="shared" si="30"/>
        <v>1</v>
      </c>
      <c r="AH36" s="328" t="b">
        <f t="shared" si="31"/>
        <v>0</v>
      </c>
      <c r="AI36" s="328" t="b">
        <f t="shared" si="32"/>
        <v>0</v>
      </c>
      <c r="AJ36" s="328" t="b">
        <f t="shared" si="33"/>
        <v>1</v>
      </c>
      <c r="AK36" s="328" t="b">
        <f t="shared" si="34"/>
        <v>0</v>
      </c>
      <c r="AL36" s="838" t="str">
        <f t="shared" si="35"/>
        <v/>
      </c>
      <c r="AM36" s="839">
        <f t="shared" si="36"/>
        <v>1</v>
      </c>
      <c r="AN36" s="839">
        <f t="shared" si="37"/>
        <v>1</v>
      </c>
      <c r="AO36" s="839" t="str">
        <f t="shared" si="38"/>
        <v/>
      </c>
      <c r="AP36" s="839">
        <f t="shared" si="39"/>
        <v>1</v>
      </c>
      <c r="AQ36" s="839" t="str">
        <f t="shared" si="40"/>
        <v/>
      </c>
      <c r="AR36" s="839" t="str">
        <f t="shared" si="41"/>
        <v/>
      </c>
      <c r="AS36" s="839" t="str">
        <f t="shared" si="42"/>
        <v/>
      </c>
      <c r="AT36" s="839">
        <f t="shared" si="43"/>
        <v>1</v>
      </c>
      <c r="AU36" s="839">
        <f t="shared" si="44"/>
        <v>1</v>
      </c>
      <c r="AV36" s="839" t="str">
        <f t="shared" si="45"/>
        <v/>
      </c>
      <c r="AW36" s="843">
        <f t="shared" si="45"/>
        <v>1</v>
      </c>
    </row>
    <row r="37" spans="1:49" s="328" customFormat="1">
      <c r="A37" s="823">
        <f t="shared" si="46"/>
        <v>0</v>
      </c>
      <c r="B37" s="327" t="s">
        <v>291</v>
      </c>
      <c r="C37" s="327" t="str">
        <f t="shared" si="47"/>
        <v>Zn  鋅 (26-37)
(1 pcs Zn=25kg)</v>
      </c>
      <c r="D37" s="327" t="str">
        <f t="shared" si="48"/>
        <v>XT-000C</v>
      </c>
      <c r="E37" s="327" t="str">
        <f t="shared" si="49"/>
        <v>g/L</v>
      </c>
      <c r="F37" s="327" t="str">
        <f t="shared" si="50"/>
        <v>7~10</v>
      </c>
      <c r="G37" s="812">
        <f t="shared" si="51"/>
        <v>6.6</v>
      </c>
      <c r="H37" s="812" t="str">
        <f t="shared" si="52"/>
        <v>+</v>
      </c>
      <c r="I37" s="817">
        <f t="shared" si="53"/>
        <v>0</v>
      </c>
      <c r="J37" s="812" t="str">
        <f t="shared" si="7"/>
        <v>kg</v>
      </c>
      <c r="K37" s="812">
        <f t="shared" si="54"/>
        <v>9.5518799999999846</v>
      </c>
      <c r="L37" s="817" t="str">
        <f t="shared" si="55"/>
        <v>+</v>
      </c>
      <c r="M37" s="812" t="str">
        <f t="shared" si="56"/>
        <v/>
      </c>
      <c r="N37" s="812">
        <f t="shared" si="57"/>
        <v>8.3849999999999998</v>
      </c>
      <c r="O37" s="817">
        <f t="shared" si="58"/>
        <v>6.1025900000000108</v>
      </c>
      <c r="P37" s="812">
        <f t="shared" si="59"/>
        <v>6.1025900000000108</v>
      </c>
      <c r="Q37" s="812">
        <f t="shared" si="60"/>
        <v>6.5</v>
      </c>
      <c r="R37" s="817">
        <f t="shared" si="61"/>
        <v>8.4500000000000011</v>
      </c>
      <c r="S37" s="812" t="str">
        <f t="shared" si="62"/>
        <v>+</v>
      </c>
      <c r="T37" s="805" t="str">
        <f t="shared" si="63"/>
        <v>kg</v>
      </c>
      <c r="U37" s="806">
        <f t="shared" si="64"/>
        <v>0</v>
      </c>
      <c r="V37" s="812">
        <f t="shared" si="65"/>
        <v>451.06099999999998</v>
      </c>
      <c r="W37" s="805" t="str">
        <f t="shared" si="66"/>
        <v/>
      </c>
      <c r="X37" s="806" t="str">
        <f t="shared" si="67"/>
        <v>kg</v>
      </c>
      <c r="Z37" s="328" t="b">
        <f t="shared" si="23"/>
        <v>1</v>
      </c>
      <c r="AA37" s="328" t="b">
        <f t="shared" si="24"/>
        <v>0</v>
      </c>
      <c r="AB37" s="328" t="b">
        <f t="shared" si="25"/>
        <v>0</v>
      </c>
      <c r="AC37" s="328" t="b">
        <f t="shared" si="26"/>
        <v>1</v>
      </c>
      <c r="AD37" s="328" t="b">
        <f t="shared" si="27"/>
        <v>0</v>
      </c>
      <c r="AE37" s="328" t="b">
        <f t="shared" si="28"/>
        <v>1</v>
      </c>
      <c r="AF37" s="328" t="b">
        <f t="shared" si="29"/>
        <v>1</v>
      </c>
      <c r="AG37" s="328" t="b">
        <f t="shared" si="30"/>
        <v>1</v>
      </c>
      <c r="AH37" s="328" t="b">
        <f t="shared" si="31"/>
        <v>0</v>
      </c>
      <c r="AI37" s="328" t="b">
        <f t="shared" si="32"/>
        <v>0</v>
      </c>
      <c r="AJ37" s="328" t="b">
        <f t="shared" si="33"/>
        <v>1</v>
      </c>
      <c r="AK37" s="328" t="b">
        <f t="shared" si="34"/>
        <v>0</v>
      </c>
      <c r="AL37" s="838" t="str">
        <f t="shared" si="35"/>
        <v/>
      </c>
      <c r="AM37" s="839">
        <f t="shared" si="36"/>
        <v>1</v>
      </c>
      <c r="AN37" s="839">
        <f t="shared" si="37"/>
        <v>1</v>
      </c>
      <c r="AO37" s="839" t="str">
        <f t="shared" si="38"/>
        <v/>
      </c>
      <c r="AP37" s="839">
        <f t="shared" si="39"/>
        <v>1</v>
      </c>
      <c r="AQ37" s="839" t="str">
        <f t="shared" si="40"/>
        <v/>
      </c>
      <c r="AR37" s="839" t="str">
        <f t="shared" si="41"/>
        <v/>
      </c>
      <c r="AS37" s="839" t="str">
        <f t="shared" si="42"/>
        <v/>
      </c>
      <c r="AT37" s="839">
        <f t="shared" si="43"/>
        <v>1</v>
      </c>
      <c r="AU37" s="839">
        <f t="shared" si="44"/>
        <v>1</v>
      </c>
      <c r="AV37" s="839" t="str">
        <f t="shared" si="45"/>
        <v/>
      </c>
      <c r="AW37" s="843">
        <f t="shared" si="45"/>
        <v>1</v>
      </c>
    </row>
    <row r="38" spans="1:49" s="328" customFormat="1">
      <c r="A38" s="823">
        <f t="shared" si="46"/>
        <v>0</v>
      </c>
      <c r="B38" s="327" t="s">
        <v>292</v>
      </c>
      <c r="C38" s="327" t="str">
        <f t="shared" si="47"/>
        <v>Nồng độ Cr2O3 三價鉻(46)
LANTHANE 318 (HALO)</v>
      </c>
      <c r="D38" s="327" t="str">
        <f t="shared" si="48"/>
        <v>XT-000C</v>
      </c>
      <c r="E38" s="327" t="str">
        <f t="shared" si="49"/>
        <v>%</v>
      </c>
      <c r="F38" s="327" t="str">
        <f t="shared" si="50"/>
        <v>5~8</v>
      </c>
      <c r="G38" s="812">
        <f t="shared" si="51"/>
        <v>17.7</v>
      </c>
      <c r="H38" s="812" t="str">
        <f t="shared" si="52"/>
        <v>+</v>
      </c>
      <c r="I38" s="817">
        <f t="shared" si="53"/>
        <v>0</v>
      </c>
      <c r="J38" s="812" t="str">
        <f t="shared" si="7"/>
        <v>L</v>
      </c>
      <c r="K38" s="812">
        <f t="shared" si="54"/>
        <v>-14.522087999999989</v>
      </c>
      <c r="L38" s="817" t="str">
        <f t="shared" si="55"/>
        <v>+</v>
      </c>
      <c r="M38" s="812" t="str">
        <f t="shared" si="56"/>
        <v/>
      </c>
      <c r="N38" s="812">
        <f t="shared" si="57"/>
        <v>6.1568000000000005</v>
      </c>
      <c r="O38" s="817">
        <f t="shared" si="58"/>
        <v>-5.2684800000000163</v>
      </c>
      <c r="P38" s="812">
        <f t="shared" si="59"/>
        <v>0</v>
      </c>
      <c r="Q38" s="812">
        <f t="shared" si="60"/>
        <v>18.3</v>
      </c>
      <c r="R38" s="817">
        <f t="shared" si="61"/>
        <v>6.7076100000000007</v>
      </c>
      <c r="S38" s="812" t="str">
        <f t="shared" si="62"/>
        <v>+</v>
      </c>
      <c r="T38" s="805" t="str">
        <f t="shared" si="63"/>
        <v>L</v>
      </c>
      <c r="U38" s="806">
        <f t="shared" si="64"/>
        <v>0</v>
      </c>
      <c r="V38" s="812">
        <f t="shared" si="65"/>
        <v>236.74896000000001</v>
      </c>
      <c r="W38" s="805" t="str">
        <f t="shared" si="66"/>
        <v/>
      </c>
      <c r="X38" s="806" t="str">
        <f t="shared" si="67"/>
        <v>L</v>
      </c>
      <c r="Z38" s="328" t="b">
        <f t="shared" si="23"/>
        <v>1</v>
      </c>
      <c r="AA38" s="328" t="b">
        <f t="shared" si="24"/>
        <v>0</v>
      </c>
      <c r="AB38" s="328" t="b">
        <f t="shared" si="25"/>
        <v>0</v>
      </c>
      <c r="AC38" s="328" t="b">
        <f t="shared" si="26"/>
        <v>1</v>
      </c>
      <c r="AD38" s="328" t="b">
        <f t="shared" si="27"/>
        <v>0</v>
      </c>
      <c r="AE38" s="328" t="b">
        <f t="shared" si="28"/>
        <v>1</v>
      </c>
      <c r="AF38" s="328" t="b">
        <f t="shared" si="29"/>
        <v>1</v>
      </c>
      <c r="AG38" s="328" t="b">
        <f t="shared" si="30"/>
        <v>1</v>
      </c>
      <c r="AH38" s="328" t="b">
        <f t="shared" si="31"/>
        <v>0</v>
      </c>
      <c r="AI38" s="328" t="b">
        <f t="shared" si="32"/>
        <v>0</v>
      </c>
      <c r="AJ38" s="328" t="b">
        <f t="shared" si="33"/>
        <v>1</v>
      </c>
      <c r="AK38" s="328" t="b">
        <f t="shared" si="34"/>
        <v>0</v>
      </c>
      <c r="AL38" s="838" t="str">
        <f t="shared" si="35"/>
        <v/>
      </c>
      <c r="AM38" s="839">
        <f t="shared" si="36"/>
        <v>1</v>
      </c>
      <c r="AN38" s="839">
        <f t="shared" si="37"/>
        <v>1</v>
      </c>
      <c r="AO38" s="839" t="str">
        <f t="shared" si="38"/>
        <v/>
      </c>
      <c r="AP38" s="839">
        <f t="shared" si="39"/>
        <v>1</v>
      </c>
      <c r="AQ38" s="839" t="str">
        <f t="shared" si="40"/>
        <v/>
      </c>
      <c r="AR38" s="839" t="str">
        <f t="shared" si="41"/>
        <v/>
      </c>
      <c r="AS38" s="839" t="str">
        <f t="shared" si="42"/>
        <v/>
      </c>
      <c r="AT38" s="839">
        <f t="shared" si="43"/>
        <v>1</v>
      </c>
      <c r="AU38" s="839">
        <f t="shared" si="44"/>
        <v>1</v>
      </c>
      <c r="AV38" s="839" t="str">
        <f t="shared" si="45"/>
        <v/>
      </c>
      <c r="AW38" s="843">
        <f t="shared" si="45"/>
        <v>1</v>
      </c>
    </row>
    <row r="39" spans="1:49" s="328" customFormat="1">
      <c r="A39" s="823">
        <f t="shared" si="46"/>
        <v>0</v>
      </c>
      <c r="B39" s="327" t="s">
        <v>293</v>
      </c>
      <c r="C39" s="327" t="str">
        <f t="shared" si="47"/>
        <v>Pha mới: 2023/12/08</v>
      </c>
      <c r="D39" s="327" t="str">
        <f t="shared" si="48"/>
        <v>XT-000C</v>
      </c>
      <c r="E39" s="327" t="str">
        <f t="shared" si="49"/>
        <v>pH</v>
      </c>
      <c r="F39" s="327" t="str">
        <f t="shared" si="50"/>
        <v>2.0~2.4</v>
      </c>
      <c r="G39" s="812">
        <f t="shared" si="51"/>
        <v>0</v>
      </c>
      <c r="H39" s="812">
        <f t="shared" si="52"/>
        <v>0</v>
      </c>
      <c r="I39" s="817">
        <f t="shared" si="53"/>
        <v>0</v>
      </c>
      <c r="J39" s="812">
        <f t="shared" si="7"/>
        <v>0</v>
      </c>
      <c r="K39" s="812">
        <f t="shared" si="54"/>
        <v>0</v>
      </c>
      <c r="L39" s="817">
        <f t="shared" si="55"/>
        <v>0</v>
      </c>
      <c r="M39" s="812" t="str">
        <f t="shared" si="56"/>
        <v/>
      </c>
      <c r="N39" s="812">
        <f t="shared" si="57"/>
        <v>2.2999999999999998</v>
      </c>
      <c r="O39" s="817">
        <f t="shared" si="58"/>
        <v>0</v>
      </c>
      <c r="P39" s="812">
        <f t="shared" si="59"/>
        <v>0</v>
      </c>
      <c r="Q39" s="812">
        <f t="shared" si="60"/>
        <v>0</v>
      </c>
      <c r="R39" s="817">
        <f t="shared" si="61"/>
        <v>2.2000000000000002</v>
      </c>
      <c r="S39" s="812">
        <f t="shared" si="62"/>
        <v>0</v>
      </c>
      <c r="T39" s="805">
        <f t="shared" si="63"/>
        <v>0</v>
      </c>
      <c r="U39" s="806">
        <f t="shared" si="64"/>
        <v>0</v>
      </c>
      <c r="V39" s="812">
        <f t="shared" si="65"/>
        <v>0</v>
      </c>
      <c r="W39" s="805" t="str">
        <f t="shared" si="66"/>
        <v/>
      </c>
      <c r="X39" s="806">
        <f t="shared" si="67"/>
        <v>0</v>
      </c>
      <c r="Z39" s="328" t="b">
        <f t="shared" si="23"/>
        <v>1</v>
      </c>
      <c r="AA39" s="328" t="b">
        <f t="shared" si="24"/>
        <v>1</v>
      </c>
      <c r="AB39" s="328" t="b">
        <f t="shared" si="25"/>
        <v>1</v>
      </c>
      <c r="AC39" s="328" t="b">
        <f t="shared" si="26"/>
        <v>1</v>
      </c>
      <c r="AD39" s="328" t="b">
        <f t="shared" si="27"/>
        <v>0</v>
      </c>
      <c r="AE39" s="328" t="b">
        <f t="shared" si="28"/>
        <v>1</v>
      </c>
      <c r="AF39" s="328" t="b">
        <f t="shared" si="29"/>
        <v>1</v>
      </c>
      <c r="AG39" s="328" t="b">
        <f t="shared" si="30"/>
        <v>1</v>
      </c>
      <c r="AH39" s="328" t="b">
        <f t="shared" si="31"/>
        <v>1</v>
      </c>
      <c r="AI39" s="328" t="b">
        <f t="shared" si="32"/>
        <v>1</v>
      </c>
      <c r="AJ39" s="328" t="b">
        <f t="shared" si="33"/>
        <v>1</v>
      </c>
      <c r="AK39" s="328" t="b">
        <f t="shared" si="34"/>
        <v>0</v>
      </c>
      <c r="AL39" s="838" t="str">
        <f t="shared" si="35"/>
        <v/>
      </c>
      <c r="AM39" s="839" t="str">
        <f t="shared" si="36"/>
        <v/>
      </c>
      <c r="AN39" s="839" t="str">
        <f t="shared" si="37"/>
        <v/>
      </c>
      <c r="AO39" s="839" t="str">
        <f t="shared" si="38"/>
        <v/>
      </c>
      <c r="AP39" s="839">
        <f t="shared" si="39"/>
        <v>1</v>
      </c>
      <c r="AQ39" s="839" t="str">
        <f t="shared" si="40"/>
        <v/>
      </c>
      <c r="AR39" s="839" t="str">
        <f t="shared" si="41"/>
        <v/>
      </c>
      <c r="AS39" s="839" t="str">
        <f t="shared" si="42"/>
        <v/>
      </c>
      <c r="AT39" s="839" t="str">
        <f t="shared" si="43"/>
        <v/>
      </c>
      <c r="AU39" s="839" t="str">
        <f t="shared" si="44"/>
        <v/>
      </c>
      <c r="AV39" s="839" t="str">
        <f t="shared" si="45"/>
        <v/>
      </c>
      <c r="AW39" s="843">
        <f t="shared" si="45"/>
        <v>1</v>
      </c>
    </row>
    <row r="40" spans="1:49" s="328" customFormat="1">
      <c r="A40" s="823">
        <f t="shared" si="46"/>
        <v>0</v>
      </c>
      <c r="B40" s="327" t="s">
        <v>294</v>
      </c>
      <c r="C40" s="327" t="str">
        <f t="shared" si="47"/>
        <v>Nồng độ acid đặc (13)
鹽酸 濃度</v>
      </c>
      <c r="D40" s="327" t="str">
        <f t="shared" si="48"/>
        <v>XT-000C</v>
      </c>
      <c r="E40" s="327" t="str">
        <f t="shared" si="49"/>
        <v>%V/V</v>
      </c>
      <c r="F40" s="327" t="str">
        <f t="shared" si="50"/>
        <v>40~50</v>
      </c>
      <c r="G40" s="812">
        <f t="shared" si="51"/>
        <v>2.1800000000000002</v>
      </c>
      <c r="H40" s="812" t="str">
        <f t="shared" si="52"/>
        <v>+</v>
      </c>
      <c r="I40" s="817">
        <f t="shared" si="53"/>
        <v>0</v>
      </c>
      <c r="J40" s="812" t="str">
        <f t="shared" si="7"/>
        <v>L</v>
      </c>
      <c r="K40" s="812">
        <f t="shared" si="54"/>
        <v>-256.73456249999992</v>
      </c>
      <c r="L40" s="817" t="str">
        <f t="shared" si="55"/>
        <v>+</v>
      </c>
      <c r="M40" s="812" t="str">
        <f t="shared" si="56"/>
        <v/>
      </c>
      <c r="N40" s="812">
        <f t="shared" si="57"/>
        <v>0.47906250000000006</v>
      </c>
      <c r="O40" s="817">
        <f t="shared" si="58"/>
        <v>-195.38718750000032</v>
      </c>
      <c r="P40" s="812">
        <f t="shared" si="59"/>
        <v>0</v>
      </c>
      <c r="Q40" s="812">
        <f t="shared" si="60"/>
        <v>2.1800000000000002</v>
      </c>
      <c r="R40" s="817">
        <f t="shared" si="61"/>
        <v>0.49731250000000005</v>
      </c>
      <c r="S40" s="812" t="str">
        <f t="shared" si="62"/>
        <v>+</v>
      </c>
      <c r="T40" s="805" t="str">
        <f t="shared" si="63"/>
        <v>L</v>
      </c>
      <c r="U40" s="806">
        <f t="shared" si="64"/>
        <v>0</v>
      </c>
      <c r="V40" s="812">
        <f t="shared" si="65"/>
        <v>3025.35</v>
      </c>
      <c r="W40" s="805" t="str">
        <f t="shared" si="66"/>
        <v/>
      </c>
      <c r="X40" s="806" t="str">
        <f t="shared" si="67"/>
        <v>L</v>
      </c>
      <c r="Z40" s="328" t="b">
        <f t="shared" si="23"/>
        <v>1</v>
      </c>
      <c r="AA40" s="328" t="b">
        <f t="shared" si="24"/>
        <v>0</v>
      </c>
      <c r="AB40" s="328" t="b">
        <f t="shared" si="25"/>
        <v>0</v>
      </c>
      <c r="AC40" s="328" t="b">
        <f t="shared" si="26"/>
        <v>1</v>
      </c>
      <c r="AD40" s="328" t="b">
        <f t="shared" si="27"/>
        <v>0</v>
      </c>
      <c r="AE40" s="328" t="b">
        <f t="shared" si="28"/>
        <v>1</v>
      </c>
      <c r="AF40" s="328" t="b">
        <f t="shared" si="29"/>
        <v>1</v>
      </c>
      <c r="AG40" s="328" t="b">
        <f t="shared" si="30"/>
        <v>1</v>
      </c>
      <c r="AH40" s="328" t="b">
        <f t="shared" si="31"/>
        <v>0</v>
      </c>
      <c r="AI40" s="328" t="b">
        <f t="shared" si="32"/>
        <v>0</v>
      </c>
      <c r="AJ40" s="328" t="b">
        <f t="shared" si="33"/>
        <v>1</v>
      </c>
      <c r="AK40" s="328" t="b">
        <f t="shared" si="34"/>
        <v>0</v>
      </c>
      <c r="AL40" s="838" t="str">
        <f t="shared" si="35"/>
        <v/>
      </c>
      <c r="AM40" s="839">
        <f t="shared" si="36"/>
        <v>1</v>
      </c>
      <c r="AN40" s="839">
        <f t="shared" si="37"/>
        <v>1</v>
      </c>
      <c r="AO40" s="839" t="str">
        <f t="shared" si="38"/>
        <v/>
      </c>
      <c r="AP40" s="839">
        <f t="shared" si="39"/>
        <v>1</v>
      </c>
      <c r="AQ40" s="839" t="str">
        <f t="shared" si="40"/>
        <v/>
      </c>
      <c r="AR40" s="839" t="str">
        <f t="shared" si="41"/>
        <v/>
      </c>
      <c r="AS40" s="839" t="str">
        <f t="shared" si="42"/>
        <v/>
      </c>
      <c r="AT40" s="839">
        <f t="shared" si="43"/>
        <v>1</v>
      </c>
      <c r="AU40" s="839">
        <f t="shared" si="44"/>
        <v>1</v>
      </c>
      <c r="AV40" s="839" t="str">
        <f t="shared" si="45"/>
        <v/>
      </c>
      <c r="AW40" s="843">
        <f t="shared" si="45"/>
        <v>1</v>
      </c>
    </row>
    <row r="41" spans="1:49" s="328" customFormat="1">
      <c r="A41" s="823">
        <f t="shared" si="46"/>
        <v>0</v>
      </c>
      <c r="B41" s="327" t="s">
        <v>295</v>
      </c>
      <c r="C41" s="327" t="str">
        <f t="shared" si="47"/>
        <v>Nồng độ acid đặc (15,16,17)
鹽酸 濃度</v>
      </c>
      <c r="D41" s="327" t="str">
        <f t="shared" si="48"/>
        <v>XT-000C</v>
      </c>
      <c r="E41" s="327" t="str">
        <f t="shared" si="49"/>
        <v>%V/V</v>
      </c>
      <c r="F41" s="327" t="str">
        <f t="shared" si="50"/>
        <v>40~50</v>
      </c>
      <c r="G41" s="812">
        <f t="shared" si="51"/>
        <v>1.98</v>
      </c>
      <c r="H41" s="812" t="str">
        <f t="shared" si="52"/>
        <v>+</v>
      </c>
      <c r="I41" s="817">
        <f t="shared" si="53"/>
        <v>0</v>
      </c>
      <c r="J41" s="812" t="str">
        <f t="shared" si="7"/>
        <v>L</v>
      </c>
      <c r="K41" s="812">
        <f t="shared" si="54"/>
        <v>126.1080000000007</v>
      </c>
      <c r="L41" s="817" t="str">
        <f t="shared" si="55"/>
        <v>+</v>
      </c>
      <c r="M41" s="812" t="str">
        <f t="shared" si="56"/>
        <v/>
      </c>
      <c r="N41" s="812">
        <f t="shared" si="57"/>
        <v>0.43343749999999998</v>
      </c>
      <c r="O41" s="817">
        <f t="shared" si="58"/>
        <v>174.05531250000038</v>
      </c>
      <c r="P41" s="812">
        <f t="shared" si="59"/>
        <v>174.05531250000038</v>
      </c>
      <c r="Q41" s="812">
        <f t="shared" si="60"/>
        <v>1.98</v>
      </c>
      <c r="R41" s="817">
        <f t="shared" si="61"/>
        <v>0.45168749999999996</v>
      </c>
      <c r="S41" s="812" t="str">
        <f t="shared" si="62"/>
        <v>+</v>
      </c>
      <c r="T41" s="805" t="str">
        <f t="shared" si="63"/>
        <v>L</v>
      </c>
      <c r="U41" s="806">
        <f t="shared" si="64"/>
        <v>0</v>
      </c>
      <c r="V41" s="812">
        <f t="shared" si="65"/>
        <v>4729.05</v>
      </c>
      <c r="W41" s="805" t="str">
        <f t="shared" si="66"/>
        <v/>
      </c>
      <c r="X41" s="806" t="str">
        <f t="shared" si="67"/>
        <v>L</v>
      </c>
      <c r="Z41" s="328" t="b">
        <f t="shared" si="23"/>
        <v>1</v>
      </c>
      <c r="AA41" s="328" t="b">
        <f t="shared" si="24"/>
        <v>0</v>
      </c>
      <c r="AB41" s="328" t="b">
        <f t="shared" si="25"/>
        <v>0</v>
      </c>
      <c r="AC41" s="328" t="b">
        <f t="shared" si="26"/>
        <v>1</v>
      </c>
      <c r="AD41" s="328" t="b">
        <f t="shared" si="27"/>
        <v>0</v>
      </c>
      <c r="AE41" s="328" t="b">
        <f t="shared" si="28"/>
        <v>1</v>
      </c>
      <c r="AF41" s="328" t="b">
        <f t="shared" si="29"/>
        <v>1</v>
      </c>
      <c r="AG41" s="328" t="b">
        <f t="shared" si="30"/>
        <v>1</v>
      </c>
      <c r="AH41" s="328" t="b">
        <f t="shared" si="31"/>
        <v>0</v>
      </c>
      <c r="AI41" s="328" t="b">
        <f t="shared" si="32"/>
        <v>0</v>
      </c>
      <c r="AJ41" s="328" t="b">
        <f t="shared" si="33"/>
        <v>1</v>
      </c>
      <c r="AK41" s="328" t="b">
        <f t="shared" si="34"/>
        <v>0</v>
      </c>
      <c r="AL41" s="838" t="str">
        <f t="shared" si="35"/>
        <v/>
      </c>
      <c r="AM41" s="839">
        <f t="shared" si="36"/>
        <v>1</v>
      </c>
      <c r="AN41" s="839">
        <f t="shared" si="37"/>
        <v>1</v>
      </c>
      <c r="AO41" s="839" t="str">
        <f t="shared" si="38"/>
        <v/>
      </c>
      <c r="AP41" s="839">
        <f t="shared" si="39"/>
        <v>1</v>
      </c>
      <c r="AQ41" s="839" t="str">
        <f t="shared" si="40"/>
        <v/>
      </c>
      <c r="AR41" s="839" t="str">
        <f t="shared" si="41"/>
        <v/>
      </c>
      <c r="AS41" s="839" t="str">
        <f t="shared" si="42"/>
        <v/>
      </c>
      <c r="AT41" s="839">
        <f t="shared" si="43"/>
        <v>1</v>
      </c>
      <c r="AU41" s="839">
        <f t="shared" si="44"/>
        <v>1</v>
      </c>
      <c r="AV41" s="839" t="str">
        <f t="shared" si="45"/>
        <v/>
      </c>
      <c r="AW41" s="843">
        <f t="shared" si="45"/>
        <v>1</v>
      </c>
    </row>
    <row r="42" spans="1:49" s="328" customFormat="1">
      <c r="A42" s="823">
        <f t="shared" si="46"/>
        <v>0</v>
      </c>
      <c r="B42" s="327" t="s">
        <v>296</v>
      </c>
      <c r="C42" s="327" t="str">
        <f t="shared" si="47"/>
        <v>Nồng độ acid loãng (12)
稀酸 濃度</v>
      </c>
      <c r="D42" s="327" t="str">
        <f t="shared" si="48"/>
        <v>XT-000C</v>
      </c>
      <c r="E42" s="327" t="str">
        <f t="shared" si="49"/>
        <v>%V/V</v>
      </c>
      <c r="F42" s="327" t="str">
        <f t="shared" si="50"/>
        <v>10~20</v>
      </c>
      <c r="G42" s="812">
        <f t="shared" si="51"/>
        <v>0.57999999999999996</v>
      </c>
      <c r="H42" s="812" t="str">
        <f t="shared" si="52"/>
        <v>+</v>
      </c>
      <c r="I42" s="817">
        <f t="shared" si="53"/>
        <v>57.201374999999985</v>
      </c>
      <c r="J42" s="812" t="str">
        <f t="shared" si="7"/>
        <v>L</v>
      </c>
      <c r="K42" s="812">
        <f t="shared" si="54"/>
        <v>71.956499999999977</v>
      </c>
      <c r="L42" s="817" t="str">
        <f t="shared" si="55"/>
        <v>+</v>
      </c>
      <c r="M42" s="812" t="str">
        <f t="shared" si="56"/>
        <v/>
      </c>
      <c r="N42" s="812">
        <f t="shared" si="57"/>
        <v>0.1323125</v>
      </c>
      <c r="O42" s="817">
        <f t="shared" si="58"/>
        <v>57.201374999999985</v>
      </c>
      <c r="P42" s="812">
        <f t="shared" si="59"/>
        <v>57.201374999999985</v>
      </c>
      <c r="Q42" s="812">
        <f t="shared" si="60"/>
        <v>0.57999999999999996</v>
      </c>
      <c r="R42" s="817">
        <f t="shared" si="61"/>
        <v>0.1323125</v>
      </c>
      <c r="S42" s="812" t="str">
        <f t="shared" si="62"/>
        <v>+</v>
      </c>
      <c r="T42" s="805" t="str">
        <f t="shared" si="63"/>
        <v>L</v>
      </c>
      <c r="U42" s="806">
        <f t="shared" si="64"/>
        <v>0</v>
      </c>
      <c r="V42" s="812">
        <f t="shared" si="65"/>
        <v>485.09999999999997</v>
      </c>
      <c r="W42" s="805" t="str">
        <f t="shared" si="66"/>
        <v/>
      </c>
      <c r="X42" s="806" t="str">
        <f t="shared" si="67"/>
        <v>L</v>
      </c>
      <c r="Z42" s="328" t="b">
        <f t="shared" si="23"/>
        <v>1</v>
      </c>
      <c r="AA42" s="328" t="b">
        <f t="shared" si="24"/>
        <v>0</v>
      </c>
      <c r="AB42" s="328" t="b">
        <f t="shared" si="25"/>
        <v>0</v>
      </c>
      <c r="AC42" s="328" t="b">
        <f t="shared" si="26"/>
        <v>1</v>
      </c>
      <c r="AD42" s="328" t="b">
        <f t="shared" si="27"/>
        <v>0</v>
      </c>
      <c r="AE42" s="328" t="b">
        <f t="shared" si="28"/>
        <v>1</v>
      </c>
      <c r="AF42" s="328" t="b">
        <f t="shared" si="29"/>
        <v>1</v>
      </c>
      <c r="AG42" s="328" t="b">
        <f t="shared" si="30"/>
        <v>1</v>
      </c>
      <c r="AH42" s="328" t="b">
        <f t="shared" si="31"/>
        <v>0</v>
      </c>
      <c r="AI42" s="328" t="b">
        <f t="shared" si="32"/>
        <v>0</v>
      </c>
      <c r="AJ42" s="328" t="b">
        <f t="shared" si="33"/>
        <v>1</v>
      </c>
      <c r="AK42" s="328" t="b">
        <f t="shared" si="34"/>
        <v>0</v>
      </c>
      <c r="AL42" s="838" t="str">
        <f t="shared" si="35"/>
        <v/>
      </c>
      <c r="AM42" s="839">
        <f t="shared" si="36"/>
        <v>1</v>
      </c>
      <c r="AN42" s="839">
        <f t="shared" si="37"/>
        <v>1</v>
      </c>
      <c r="AO42" s="839" t="str">
        <f t="shared" si="38"/>
        <v/>
      </c>
      <c r="AP42" s="839">
        <f t="shared" si="39"/>
        <v>1</v>
      </c>
      <c r="AQ42" s="839" t="str">
        <f t="shared" si="40"/>
        <v/>
      </c>
      <c r="AR42" s="839" t="str">
        <f t="shared" si="41"/>
        <v/>
      </c>
      <c r="AS42" s="839" t="str">
        <f t="shared" si="42"/>
        <v/>
      </c>
      <c r="AT42" s="839">
        <f t="shared" si="43"/>
        <v>1</v>
      </c>
      <c r="AU42" s="839">
        <f t="shared" si="44"/>
        <v>1</v>
      </c>
      <c r="AV42" s="839" t="str">
        <f t="shared" si="45"/>
        <v/>
      </c>
      <c r="AW42" s="843">
        <f t="shared" si="45"/>
        <v>1</v>
      </c>
    </row>
    <row r="43" spans="1:49" s="328" customFormat="1">
      <c r="A43" s="823">
        <f t="shared" si="46"/>
        <v>0</v>
      </c>
      <c r="B43" s="327" t="s">
        <v>297</v>
      </c>
      <c r="C43" s="327" t="str">
        <f t="shared" si="47"/>
        <v>Nồng độ HNO3  (42)
硝酸濃度</v>
      </c>
      <c r="D43" s="327" t="str">
        <f t="shared" si="48"/>
        <v>XT-000C</v>
      </c>
      <c r="E43" s="327" t="str">
        <f t="shared" si="49"/>
        <v>%V/V</v>
      </c>
      <c r="F43" s="327" t="str">
        <f t="shared" si="50"/>
        <v>(1±0.4)=0.6~1.4</v>
      </c>
      <c r="G43" s="812">
        <f t="shared" si="51"/>
        <v>6</v>
      </c>
      <c r="H43" s="812" t="str">
        <f t="shared" si="52"/>
        <v>+</v>
      </c>
      <c r="I43" s="817">
        <f t="shared" si="53"/>
        <v>6.9806622516556294</v>
      </c>
      <c r="J43" s="812" t="str">
        <f t="shared" si="7"/>
        <v>L</v>
      </c>
      <c r="K43" s="812">
        <f t="shared" si="54"/>
        <v>6.9806622516556294</v>
      </c>
      <c r="L43" s="817" t="str">
        <f t="shared" si="55"/>
        <v>+</v>
      </c>
      <c r="M43" s="812" t="str">
        <f t="shared" si="56"/>
        <v/>
      </c>
      <c r="N43" s="812">
        <f t="shared" si="57"/>
        <v>7.4340000000000005E-3</v>
      </c>
      <c r="O43" s="817">
        <f t="shared" si="58"/>
        <v>7.3411390728476809</v>
      </c>
      <c r="P43" s="812">
        <f t="shared" si="59"/>
        <v>7.3411390728476809</v>
      </c>
      <c r="Q43" s="812">
        <f t="shared" si="60"/>
        <v>5.7</v>
      </c>
      <c r="R43" s="817">
        <f t="shared" si="61"/>
        <v>7.1820000000000009E-3</v>
      </c>
      <c r="S43" s="812" t="str">
        <f t="shared" si="62"/>
        <v>+</v>
      </c>
      <c r="T43" s="805" t="str">
        <f t="shared" si="63"/>
        <v>L</v>
      </c>
      <c r="U43" s="806">
        <f t="shared" si="64"/>
        <v>0</v>
      </c>
      <c r="V43" s="812">
        <f t="shared" si="65"/>
        <v>28.609271523178808</v>
      </c>
      <c r="W43" s="805" t="str">
        <f t="shared" si="66"/>
        <v/>
      </c>
      <c r="X43" s="806" t="str">
        <f t="shared" si="67"/>
        <v>L</v>
      </c>
      <c r="Z43" s="328" t="b">
        <f t="shared" si="23"/>
        <v>1</v>
      </c>
      <c r="AA43" s="328" t="b">
        <f t="shared" si="24"/>
        <v>0</v>
      </c>
      <c r="AB43" s="328" t="b">
        <f t="shared" si="25"/>
        <v>0</v>
      </c>
      <c r="AC43" s="328" t="b">
        <f t="shared" si="26"/>
        <v>1</v>
      </c>
      <c r="AD43" s="328" t="b">
        <f t="shared" si="27"/>
        <v>0</v>
      </c>
      <c r="AE43" s="328" t="b">
        <f t="shared" si="28"/>
        <v>1</v>
      </c>
      <c r="AF43" s="328" t="b">
        <f t="shared" si="29"/>
        <v>1</v>
      </c>
      <c r="AG43" s="328" t="b">
        <f t="shared" si="30"/>
        <v>1</v>
      </c>
      <c r="AH43" s="328" t="b">
        <f t="shared" si="31"/>
        <v>0</v>
      </c>
      <c r="AI43" s="328" t="b">
        <f t="shared" si="32"/>
        <v>0</v>
      </c>
      <c r="AJ43" s="328" t="b">
        <f t="shared" si="33"/>
        <v>1</v>
      </c>
      <c r="AK43" s="328" t="b">
        <f t="shared" si="34"/>
        <v>0</v>
      </c>
      <c r="AL43" s="838" t="str">
        <f t="shared" si="35"/>
        <v/>
      </c>
      <c r="AM43" s="839">
        <f t="shared" si="36"/>
        <v>1</v>
      </c>
      <c r="AN43" s="839">
        <f t="shared" si="37"/>
        <v>1</v>
      </c>
      <c r="AO43" s="839" t="str">
        <f t="shared" si="38"/>
        <v/>
      </c>
      <c r="AP43" s="839">
        <f t="shared" si="39"/>
        <v>1</v>
      </c>
      <c r="AQ43" s="839" t="str">
        <f t="shared" si="40"/>
        <v/>
      </c>
      <c r="AR43" s="839" t="str">
        <f t="shared" si="41"/>
        <v/>
      </c>
      <c r="AS43" s="839" t="str">
        <f t="shared" si="42"/>
        <v/>
      </c>
      <c r="AT43" s="839">
        <f t="shared" si="43"/>
        <v>1</v>
      </c>
      <c r="AU43" s="839">
        <f t="shared" si="44"/>
        <v>1</v>
      </c>
      <c r="AV43" s="839" t="str">
        <f t="shared" si="45"/>
        <v/>
      </c>
      <c r="AW43" s="843">
        <f t="shared" si="45"/>
        <v>1</v>
      </c>
    </row>
    <row r="44" spans="1:49" s="328" customFormat="1">
      <c r="A44" s="823">
        <f t="shared" si="46"/>
        <v>0</v>
      </c>
      <c r="B44" s="327" t="s">
        <v>307</v>
      </c>
      <c r="C44" s="327" t="str">
        <f t="shared" si="47"/>
        <v>chất bóng (250 brightener)
光亮劑</v>
      </c>
      <c r="D44" s="327" t="str">
        <f t="shared" si="48"/>
        <v>XT-000C</v>
      </c>
      <c r="E44" s="327" t="str">
        <f t="shared" si="49"/>
        <v>ml/KAH</v>
      </c>
      <c r="F44" s="327" t="str">
        <f t="shared" si="50"/>
        <v>30~50 
(40)</v>
      </c>
      <c r="G44" s="812">
        <f t="shared" si="51"/>
        <v>0</v>
      </c>
      <c r="H44" s="812">
        <f t="shared" si="52"/>
        <v>0</v>
      </c>
      <c r="I44" s="817">
        <f t="shared" si="53"/>
        <v>0</v>
      </c>
      <c r="J44" s="812">
        <f t="shared" si="7"/>
        <v>0</v>
      </c>
      <c r="K44" s="812">
        <f t="shared" si="54"/>
        <v>0</v>
      </c>
      <c r="L44" s="817">
        <f t="shared" si="55"/>
        <v>0</v>
      </c>
      <c r="M44" s="812">
        <f t="shared" si="56"/>
        <v>0</v>
      </c>
      <c r="N44" s="812">
        <f t="shared" si="57"/>
        <v>50</v>
      </c>
      <c r="O44" s="817">
        <f t="shared" si="58"/>
        <v>0</v>
      </c>
      <c r="P44" s="812">
        <f t="shared" si="59"/>
        <v>0</v>
      </c>
      <c r="Q44" s="812">
        <f t="shared" si="60"/>
        <v>0</v>
      </c>
      <c r="R44" s="817">
        <f t="shared" si="61"/>
        <v>48</v>
      </c>
      <c r="S44" s="812">
        <f t="shared" si="62"/>
        <v>0</v>
      </c>
      <c r="T44" s="805">
        <f t="shared" si="63"/>
        <v>0</v>
      </c>
      <c r="U44" s="806">
        <f t="shared" si="64"/>
        <v>0</v>
      </c>
      <c r="V44" s="812">
        <f t="shared" si="65"/>
        <v>0</v>
      </c>
      <c r="W44" s="805">
        <f t="shared" si="66"/>
        <v>0</v>
      </c>
      <c r="X44" s="806">
        <f t="shared" si="67"/>
        <v>0</v>
      </c>
      <c r="Z44" s="328" t="b">
        <f t="shared" si="23"/>
        <v>1</v>
      </c>
      <c r="AA44" s="328" t="b">
        <f t="shared" si="24"/>
        <v>1</v>
      </c>
      <c r="AB44" s="328" t="b">
        <f t="shared" si="25"/>
        <v>1</v>
      </c>
      <c r="AC44" s="328" t="b">
        <f t="shared" si="26"/>
        <v>1</v>
      </c>
      <c r="AD44" s="328" t="b">
        <f t="shared" si="27"/>
        <v>1</v>
      </c>
      <c r="AE44" s="328" t="b">
        <f t="shared" si="28"/>
        <v>1</v>
      </c>
      <c r="AF44" s="328" t="b">
        <f t="shared" si="29"/>
        <v>1</v>
      </c>
      <c r="AG44" s="328" t="b">
        <f t="shared" si="30"/>
        <v>1</v>
      </c>
      <c r="AH44" s="328" t="b">
        <f t="shared" si="31"/>
        <v>1</v>
      </c>
      <c r="AI44" s="328" t="b">
        <f t="shared" si="32"/>
        <v>1</v>
      </c>
      <c r="AJ44" s="328" t="b">
        <f t="shared" si="33"/>
        <v>1</v>
      </c>
      <c r="AK44" s="328" t="b">
        <f t="shared" si="34"/>
        <v>1</v>
      </c>
      <c r="AL44" s="838" t="str">
        <f t="shared" si="35"/>
        <v/>
      </c>
      <c r="AM44" s="839" t="str">
        <f t="shared" si="36"/>
        <v/>
      </c>
      <c r="AN44" s="839" t="str">
        <f t="shared" si="37"/>
        <v/>
      </c>
      <c r="AO44" s="839" t="str">
        <f t="shared" si="38"/>
        <v/>
      </c>
      <c r="AP44" s="839" t="str">
        <f t="shared" si="39"/>
        <v/>
      </c>
      <c r="AQ44" s="839" t="str">
        <f t="shared" si="40"/>
        <v/>
      </c>
      <c r="AR44" s="839" t="str">
        <f t="shared" si="41"/>
        <v/>
      </c>
      <c r="AS44" s="839" t="str">
        <f t="shared" si="42"/>
        <v/>
      </c>
      <c r="AT44" s="839" t="str">
        <f t="shared" si="43"/>
        <v/>
      </c>
      <c r="AU44" s="839" t="str">
        <f t="shared" si="44"/>
        <v/>
      </c>
      <c r="AV44" s="839" t="str">
        <f t="shared" si="45"/>
        <v/>
      </c>
      <c r="AW44" s="843" t="str">
        <f t="shared" si="45"/>
        <v/>
      </c>
    </row>
    <row r="45" spans="1:49" s="328" customFormat="1">
      <c r="A45" s="823">
        <f t="shared" si="46"/>
        <v>0</v>
      </c>
      <c r="B45" s="327" t="s">
        <v>308</v>
      </c>
      <c r="C45" s="327" t="str">
        <f t="shared" si="47"/>
        <v>chất mềm (250 base)
開缸劑</v>
      </c>
      <c r="D45" s="327" t="str">
        <f t="shared" si="48"/>
        <v>XT-000C</v>
      </c>
      <c r="E45" s="327" t="str">
        <f t="shared" si="49"/>
        <v>ml/KAH</v>
      </c>
      <c r="F45" s="327" t="str">
        <f t="shared" si="50"/>
        <v>160~220
(180)</v>
      </c>
      <c r="G45" s="812">
        <f t="shared" si="51"/>
        <v>0</v>
      </c>
      <c r="H45" s="812">
        <f t="shared" si="52"/>
        <v>0</v>
      </c>
      <c r="I45" s="817">
        <f t="shared" si="53"/>
        <v>0</v>
      </c>
      <c r="J45" s="812">
        <f t="shared" ref="J45" si="68">IFERROR(VLOOKUP($B45,_XM_XT_THUCTE,14,0),"")</f>
        <v>0</v>
      </c>
      <c r="K45" s="812">
        <f t="shared" si="54"/>
        <v>0</v>
      </c>
      <c r="L45" s="817">
        <f t="shared" si="55"/>
        <v>0</v>
      </c>
      <c r="M45" s="812">
        <f t="shared" si="56"/>
        <v>0</v>
      </c>
      <c r="N45" s="812">
        <f t="shared" si="57"/>
        <v>180</v>
      </c>
      <c r="O45" s="817">
        <f t="shared" si="58"/>
        <v>0</v>
      </c>
      <c r="P45" s="812">
        <f t="shared" si="59"/>
        <v>0</v>
      </c>
      <c r="Q45" s="812">
        <f t="shared" si="60"/>
        <v>0</v>
      </c>
      <c r="R45" s="817">
        <f t="shared" si="61"/>
        <v>175</v>
      </c>
      <c r="S45" s="812">
        <f t="shared" si="62"/>
        <v>0</v>
      </c>
      <c r="T45" s="805">
        <f t="shared" si="63"/>
        <v>0</v>
      </c>
      <c r="U45" s="806">
        <f t="shared" si="64"/>
        <v>0</v>
      </c>
      <c r="V45" s="812">
        <f t="shared" si="65"/>
        <v>0</v>
      </c>
      <c r="W45" s="805">
        <f t="shared" si="66"/>
        <v>0</v>
      </c>
      <c r="X45" s="806">
        <f t="shared" si="67"/>
        <v>0</v>
      </c>
      <c r="Z45" s="328" t="b">
        <f t="shared" si="23"/>
        <v>1</v>
      </c>
      <c r="AA45" s="328" t="b">
        <f t="shared" si="24"/>
        <v>1</v>
      </c>
      <c r="AB45" s="328" t="b">
        <f t="shared" si="25"/>
        <v>1</v>
      </c>
      <c r="AC45" s="328" t="b">
        <f t="shared" si="26"/>
        <v>1</v>
      </c>
      <c r="AD45" s="328" t="b">
        <f t="shared" si="27"/>
        <v>1</v>
      </c>
      <c r="AE45" s="328" t="b">
        <f t="shared" si="28"/>
        <v>1</v>
      </c>
      <c r="AF45" s="328" t="b">
        <f t="shared" si="29"/>
        <v>1</v>
      </c>
      <c r="AG45" s="328" t="b">
        <f t="shared" si="30"/>
        <v>1</v>
      </c>
      <c r="AH45" s="328" t="b">
        <f t="shared" si="31"/>
        <v>1</v>
      </c>
      <c r="AI45" s="328" t="b">
        <f t="shared" si="32"/>
        <v>1</v>
      </c>
      <c r="AJ45" s="328" t="b">
        <f t="shared" si="33"/>
        <v>1</v>
      </c>
      <c r="AK45" s="328" t="b">
        <f t="shared" si="34"/>
        <v>1</v>
      </c>
      <c r="AL45" s="838" t="str">
        <f t="shared" si="35"/>
        <v/>
      </c>
      <c r="AM45" s="839" t="str">
        <f t="shared" si="36"/>
        <v/>
      </c>
      <c r="AN45" s="839" t="str">
        <f t="shared" si="37"/>
        <v/>
      </c>
      <c r="AO45" s="839" t="str">
        <f t="shared" si="38"/>
        <v/>
      </c>
      <c r="AP45" s="839" t="str">
        <f t="shared" si="39"/>
        <v/>
      </c>
      <c r="AQ45" s="839" t="str">
        <f t="shared" si="40"/>
        <v/>
      </c>
      <c r="AR45" s="839" t="str">
        <f t="shared" si="41"/>
        <v/>
      </c>
      <c r="AS45" s="839" t="str">
        <f t="shared" si="42"/>
        <v/>
      </c>
      <c r="AT45" s="839" t="str">
        <f t="shared" si="43"/>
        <v/>
      </c>
      <c r="AU45" s="839" t="str">
        <f t="shared" si="44"/>
        <v/>
      </c>
      <c r="AV45" s="839" t="str">
        <f t="shared" si="45"/>
        <v/>
      </c>
      <c r="AW45" s="843" t="str">
        <f t="shared" si="45"/>
        <v/>
      </c>
    </row>
    <row r="46" spans="1:49" s="821" customFormat="1">
      <c r="A46" s="911">
        <f t="shared" si="46"/>
        <v>0</v>
      </c>
      <c r="B46" s="820" t="s">
        <v>425</v>
      </c>
      <c r="C46" s="820" t="str">
        <f t="shared" ref="C46:C74" si="69">IFERROR(VLOOKUP($B46,RLMLXD,2,0),"")</f>
        <v>Rua acid (1) 鹽酸洗槽</v>
      </c>
      <c r="D46" s="820" t="str">
        <f t="shared" ref="D46:D74" si="70">IFERROR(VLOOKUP($B46,RLMLXD,43,0),"")</f>
        <v>CR-000E</v>
      </c>
      <c r="E46" s="820" t="str">
        <f t="shared" ref="E46:E74" si="71">IFERROR(VLOOKUP($B46,RLMLXD,4,0),"")</f>
        <v>%</v>
      </c>
      <c r="F46" s="820" t="str">
        <f t="shared" ref="F46:F74" si="72">IFERROR(VLOOKUP($B46,RLMLXD,5,0),"")</f>
        <v>10~15%  (12.5%)</v>
      </c>
      <c r="G46" s="807">
        <f t="shared" ref="G46:G99" si="73">IFERROR(VLOOKUP($B46,RLMLXD,8,0),"")</f>
        <v>0</v>
      </c>
      <c r="H46" s="807">
        <f t="shared" ref="H46:H99" si="74">IFERROR(VLOOKUP($B46,RLMLXD,11,0),"")</f>
        <v>0</v>
      </c>
      <c r="I46" s="808" t="str">
        <f t="shared" ref="I46:I99" si="75">IFERROR(VLOOKUP($B46,RLMLXD,12,0),"")</f>
        <v>L</v>
      </c>
      <c r="J46" s="807">
        <f t="shared" ref="J46:J99" si="76">IFERROR(VLOOKUP($B46,RLMLXD,14,0),"")</f>
        <v>0</v>
      </c>
      <c r="K46" s="807">
        <f t="shared" ref="K46:K99" si="77">IFERROR(VLOOKUP($B46,RLMLXD,17,0),"")</f>
        <v>0</v>
      </c>
      <c r="L46" s="808" t="str">
        <f t="shared" ref="L46:L99" si="78">IFERROR(VLOOKUP($B46,RLMLXD,18,0),"")</f>
        <v>L</v>
      </c>
      <c r="M46" s="807">
        <f t="shared" ref="M46:M99" si="79">IFERROR(VLOOKUP($B46,RLMLXD,20,0),"")</f>
        <v>0</v>
      </c>
      <c r="N46" s="807">
        <f t="shared" ref="N46:N99" si="80">IFERROR(VLOOKUP($B46,RLMLXD,23,0),"")</f>
        <v>0</v>
      </c>
      <c r="O46" s="808" t="str">
        <f t="shared" ref="O46:O99" si="81">IFERROR(VLOOKUP($B46,RLMLXD,24,0),"")</f>
        <v>L</v>
      </c>
      <c r="P46" s="807">
        <f t="shared" ref="P46:P99" si="82">IFERROR(VLOOKUP($B46,RLMLXD,26,0),"")</f>
        <v>0</v>
      </c>
      <c r="Q46" s="807">
        <f t="shared" ref="Q46:Q99" si="83">IFERROR(VLOOKUP($B46,RLMLXD,29,0),"")</f>
        <v>0</v>
      </c>
      <c r="R46" s="808" t="str">
        <f t="shared" ref="R46:R99" si="84">IFERROR(VLOOKUP($B46,RLMLXD,30,0),"")</f>
        <v>L</v>
      </c>
      <c r="S46" s="807">
        <f t="shared" ref="S46:S99" si="85">IFERROR(VLOOKUP($B46,RLMLXD,32,0),"")</f>
        <v>0</v>
      </c>
      <c r="T46" s="807">
        <f t="shared" ref="T46:T99" si="86">IFERROR(VLOOKUP($B46,RLMLXD,35,0),"")</f>
        <v>0</v>
      </c>
      <c r="U46" s="808" t="str">
        <f t="shared" ref="U46:U99" si="87">IFERROR(VLOOKUP($B46,RLMLXD,36,0),"")</f>
        <v>L</v>
      </c>
      <c r="V46" s="807">
        <f t="shared" ref="V46:V99" si="88">IFERROR(VLOOKUP($B46,RLMLXD,38,0),"")</f>
        <v>0</v>
      </c>
      <c r="W46" s="807">
        <f t="shared" ref="W46:W99" si="89">IFERROR(VLOOKUP($B46,RLMLXD,41,0),"")</f>
        <v>0</v>
      </c>
      <c r="X46" s="808" t="str">
        <f t="shared" ref="X46:X99" si="90">IFERROR(VLOOKUP($B46,RLMLXD,42,0),"")</f>
        <v>L</v>
      </c>
      <c r="Z46" s="822" t="b">
        <f t="shared" si="23"/>
        <v>1</v>
      </c>
      <c r="AA46" s="822" t="b">
        <f t="shared" si="24"/>
        <v>1</v>
      </c>
      <c r="AB46" s="822" t="b">
        <f t="shared" si="25"/>
        <v>1</v>
      </c>
      <c r="AC46" s="822" t="b">
        <f t="shared" si="26"/>
        <v>1</v>
      </c>
      <c r="AD46" s="822" t="b">
        <f t="shared" si="27"/>
        <v>1</v>
      </c>
      <c r="AE46" s="822" t="b">
        <f t="shared" si="28"/>
        <v>1</v>
      </c>
      <c r="AF46" s="822" t="b">
        <f t="shared" si="29"/>
        <v>1</v>
      </c>
      <c r="AG46" s="822" t="b">
        <f t="shared" si="30"/>
        <v>1</v>
      </c>
      <c r="AH46" s="822" t="b">
        <f t="shared" si="31"/>
        <v>1</v>
      </c>
      <c r="AI46" s="822" t="b">
        <f t="shared" si="32"/>
        <v>1</v>
      </c>
      <c r="AJ46" s="822" t="b">
        <f t="shared" si="33"/>
        <v>1</v>
      </c>
      <c r="AK46" s="822" t="b">
        <f t="shared" si="34"/>
        <v>1</v>
      </c>
      <c r="AL46" s="912" t="str">
        <f t="shared" si="35"/>
        <v/>
      </c>
      <c r="AM46" s="913" t="str">
        <f t="shared" si="36"/>
        <v/>
      </c>
      <c r="AN46" s="913" t="str">
        <f t="shared" si="37"/>
        <v/>
      </c>
      <c r="AO46" s="913" t="str">
        <f t="shared" si="38"/>
        <v/>
      </c>
      <c r="AP46" s="913" t="str">
        <f t="shared" si="39"/>
        <v/>
      </c>
      <c r="AQ46" s="913" t="str">
        <f t="shared" si="40"/>
        <v/>
      </c>
      <c r="AR46" s="913" t="str">
        <f t="shared" si="41"/>
        <v/>
      </c>
      <c r="AS46" s="913" t="str">
        <f t="shared" si="42"/>
        <v/>
      </c>
      <c r="AT46" s="913" t="str">
        <f t="shared" si="43"/>
        <v/>
      </c>
      <c r="AU46" s="913" t="str">
        <f t="shared" si="44"/>
        <v/>
      </c>
      <c r="AV46" s="913" t="str">
        <f t="shared" si="45"/>
        <v/>
      </c>
      <c r="AW46" s="914" t="str">
        <f t="shared" si="45"/>
        <v/>
      </c>
    </row>
    <row r="47" spans="1:49">
      <c r="A47" s="823">
        <f t="shared" si="46"/>
        <v>0</v>
      </c>
      <c r="B47" s="327" t="s">
        <v>429</v>
      </c>
      <c r="C47" s="327" t="str">
        <f t="shared" si="69"/>
        <v>Rua acid (2) 鹽酸洗槽</v>
      </c>
      <c r="D47" s="327" t="str">
        <f t="shared" si="70"/>
        <v>CR-000E</v>
      </c>
      <c r="E47" s="327" t="str">
        <f t="shared" si="71"/>
        <v>%</v>
      </c>
      <c r="F47" s="327" t="str">
        <f t="shared" si="72"/>
        <v>10~15%  (12.5%)</v>
      </c>
      <c r="G47" s="812">
        <f t="shared" si="73"/>
        <v>0</v>
      </c>
      <c r="H47" s="812">
        <f t="shared" si="74"/>
        <v>292.1875</v>
      </c>
      <c r="I47" s="817" t="str">
        <f t="shared" si="75"/>
        <v>L</v>
      </c>
      <c r="J47" s="812">
        <f t="shared" si="76"/>
        <v>0</v>
      </c>
      <c r="K47" s="812">
        <f t="shared" si="77"/>
        <v>292.1875</v>
      </c>
      <c r="L47" s="817" t="str">
        <f t="shared" si="78"/>
        <v>L</v>
      </c>
      <c r="M47" s="812">
        <f t="shared" si="79"/>
        <v>0</v>
      </c>
      <c r="N47" s="812">
        <f t="shared" si="80"/>
        <v>292.1875</v>
      </c>
      <c r="O47" s="817" t="str">
        <f t="shared" si="81"/>
        <v>L</v>
      </c>
      <c r="P47" s="812">
        <f t="shared" si="82"/>
        <v>0</v>
      </c>
      <c r="Q47" s="812">
        <f t="shared" si="83"/>
        <v>292.1875</v>
      </c>
      <c r="R47" s="817" t="str">
        <f t="shared" si="84"/>
        <v>L</v>
      </c>
      <c r="S47" s="812">
        <f t="shared" si="85"/>
        <v>0</v>
      </c>
      <c r="T47" s="805">
        <f t="shared" si="86"/>
        <v>292.1875</v>
      </c>
      <c r="U47" s="806" t="str">
        <f t="shared" si="87"/>
        <v>L</v>
      </c>
      <c r="V47" s="812">
        <f t="shared" si="88"/>
        <v>0</v>
      </c>
      <c r="W47" s="805">
        <f t="shared" si="89"/>
        <v>292.1875</v>
      </c>
      <c r="X47" s="806" t="str">
        <f t="shared" si="90"/>
        <v>L</v>
      </c>
      <c r="Z47" s="328" t="b">
        <f t="shared" si="23"/>
        <v>1</v>
      </c>
      <c r="AA47" s="328" t="b">
        <f t="shared" si="24"/>
        <v>1</v>
      </c>
      <c r="AB47" s="328" t="b">
        <f t="shared" si="25"/>
        <v>1</v>
      </c>
      <c r="AC47" s="328" t="b">
        <f t="shared" si="26"/>
        <v>1</v>
      </c>
      <c r="AD47" s="328" t="b">
        <f t="shared" si="27"/>
        <v>1</v>
      </c>
      <c r="AE47" s="328" t="b">
        <f t="shared" si="28"/>
        <v>1</v>
      </c>
      <c r="AF47" s="328" t="b">
        <f t="shared" si="29"/>
        <v>1</v>
      </c>
      <c r="AG47" s="328" t="b">
        <f t="shared" si="30"/>
        <v>1</v>
      </c>
      <c r="AH47" s="328" t="b">
        <f t="shared" si="31"/>
        <v>1</v>
      </c>
      <c r="AI47" s="328" t="b">
        <f t="shared" si="32"/>
        <v>1</v>
      </c>
      <c r="AJ47" s="328" t="b">
        <f t="shared" si="33"/>
        <v>1</v>
      </c>
      <c r="AK47" s="328" t="b">
        <f t="shared" si="34"/>
        <v>1</v>
      </c>
      <c r="AL47" s="838" t="str">
        <f t="shared" si="35"/>
        <v/>
      </c>
      <c r="AM47" s="839" t="str">
        <f t="shared" si="36"/>
        <v/>
      </c>
      <c r="AN47" s="839" t="str">
        <f t="shared" si="37"/>
        <v/>
      </c>
      <c r="AO47" s="839" t="str">
        <f t="shared" si="38"/>
        <v/>
      </c>
      <c r="AP47" s="839" t="str">
        <f t="shared" si="39"/>
        <v/>
      </c>
      <c r="AQ47" s="839" t="str">
        <f t="shared" si="40"/>
        <v/>
      </c>
      <c r="AR47" s="839" t="str">
        <f t="shared" si="41"/>
        <v/>
      </c>
      <c r="AS47" s="839" t="str">
        <f t="shared" si="42"/>
        <v/>
      </c>
      <c r="AT47" s="839" t="str">
        <f t="shared" si="43"/>
        <v/>
      </c>
      <c r="AU47" s="839" t="str">
        <f t="shared" si="44"/>
        <v/>
      </c>
      <c r="AV47" s="839" t="str">
        <f t="shared" si="45"/>
        <v/>
      </c>
      <c r="AW47" s="843" t="str">
        <f t="shared" si="45"/>
        <v/>
      </c>
    </row>
    <row r="48" spans="1:49">
      <c r="A48" s="823">
        <f t="shared" si="46"/>
        <v>0</v>
      </c>
      <c r="B48" s="327" t="s">
        <v>430</v>
      </c>
      <c r="C48" s="327" t="str">
        <f t="shared" si="69"/>
        <v>Muối axit Phosphoric  (TA)
磷酸鹽</v>
      </c>
      <c r="D48" s="327" t="str">
        <f t="shared" si="70"/>
        <v>CR-000E</v>
      </c>
      <c r="E48" s="327" t="str">
        <f t="shared" si="71"/>
        <v>Point</v>
      </c>
      <c r="F48" s="327" t="str">
        <f t="shared" si="72"/>
        <v>Tổng chua TA 全酸
40~60 (50)</v>
      </c>
      <c r="G48" s="812">
        <f t="shared" si="73"/>
        <v>0</v>
      </c>
      <c r="H48" s="812">
        <f t="shared" si="74"/>
        <v>0</v>
      </c>
      <c r="I48" s="817" t="str">
        <f t="shared" si="75"/>
        <v>kg</v>
      </c>
      <c r="J48" s="812">
        <f t="shared" si="76"/>
        <v>0</v>
      </c>
      <c r="K48" s="812">
        <f t="shared" si="77"/>
        <v>0</v>
      </c>
      <c r="L48" s="817" t="str">
        <f t="shared" si="78"/>
        <v>kg</v>
      </c>
      <c r="M48" s="812">
        <f t="shared" si="79"/>
        <v>0</v>
      </c>
      <c r="N48" s="812">
        <f t="shared" si="80"/>
        <v>0</v>
      </c>
      <c r="O48" s="817" t="str">
        <f t="shared" si="81"/>
        <v>kg</v>
      </c>
      <c r="P48" s="812">
        <f t="shared" si="82"/>
        <v>0</v>
      </c>
      <c r="Q48" s="812">
        <f t="shared" si="83"/>
        <v>0</v>
      </c>
      <c r="R48" s="817" t="str">
        <f t="shared" si="84"/>
        <v>kg</v>
      </c>
      <c r="S48" s="812">
        <f t="shared" si="85"/>
        <v>0</v>
      </c>
      <c r="T48" s="805">
        <f t="shared" si="86"/>
        <v>0</v>
      </c>
      <c r="U48" s="806" t="str">
        <f t="shared" si="87"/>
        <v>kg</v>
      </c>
      <c r="V48" s="812">
        <f t="shared" si="88"/>
        <v>0</v>
      </c>
      <c r="W48" s="805">
        <f t="shared" si="89"/>
        <v>0</v>
      </c>
      <c r="X48" s="806" t="str">
        <f t="shared" si="90"/>
        <v>kg</v>
      </c>
      <c r="Z48" s="328" t="b">
        <f t="shared" si="23"/>
        <v>1</v>
      </c>
      <c r="AA48" s="328" t="b">
        <f t="shared" si="24"/>
        <v>1</v>
      </c>
      <c r="AB48" s="328" t="b">
        <f t="shared" si="25"/>
        <v>1</v>
      </c>
      <c r="AC48" s="328" t="b">
        <f t="shared" si="26"/>
        <v>1</v>
      </c>
      <c r="AD48" s="328" t="b">
        <f t="shared" si="27"/>
        <v>1</v>
      </c>
      <c r="AE48" s="328" t="b">
        <f t="shared" si="28"/>
        <v>1</v>
      </c>
      <c r="AF48" s="328" t="b">
        <f t="shared" si="29"/>
        <v>1</v>
      </c>
      <c r="AG48" s="328" t="b">
        <f t="shared" si="30"/>
        <v>1</v>
      </c>
      <c r="AH48" s="328" t="b">
        <f t="shared" si="31"/>
        <v>1</v>
      </c>
      <c r="AI48" s="328" t="b">
        <f t="shared" si="32"/>
        <v>1</v>
      </c>
      <c r="AJ48" s="328" t="b">
        <f t="shared" si="33"/>
        <v>1</v>
      </c>
      <c r="AK48" s="328" t="b">
        <f t="shared" si="34"/>
        <v>1</v>
      </c>
      <c r="AL48" s="838" t="str">
        <f t="shared" si="35"/>
        <v/>
      </c>
      <c r="AM48" s="839" t="str">
        <f t="shared" si="36"/>
        <v/>
      </c>
      <c r="AN48" s="839" t="str">
        <f t="shared" si="37"/>
        <v/>
      </c>
      <c r="AO48" s="839" t="str">
        <f t="shared" si="38"/>
        <v/>
      </c>
      <c r="AP48" s="839" t="str">
        <f t="shared" si="39"/>
        <v/>
      </c>
      <c r="AQ48" s="839" t="str">
        <f t="shared" si="40"/>
        <v/>
      </c>
      <c r="AR48" s="839" t="str">
        <f t="shared" si="41"/>
        <v/>
      </c>
      <c r="AS48" s="839" t="str">
        <f t="shared" si="42"/>
        <v/>
      </c>
      <c r="AT48" s="839" t="str">
        <f t="shared" si="43"/>
        <v/>
      </c>
      <c r="AU48" s="839" t="str">
        <f t="shared" si="44"/>
        <v/>
      </c>
      <c r="AV48" s="839" t="str">
        <f t="shared" si="45"/>
        <v/>
      </c>
      <c r="AW48" s="843" t="str">
        <f t="shared" si="45"/>
        <v/>
      </c>
    </row>
    <row r="49" spans="1:49">
      <c r="A49" s="823">
        <f t="shared" si="46"/>
        <v>0</v>
      </c>
      <c r="B49" s="327" t="s">
        <v>433</v>
      </c>
      <c r="C49" s="327" t="str">
        <f t="shared" si="69"/>
        <v>Muối axit Phosphoric  (tỷ lệ axit)
磷酸鹽</v>
      </c>
      <c r="D49" s="327" t="str">
        <f t="shared" si="70"/>
        <v>CR-000E</v>
      </c>
      <c r="E49" s="327" t="str">
        <f t="shared" si="71"/>
        <v>Point</v>
      </c>
      <c r="F49" s="327" t="str">
        <f t="shared" si="72"/>
        <v>tỷ lệ axit  酸比 
5.2~7.8 (6.5)</v>
      </c>
      <c r="G49" s="812">
        <f t="shared" si="73"/>
        <v>0</v>
      </c>
      <c r="H49" s="812">
        <f t="shared" si="74"/>
        <v>0</v>
      </c>
      <c r="I49" s="817" t="str">
        <f t="shared" si="75"/>
        <v>kg</v>
      </c>
      <c r="J49" s="812">
        <f t="shared" si="76"/>
        <v>0</v>
      </c>
      <c r="K49" s="812">
        <f t="shared" si="77"/>
        <v>0</v>
      </c>
      <c r="L49" s="817" t="str">
        <f t="shared" si="78"/>
        <v>kg</v>
      </c>
      <c r="M49" s="812">
        <f t="shared" si="79"/>
        <v>0</v>
      </c>
      <c r="N49" s="812">
        <f t="shared" si="80"/>
        <v>0</v>
      </c>
      <c r="O49" s="817" t="str">
        <f t="shared" si="81"/>
        <v>kg</v>
      </c>
      <c r="P49" s="812">
        <f t="shared" si="82"/>
        <v>0</v>
      </c>
      <c r="Q49" s="812">
        <f t="shared" si="83"/>
        <v>0</v>
      </c>
      <c r="R49" s="817" t="str">
        <f t="shared" si="84"/>
        <v>kg</v>
      </c>
      <c r="S49" s="812">
        <f t="shared" si="85"/>
        <v>0</v>
      </c>
      <c r="T49" s="805">
        <f t="shared" si="86"/>
        <v>0</v>
      </c>
      <c r="U49" s="806" t="str">
        <f t="shared" si="87"/>
        <v>kg</v>
      </c>
      <c r="V49" s="812">
        <f t="shared" si="88"/>
        <v>0</v>
      </c>
      <c r="W49" s="805">
        <f t="shared" si="89"/>
        <v>0</v>
      </c>
      <c r="X49" s="806" t="str">
        <f t="shared" si="90"/>
        <v>kg</v>
      </c>
      <c r="Z49" s="328" t="b">
        <f t="shared" si="23"/>
        <v>1</v>
      </c>
      <c r="AA49" s="328" t="b">
        <f t="shared" si="24"/>
        <v>1</v>
      </c>
      <c r="AB49" s="328" t="b">
        <f t="shared" si="25"/>
        <v>1</v>
      </c>
      <c r="AC49" s="328" t="b">
        <f t="shared" si="26"/>
        <v>1</v>
      </c>
      <c r="AD49" s="328" t="b">
        <f t="shared" si="27"/>
        <v>1</v>
      </c>
      <c r="AE49" s="328" t="b">
        <f t="shared" si="28"/>
        <v>1</v>
      </c>
      <c r="AF49" s="328" t="b">
        <f t="shared" si="29"/>
        <v>1</v>
      </c>
      <c r="AG49" s="328" t="b">
        <f t="shared" si="30"/>
        <v>1</v>
      </c>
      <c r="AH49" s="328" t="b">
        <f t="shared" si="31"/>
        <v>1</v>
      </c>
      <c r="AI49" s="328" t="b">
        <f t="shared" si="32"/>
        <v>1</v>
      </c>
      <c r="AJ49" s="328" t="b">
        <f t="shared" si="33"/>
        <v>1</v>
      </c>
      <c r="AK49" s="328" t="b">
        <f t="shared" si="34"/>
        <v>1</v>
      </c>
      <c r="AL49" s="838" t="str">
        <f t="shared" si="35"/>
        <v/>
      </c>
      <c r="AM49" s="839" t="str">
        <f t="shared" si="36"/>
        <v/>
      </c>
      <c r="AN49" s="839" t="str">
        <f t="shared" si="37"/>
        <v/>
      </c>
      <c r="AO49" s="839" t="str">
        <f t="shared" si="38"/>
        <v/>
      </c>
      <c r="AP49" s="839" t="str">
        <f t="shared" si="39"/>
        <v/>
      </c>
      <c r="AQ49" s="839" t="str">
        <f t="shared" si="40"/>
        <v/>
      </c>
      <c r="AR49" s="839" t="str">
        <f t="shared" si="41"/>
        <v/>
      </c>
      <c r="AS49" s="839" t="str">
        <f t="shared" si="42"/>
        <v/>
      </c>
      <c r="AT49" s="839" t="str">
        <f t="shared" si="43"/>
        <v/>
      </c>
      <c r="AU49" s="839" t="str">
        <f t="shared" si="44"/>
        <v/>
      </c>
      <c r="AV49" s="839" t="str">
        <f t="shared" si="45"/>
        <v/>
      </c>
      <c r="AW49" s="843" t="str">
        <f t="shared" si="45"/>
        <v/>
      </c>
    </row>
    <row r="50" spans="1:49">
      <c r="A50" s="823">
        <f t="shared" si="46"/>
        <v>0</v>
      </c>
      <c r="B50" s="327" t="s">
        <v>434</v>
      </c>
      <c r="C50" s="327" t="str">
        <f t="shared" si="69"/>
        <v>Muối axit Phosphoric (Fe phân ly) 
磷酸鹽</v>
      </c>
      <c r="D50" s="327" t="str">
        <f t="shared" si="70"/>
        <v>CR-000E</v>
      </c>
      <c r="E50" s="327" t="str">
        <f t="shared" si="71"/>
        <v>Point</v>
      </c>
      <c r="F50" s="327" t="str">
        <f t="shared" si="72"/>
        <v xml:space="preserve">Fe phân ly &lt;0.4
 鐵離子&lt;0.4
</v>
      </c>
      <c r="G50" s="812">
        <f t="shared" si="73"/>
        <v>0</v>
      </c>
      <c r="H50" s="812">
        <f>IFERROR(VLOOKUP($B50,RLMLXD,11,0),"")</f>
        <v>0</v>
      </c>
      <c r="I50" s="817">
        <f t="shared" si="75"/>
        <v>0</v>
      </c>
      <c r="J50" s="812">
        <f t="shared" si="76"/>
        <v>0</v>
      </c>
      <c r="K50" s="812">
        <f t="shared" si="77"/>
        <v>0</v>
      </c>
      <c r="L50" s="817">
        <f t="shared" si="78"/>
        <v>0</v>
      </c>
      <c r="M50" s="812">
        <f t="shared" si="79"/>
        <v>0</v>
      </c>
      <c r="N50" s="812">
        <f t="shared" si="80"/>
        <v>0</v>
      </c>
      <c r="O50" s="817">
        <f t="shared" si="81"/>
        <v>0</v>
      </c>
      <c r="P50" s="812">
        <f t="shared" si="82"/>
        <v>0</v>
      </c>
      <c r="Q50" s="812">
        <f t="shared" si="83"/>
        <v>0</v>
      </c>
      <c r="R50" s="817">
        <f t="shared" si="84"/>
        <v>0</v>
      </c>
      <c r="S50" s="812">
        <f t="shared" si="85"/>
        <v>0</v>
      </c>
      <c r="T50" s="805">
        <f t="shared" si="86"/>
        <v>0</v>
      </c>
      <c r="U50" s="806">
        <f t="shared" si="87"/>
        <v>0</v>
      </c>
      <c r="V50" s="812">
        <f t="shared" si="88"/>
        <v>0</v>
      </c>
      <c r="W50" s="805">
        <f t="shared" si="89"/>
        <v>0</v>
      </c>
      <c r="X50" s="806">
        <f t="shared" si="90"/>
        <v>0</v>
      </c>
      <c r="Z50" s="328" t="b">
        <f t="shared" si="23"/>
        <v>1</v>
      </c>
      <c r="AA50" s="328" t="b">
        <f t="shared" si="24"/>
        <v>1</v>
      </c>
      <c r="AB50" s="328" t="b">
        <f t="shared" si="25"/>
        <v>1</v>
      </c>
      <c r="AC50" s="328" t="b">
        <f t="shared" si="26"/>
        <v>1</v>
      </c>
      <c r="AD50" s="328" t="b">
        <f t="shared" si="27"/>
        <v>1</v>
      </c>
      <c r="AE50" s="328" t="b">
        <f t="shared" si="28"/>
        <v>1</v>
      </c>
      <c r="AF50" s="328" t="b">
        <f t="shared" si="29"/>
        <v>1</v>
      </c>
      <c r="AG50" s="328" t="b">
        <f t="shared" si="30"/>
        <v>1</v>
      </c>
      <c r="AH50" s="328" t="b">
        <f t="shared" si="31"/>
        <v>1</v>
      </c>
      <c r="AI50" s="328" t="b">
        <f t="shared" si="32"/>
        <v>1</v>
      </c>
      <c r="AJ50" s="328" t="b">
        <f t="shared" si="33"/>
        <v>1</v>
      </c>
      <c r="AK50" s="328" t="b">
        <f t="shared" si="34"/>
        <v>1</v>
      </c>
      <c r="AL50" s="838" t="str">
        <f t="shared" si="35"/>
        <v/>
      </c>
      <c r="AM50" s="839" t="str">
        <f t="shared" si="36"/>
        <v/>
      </c>
      <c r="AN50" s="839" t="str">
        <f t="shared" si="37"/>
        <v/>
      </c>
      <c r="AO50" s="839" t="str">
        <f t="shared" si="38"/>
        <v/>
      </c>
      <c r="AP50" s="839" t="str">
        <f t="shared" si="39"/>
        <v/>
      </c>
      <c r="AQ50" s="839" t="str">
        <f t="shared" si="40"/>
        <v/>
      </c>
      <c r="AR50" s="839" t="str">
        <f t="shared" si="41"/>
        <v/>
      </c>
      <c r="AS50" s="839" t="str">
        <f t="shared" si="42"/>
        <v/>
      </c>
      <c r="AT50" s="839" t="str">
        <f t="shared" si="43"/>
        <v/>
      </c>
      <c r="AU50" s="839" t="str">
        <f t="shared" si="44"/>
        <v/>
      </c>
      <c r="AV50" s="839" t="str">
        <f t="shared" si="45"/>
        <v/>
      </c>
      <c r="AW50" s="843" t="str">
        <f t="shared" si="45"/>
        <v/>
      </c>
    </row>
    <row r="51" spans="1:49">
      <c r="A51" s="823">
        <f t="shared" si="46"/>
        <v>0</v>
      </c>
      <c r="B51" s="327" t="s">
        <v>436</v>
      </c>
      <c r="C51" s="327" t="str">
        <f t="shared" si="69"/>
        <v>Muối axit Phosphoric  (TA)
磷酸鹽</v>
      </c>
      <c r="D51" s="327" t="str">
        <f t="shared" si="70"/>
        <v>CR-000E</v>
      </c>
      <c r="E51" s="327" t="str">
        <f t="shared" si="71"/>
        <v>Point</v>
      </c>
      <c r="F51" s="327" t="str">
        <f t="shared" si="72"/>
        <v>Tổng chua TA 全酸
40~60 (50)</v>
      </c>
      <c r="G51" s="812">
        <f t="shared" si="73"/>
        <v>0</v>
      </c>
      <c r="H51" s="812">
        <f t="shared" si="74"/>
        <v>0</v>
      </c>
      <c r="I51" s="817" t="str">
        <f t="shared" si="75"/>
        <v>kg</v>
      </c>
      <c r="J51" s="812">
        <f t="shared" si="76"/>
        <v>0</v>
      </c>
      <c r="K51" s="812">
        <f t="shared" si="77"/>
        <v>0</v>
      </c>
      <c r="L51" s="817" t="str">
        <f t="shared" si="78"/>
        <v>kg</v>
      </c>
      <c r="M51" s="812">
        <f t="shared" si="79"/>
        <v>0</v>
      </c>
      <c r="N51" s="812">
        <f t="shared" si="80"/>
        <v>0</v>
      </c>
      <c r="O51" s="817" t="str">
        <f t="shared" si="81"/>
        <v>kg</v>
      </c>
      <c r="P51" s="812">
        <f t="shared" si="82"/>
        <v>0</v>
      </c>
      <c r="Q51" s="812">
        <f t="shared" si="83"/>
        <v>0</v>
      </c>
      <c r="R51" s="817" t="str">
        <f t="shared" si="84"/>
        <v>kg</v>
      </c>
      <c r="S51" s="812">
        <f t="shared" si="85"/>
        <v>0</v>
      </c>
      <c r="T51" s="805">
        <f t="shared" si="86"/>
        <v>0</v>
      </c>
      <c r="U51" s="806" t="str">
        <f t="shared" si="87"/>
        <v>kg</v>
      </c>
      <c r="V51" s="812">
        <f t="shared" si="88"/>
        <v>0</v>
      </c>
      <c r="W51" s="805">
        <f t="shared" si="89"/>
        <v>0</v>
      </c>
      <c r="X51" s="806" t="str">
        <f t="shared" si="90"/>
        <v>kg</v>
      </c>
      <c r="Z51" s="328" t="b">
        <f t="shared" si="23"/>
        <v>1</v>
      </c>
      <c r="AA51" s="328" t="b">
        <f t="shared" si="24"/>
        <v>1</v>
      </c>
      <c r="AB51" s="328" t="b">
        <f t="shared" si="25"/>
        <v>1</v>
      </c>
      <c r="AC51" s="328" t="b">
        <f t="shared" si="26"/>
        <v>1</v>
      </c>
      <c r="AD51" s="328" t="b">
        <f t="shared" si="27"/>
        <v>1</v>
      </c>
      <c r="AE51" s="328" t="b">
        <f t="shared" si="28"/>
        <v>1</v>
      </c>
      <c r="AF51" s="328" t="b">
        <f t="shared" si="29"/>
        <v>1</v>
      </c>
      <c r="AG51" s="328" t="b">
        <f t="shared" si="30"/>
        <v>1</v>
      </c>
      <c r="AH51" s="328" t="b">
        <f t="shared" si="31"/>
        <v>1</v>
      </c>
      <c r="AI51" s="328" t="b">
        <f t="shared" si="32"/>
        <v>1</v>
      </c>
      <c r="AJ51" s="328" t="b">
        <f t="shared" si="33"/>
        <v>1</v>
      </c>
      <c r="AK51" s="328" t="b">
        <f t="shared" si="34"/>
        <v>1</v>
      </c>
      <c r="AL51" s="838" t="str">
        <f t="shared" si="35"/>
        <v/>
      </c>
      <c r="AM51" s="839" t="str">
        <f t="shared" si="36"/>
        <v/>
      </c>
      <c r="AN51" s="839" t="str">
        <f t="shared" si="37"/>
        <v/>
      </c>
      <c r="AO51" s="839" t="str">
        <f t="shared" si="38"/>
        <v/>
      </c>
      <c r="AP51" s="839" t="str">
        <f t="shared" si="39"/>
        <v/>
      </c>
      <c r="AQ51" s="839" t="str">
        <f t="shared" si="40"/>
        <v/>
      </c>
      <c r="AR51" s="839" t="str">
        <f t="shared" si="41"/>
        <v/>
      </c>
      <c r="AS51" s="839" t="str">
        <f t="shared" si="42"/>
        <v/>
      </c>
      <c r="AT51" s="839" t="str">
        <f t="shared" si="43"/>
        <v/>
      </c>
      <c r="AU51" s="839" t="str">
        <f t="shared" si="44"/>
        <v/>
      </c>
      <c r="AV51" s="839" t="str">
        <f t="shared" si="45"/>
        <v/>
      </c>
      <c r="AW51" s="843" t="str">
        <f t="shared" si="45"/>
        <v/>
      </c>
    </row>
    <row r="52" spans="1:49">
      <c r="A52" s="823">
        <f t="shared" si="46"/>
        <v>0</v>
      </c>
      <c r="B52" s="327" t="s">
        <v>438</v>
      </c>
      <c r="C52" s="327" t="str">
        <f t="shared" si="69"/>
        <v>Muối axit Phosphoric  (tỷ lệ axit)
磷酸鹽</v>
      </c>
      <c r="D52" s="327" t="str">
        <f t="shared" si="70"/>
        <v>CR-000E</v>
      </c>
      <c r="E52" s="327" t="str">
        <f t="shared" si="71"/>
        <v>Point</v>
      </c>
      <c r="F52" s="327" t="str">
        <f t="shared" si="72"/>
        <v>tỷ lệ axit  酸比 
5.2~7.8 (6.5)</v>
      </c>
      <c r="G52" s="812">
        <f t="shared" si="73"/>
        <v>0</v>
      </c>
      <c r="H52" s="812">
        <f t="shared" si="74"/>
        <v>0</v>
      </c>
      <c r="I52" s="817" t="str">
        <f t="shared" si="75"/>
        <v>kg</v>
      </c>
      <c r="J52" s="812">
        <f t="shared" si="76"/>
        <v>0</v>
      </c>
      <c r="K52" s="812">
        <f t="shared" si="77"/>
        <v>0</v>
      </c>
      <c r="L52" s="817" t="str">
        <f t="shared" si="78"/>
        <v>kg</v>
      </c>
      <c r="M52" s="812">
        <f t="shared" si="79"/>
        <v>0</v>
      </c>
      <c r="N52" s="812">
        <f t="shared" si="80"/>
        <v>0</v>
      </c>
      <c r="O52" s="817" t="str">
        <f t="shared" si="81"/>
        <v>kg</v>
      </c>
      <c r="P52" s="812">
        <f t="shared" si="82"/>
        <v>0</v>
      </c>
      <c r="Q52" s="812">
        <f t="shared" si="83"/>
        <v>0</v>
      </c>
      <c r="R52" s="817" t="str">
        <f t="shared" si="84"/>
        <v>kg</v>
      </c>
      <c r="S52" s="812">
        <f t="shared" si="85"/>
        <v>0</v>
      </c>
      <c r="T52" s="805">
        <f t="shared" si="86"/>
        <v>0</v>
      </c>
      <c r="U52" s="806" t="str">
        <f t="shared" si="87"/>
        <v>kg</v>
      </c>
      <c r="V52" s="812">
        <f t="shared" si="88"/>
        <v>0</v>
      </c>
      <c r="W52" s="805">
        <f t="shared" si="89"/>
        <v>0</v>
      </c>
      <c r="X52" s="806" t="str">
        <f t="shared" si="90"/>
        <v>kg</v>
      </c>
      <c r="Z52" s="328" t="b">
        <f t="shared" si="23"/>
        <v>1</v>
      </c>
      <c r="AA52" s="328" t="b">
        <f t="shared" si="24"/>
        <v>1</v>
      </c>
      <c r="AB52" s="328" t="b">
        <f t="shared" si="25"/>
        <v>1</v>
      </c>
      <c r="AC52" s="328" t="b">
        <f t="shared" si="26"/>
        <v>1</v>
      </c>
      <c r="AD52" s="328" t="b">
        <f t="shared" si="27"/>
        <v>1</v>
      </c>
      <c r="AE52" s="328" t="b">
        <f t="shared" si="28"/>
        <v>1</v>
      </c>
      <c r="AF52" s="328" t="b">
        <f t="shared" si="29"/>
        <v>1</v>
      </c>
      <c r="AG52" s="328" t="b">
        <f t="shared" si="30"/>
        <v>1</v>
      </c>
      <c r="AH52" s="328" t="b">
        <f t="shared" si="31"/>
        <v>1</v>
      </c>
      <c r="AI52" s="328" t="b">
        <f t="shared" si="32"/>
        <v>1</v>
      </c>
      <c r="AJ52" s="328" t="b">
        <f t="shared" si="33"/>
        <v>1</v>
      </c>
      <c r="AK52" s="328" t="b">
        <f t="shared" si="34"/>
        <v>1</v>
      </c>
      <c r="AL52" s="838" t="str">
        <f t="shared" si="35"/>
        <v/>
      </c>
      <c r="AM52" s="839" t="str">
        <f t="shared" si="36"/>
        <v/>
      </c>
      <c r="AN52" s="839" t="str">
        <f t="shared" si="37"/>
        <v/>
      </c>
      <c r="AO52" s="839" t="str">
        <f t="shared" si="38"/>
        <v/>
      </c>
      <c r="AP52" s="839" t="str">
        <f t="shared" si="39"/>
        <v/>
      </c>
      <c r="AQ52" s="839" t="str">
        <f t="shared" si="40"/>
        <v/>
      </c>
      <c r="AR52" s="839" t="str">
        <f t="shared" si="41"/>
        <v/>
      </c>
      <c r="AS52" s="839" t="str">
        <f t="shared" si="42"/>
        <v/>
      </c>
      <c r="AT52" s="839" t="str">
        <f t="shared" si="43"/>
        <v/>
      </c>
      <c r="AU52" s="839" t="str">
        <f t="shared" si="44"/>
        <v/>
      </c>
      <c r="AV52" s="839" t="str">
        <f t="shared" si="45"/>
        <v/>
      </c>
      <c r="AW52" s="843" t="str">
        <f t="shared" si="45"/>
        <v/>
      </c>
    </row>
    <row r="53" spans="1:49">
      <c r="A53" s="823">
        <f t="shared" si="46"/>
        <v>0</v>
      </c>
      <c r="B53" s="327" t="s">
        <v>439</v>
      </c>
      <c r="C53" s="327" t="str">
        <f t="shared" si="69"/>
        <v>Muối axit Phosphoric (Fe phân ly) 
磷酸鹽</v>
      </c>
      <c r="D53" s="327" t="str">
        <f t="shared" si="70"/>
        <v>CR-000E</v>
      </c>
      <c r="E53" s="327" t="str">
        <f t="shared" si="71"/>
        <v>Point</v>
      </c>
      <c r="F53" s="327" t="str">
        <f t="shared" si="72"/>
        <v xml:space="preserve">Fe phân ly &lt;0.4
 鐵離子&lt;0.4
</v>
      </c>
      <c r="G53" s="812">
        <f t="shared" si="73"/>
        <v>0</v>
      </c>
      <c r="H53" s="812">
        <f t="shared" si="74"/>
        <v>0</v>
      </c>
      <c r="I53" s="817">
        <f t="shared" si="75"/>
        <v>0</v>
      </c>
      <c r="J53" s="812">
        <f t="shared" si="76"/>
        <v>0</v>
      </c>
      <c r="K53" s="812">
        <f t="shared" si="77"/>
        <v>0</v>
      </c>
      <c r="L53" s="817">
        <f t="shared" si="78"/>
        <v>0</v>
      </c>
      <c r="M53" s="812">
        <f t="shared" si="79"/>
        <v>0</v>
      </c>
      <c r="N53" s="812">
        <f t="shared" si="80"/>
        <v>0</v>
      </c>
      <c r="O53" s="817">
        <f t="shared" si="81"/>
        <v>0</v>
      </c>
      <c r="P53" s="812">
        <f t="shared" si="82"/>
        <v>0</v>
      </c>
      <c r="Q53" s="812">
        <f t="shared" si="83"/>
        <v>0</v>
      </c>
      <c r="R53" s="817">
        <f t="shared" si="84"/>
        <v>0</v>
      </c>
      <c r="S53" s="812">
        <f t="shared" si="85"/>
        <v>0</v>
      </c>
      <c r="T53" s="805">
        <f t="shared" si="86"/>
        <v>0</v>
      </c>
      <c r="U53" s="806">
        <f t="shared" si="87"/>
        <v>0</v>
      </c>
      <c r="V53" s="812">
        <f t="shared" si="88"/>
        <v>0</v>
      </c>
      <c r="W53" s="805">
        <f t="shared" si="89"/>
        <v>0</v>
      </c>
      <c r="X53" s="806">
        <f t="shared" si="90"/>
        <v>0</v>
      </c>
      <c r="Z53" s="328" t="b">
        <f t="shared" si="23"/>
        <v>1</v>
      </c>
      <c r="AA53" s="328" t="b">
        <f t="shared" si="24"/>
        <v>1</v>
      </c>
      <c r="AB53" s="328" t="b">
        <f t="shared" si="25"/>
        <v>1</v>
      </c>
      <c r="AC53" s="328" t="b">
        <f t="shared" si="26"/>
        <v>1</v>
      </c>
      <c r="AD53" s="328" t="b">
        <f t="shared" si="27"/>
        <v>1</v>
      </c>
      <c r="AE53" s="328" t="b">
        <f t="shared" si="28"/>
        <v>1</v>
      </c>
      <c r="AF53" s="328" t="b">
        <f t="shared" si="29"/>
        <v>1</v>
      </c>
      <c r="AG53" s="328" t="b">
        <f t="shared" si="30"/>
        <v>1</v>
      </c>
      <c r="AH53" s="328" t="b">
        <f t="shared" si="31"/>
        <v>1</v>
      </c>
      <c r="AI53" s="328" t="b">
        <f t="shared" si="32"/>
        <v>1</v>
      </c>
      <c r="AJ53" s="328" t="b">
        <f t="shared" si="33"/>
        <v>1</v>
      </c>
      <c r="AK53" s="328" t="b">
        <f t="shared" si="34"/>
        <v>1</v>
      </c>
      <c r="AL53" s="838" t="str">
        <f t="shared" si="35"/>
        <v/>
      </c>
      <c r="AM53" s="839" t="str">
        <f t="shared" si="36"/>
        <v/>
      </c>
      <c r="AN53" s="839" t="str">
        <f t="shared" si="37"/>
        <v/>
      </c>
      <c r="AO53" s="839" t="str">
        <f t="shared" si="38"/>
        <v/>
      </c>
      <c r="AP53" s="839" t="str">
        <f t="shared" si="39"/>
        <v/>
      </c>
      <c r="AQ53" s="839" t="str">
        <f t="shared" si="40"/>
        <v/>
      </c>
      <c r="AR53" s="839" t="str">
        <f t="shared" si="41"/>
        <v/>
      </c>
      <c r="AS53" s="839" t="str">
        <f t="shared" si="42"/>
        <v/>
      </c>
      <c r="AT53" s="839" t="str">
        <f t="shared" si="43"/>
        <v/>
      </c>
      <c r="AU53" s="839" t="str">
        <f t="shared" si="44"/>
        <v/>
      </c>
      <c r="AV53" s="839" t="str">
        <f t="shared" si="45"/>
        <v/>
      </c>
      <c r="AW53" s="843" t="str">
        <f t="shared" si="45"/>
        <v/>
      </c>
    </row>
    <row r="54" spans="1:49">
      <c r="A54" s="823">
        <f t="shared" si="46"/>
        <v>0</v>
      </c>
      <c r="B54" s="327" t="s">
        <v>440</v>
      </c>
      <c r="C54" s="327" t="str">
        <f t="shared" si="69"/>
        <v>Xà bông bôi trơn
潤滑皂</v>
      </c>
      <c r="D54" s="327" t="str">
        <f t="shared" si="70"/>
        <v>CR-000E</v>
      </c>
      <c r="E54" s="327" t="str">
        <f t="shared" si="71"/>
        <v>Point</v>
      </c>
      <c r="F54" s="327" t="str">
        <f t="shared" si="72"/>
        <v>0.8~1.2</v>
      </c>
      <c r="G54" s="812">
        <f t="shared" si="73"/>
        <v>0</v>
      </c>
      <c r="H54" s="812">
        <f t="shared" si="74"/>
        <v>0</v>
      </c>
      <c r="I54" s="817" t="str">
        <f t="shared" si="75"/>
        <v>kg</v>
      </c>
      <c r="J54" s="812">
        <f t="shared" si="76"/>
        <v>0</v>
      </c>
      <c r="K54" s="812">
        <f t="shared" si="77"/>
        <v>0</v>
      </c>
      <c r="L54" s="817" t="str">
        <f t="shared" si="78"/>
        <v>kg</v>
      </c>
      <c r="M54" s="812">
        <f t="shared" si="79"/>
        <v>0</v>
      </c>
      <c r="N54" s="812">
        <f t="shared" si="80"/>
        <v>0</v>
      </c>
      <c r="O54" s="817" t="str">
        <f t="shared" si="81"/>
        <v>kg</v>
      </c>
      <c r="P54" s="812">
        <f t="shared" si="82"/>
        <v>0</v>
      </c>
      <c r="Q54" s="812">
        <f t="shared" si="83"/>
        <v>0</v>
      </c>
      <c r="R54" s="817" t="str">
        <f t="shared" si="84"/>
        <v>kg</v>
      </c>
      <c r="S54" s="812">
        <f t="shared" si="85"/>
        <v>0</v>
      </c>
      <c r="T54" s="805">
        <f t="shared" si="86"/>
        <v>0</v>
      </c>
      <c r="U54" s="806" t="str">
        <f t="shared" si="87"/>
        <v>kg</v>
      </c>
      <c r="V54" s="812">
        <f t="shared" si="88"/>
        <v>0</v>
      </c>
      <c r="W54" s="805">
        <f t="shared" si="89"/>
        <v>0</v>
      </c>
      <c r="X54" s="806" t="str">
        <f t="shared" si="90"/>
        <v>kg</v>
      </c>
      <c r="Z54" s="328" t="b">
        <f t="shared" si="23"/>
        <v>1</v>
      </c>
      <c r="AA54" s="328" t="b">
        <f t="shared" si="24"/>
        <v>1</v>
      </c>
      <c r="AB54" s="328" t="b">
        <f t="shared" si="25"/>
        <v>1</v>
      </c>
      <c r="AC54" s="328" t="b">
        <f t="shared" si="26"/>
        <v>1</v>
      </c>
      <c r="AD54" s="328" t="b">
        <f t="shared" si="27"/>
        <v>1</v>
      </c>
      <c r="AE54" s="328" t="b">
        <f t="shared" si="28"/>
        <v>1</v>
      </c>
      <c r="AF54" s="328" t="b">
        <f t="shared" si="29"/>
        <v>1</v>
      </c>
      <c r="AG54" s="328" t="b">
        <f t="shared" si="30"/>
        <v>1</v>
      </c>
      <c r="AH54" s="328" t="b">
        <f t="shared" si="31"/>
        <v>1</v>
      </c>
      <c r="AI54" s="328" t="b">
        <f t="shared" si="32"/>
        <v>1</v>
      </c>
      <c r="AJ54" s="328" t="b">
        <f t="shared" si="33"/>
        <v>1</v>
      </c>
      <c r="AK54" s="328" t="b">
        <f t="shared" si="34"/>
        <v>1</v>
      </c>
      <c r="AL54" s="838" t="str">
        <f t="shared" si="35"/>
        <v/>
      </c>
      <c r="AM54" s="839" t="str">
        <f t="shared" si="36"/>
        <v/>
      </c>
      <c r="AN54" s="839" t="str">
        <f t="shared" si="37"/>
        <v/>
      </c>
      <c r="AO54" s="839" t="str">
        <f t="shared" si="38"/>
        <v/>
      </c>
      <c r="AP54" s="839" t="str">
        <f t="shared" si="39"/>
        <v/>
      </c>
      <c r="AQ54" s="839" t="str">
        <f t="shared" si="40"/>
        <v/>
      </c>
      <c r="AR54" s="839" t="str">
        <f t="shared" si="41"/>
        <v/>
      </c>
      <c r="AS54" s="839" t="str">
        <f t="shared" si="42"/>
        <v/>
      </c>
      <c r="AT54" s="839" t="str">
        <f t="shared" si="43"/>
        <v/>
      </c>
      <c r="AU54" s="839" t="str">
        <f t="shared" si="44"/>
        <v/>
      </c>
      <c r="AV54" s="839" t="str">
        <f t="shared" si="45"/>
        <v/>
      </c>
      <c r="AW54" s="843" t="str">
        <f t="shared" si="45"/>
        <v/>
      </c>
    </row>
    <row r="55" spans="1:49">
      <c r="A55" s="823">
        <f t="shared" si="46"/>
        <v>0</v>
      </c>
      <c r="B55" s="327" t="s">
        <v>443</v>
      </c>
      <c r="C55" s="327" t="str">
        <f t="shared" si="69"/>
        <v>pH</v>
      </c>
      <c r="D55" s="327" t="str">
        <f t="shared" si="70"/>
        <v>CR-000E</v>
      </c>
      <c r="E55" s="327" t="str">
        <f t="shared" si="71"/>
        <v>pH</v>
      </c>
      <c r="F55" s="327" t="str">
        <f t="shared" si="72"/>
        <v>8~10</v>
      </c>
      <c r="G55" s="812">
        <f t="shared" si="73"/>
        <v>0</v>
      </c>
      <c r="H55" s="812">
        <f t="shared" si="74"/>
        <v>0</v>
      </c>
      <c r="I55" s="817">
        <f t="shared" si="75"/>
        <v>0</v>
      </c>
      <c r="J55" s="812">
        <f t="shared" si="76"/>
        <v>0</v>
      </c>
      <c r="K55" s="812">
        <f t="shared" si="77"/>
        <v>0</v>
      </c>
      <c r="L55" s="817">
        <f t="shared" si="78"/>
        <v>0</v>
      </c>
      <c r="M55" s="812">
        <f t="shared" si="79"/>
        <v>0</v>
      </c>
      <c r="N55" s="812">
        <f t="shared" si="80"/>
        <v>0</v>
      </c>
      <c r="O55" s="817">
        <f t="shared" si="81"/>
        <v>0</v>
      </c>
      <c r="P55" s="812">
        <f t="shared" si="82"/>
        <v>0</v>
      </c>
      <c r="Q55" s="812">
        <f t="shared" si="83"/>
        <v>0</v>
      </c>
      <c r="R55" s="817">
        <f t="shared" si="84"/>
        <v>0</v>
      </c>
      <c r="S55" s="812">
        <f t="shared" si="85"/>
        <v>0</v>
      </c>
      <c r="T55" s="805">
        <f t="shared" si="86"/>
        <v>0</v>
      </c>
      <c r="U55" s="806">
        <f t="shared" si="87"/>
        <v>0</v>
      </c>
      <c r="V55" s="812">
        <f t="shared" si="88"/>
        <v>0</v>
      </c>
      <c r="W55" s="805">
        <f t="shared" si="89"/>
        <v>0</v>
      </c>
      <c r="X55" s="806">
        <f t="shared" si="90"/>
        <v>0</v>
      </c>
      <c r="Z55" s="328" t="b">
        <f t="shared" si="23"/>
        <v>1</v>
      </c>
      <c r="AA55" s="328" t="b">
        <f t="shared" si="24"/>
        <v>1</v>
      </c>
      <c r="AB55" s="328" t="b">
        <f t="shared" si="25"/>
        <v>1</v>
      </c>
      <c r="AC55" s="328" t="b">
        <f t="shared" si="26"/>
        <v>1</v>
      </c>
      <c r="AD55" s="328" t="b">
        <f t="shared" si="27"/>
        <v>1</v>
      </c>
      <c r="AE55" s="328" t="b">
        <f t="shared" si="28"/>
        <v>1</v>
      </c>
      <c r="AF55" s="328" t="b">
        <f t="shared" si="29"/>
        <v>1</v>
      </c>
      <c r="AG55" s="328" t="b">
        <f t="shared" si="30"/>
        <v>1</v>
      </c>
      <c r="AH55" s="328" t="b">
        <f t="shared" si="31"/>
        <v>1</v>
      </c>
      <c r="AI55" s="328" t="b">
        <f t="shared" si="32"/>
        <v>1</v>
      </c>
      <c r="AJ55" s="328" t="b">
        <f t="shared" si="33"/>
        <v>1</v>
      </c>
      <c r="AK55" s="328" t="b">
        <f t="shared" si="34"/>
        <v>1</v>
      </c>
      <c r="AL55" s="838" t="str">
        <f t="shared" si="35"/>
        <v/>
      </c>
      <c r="AM55" s="839" t="str">
        <f t="shared" si="36"/>
        <v/>
      </c>
      <c r="AN55" s="839" t="str">
        <f t="shared" si="37"/>
        <v/>
      </c>
      <c r="AO55" s="839" t="str">
        <f t="shared" si="38"/>
        <v/>
      </c>
      <c r="AP55" s="839" t="str">
        <f t="shared" si="39"/>
        <v/>
      </c>
      <c r="AQ55" s="839" t="str">
        <f t="shared" si="40"/>
        <v/>
      </c>
      <c r="AR55" s="839" t="str">
        <f t="shared" si="41"/>
        <v/>
      </c>
      <c r="AS55" s="839" t="str">
        <f t="shared" si="42"/>
        <v/>
      </c>
      <c r="AT55" s="839" t="str">
        <f t="shared" si="43"/>
        <v/>
      </c>
      <c r="AU55" s="839" t="str">
        <f t="shared" si="44"/>
        <v/>
      </c>
      <c r="AV55" s="839" t="str">
        <f t="shared" si="45"/>
        <v/>
      </c>
      <c r="AW55" s="843" t="str">
        <f t="shared" si="45"/>
        <v/>
      </c>
    </row>
    <row r="56" spans="1:49">
      <c r="A56" s="823">
        <f t="shared" si="46"/>
        <v>0</v>
      </c>
      <c r="B56" s="327" t="s">
        <v>929</v>
      </c>
      <c r="C56" s="327" t="str">
        <f t="shared" si="69"/>
        <v>Khử dầu
脫脂</v>
      </c>
      <c r="D56" s="327" t="str">
        <f t="shared" si="70"/>
        <v>CR-000C</v>
      </c>
      <c r="E56" s="327" t="str">
        <f t="shared" si="71"/>
        <v>Point</v>
      </c>
      <c r="F56" s="327" t="str">
        <f t="shared" si="72"/>
        <v>30 – 50 (40)</v>
      </c>
      <c r="G56" s="812">
        <f t="shared" si="73"/>
        <v>0</v>
      </c>
      <c r="H56" s="812">
        <f t="shared" si="74"/>
        <v>0</v>
      </c>
      <c r="I56" s="817" t="str">
        <f t="shared" si="75"/>
        <v>kg</v>
      </c>
      <c r="J56" s="812">
        <f t="shared" si="76"/>
        <v>0</v>
      </c>
      <c r="K56" s="812">
        <f t="shared" si="77"/>
        <v>0</v>
      </c>
      <c r="L56" s="817" t="str">
        <f t="shared" si="78"/>
        <v>kg</v>
      </c>
      <c r="M56" s="812">
        <f t="shared" si="79"/>
        <v>0</v>
      </c>
      <c r="N56" s="812">
        <f t="shared" si="80"/>
        <v>0</v>
      </c>
      <c r="O56" s="817" t="str">
        <f t="shared" si="81"/>
        <v>kg</v>
      </c>
      <c r="P56" s="812">
        <f t="shared" si="82"/>
        <v>0</v>
      </c>
      <c r="Q56" s="812">
        <f t="shared" si="83"/>
        <v>0</v>
      </c>
      <c r="R56" s="817" t="str">
        <f t="shared" si="84"/>
        <v>kg</v>
      </c>
      <c r="S56" s="812">
        <f t="shared" si="85"/>
        <v>0</v>
      </c>
      <c r="T56" s="805">
        <f t="shared" si="86"/>
        <v>0</v>
      </c>
      <c r="U56" s="806" t="str">
        <f t="shared" si="87"/>
        <v>kg</v>
      </c>
      <c r="V56" s="812">
        <f t="shared" si="88"/>
        <v>0</v>
      </c>
      <c r="W56" s="805">
        <f t="shared" si="89"/>
        <v>0</v>
      </c>
      <c r="X56" s="806" t="str">
        <f t="shared" si="90"/>
        <v>kg</v>
      </c>
      <c r="Z56" s="328" t="b">
        <f t="shared" si="23"/>
        <v>1</v>
      </c>
      <c r="AA56" s="328" t="b">
        <f t="shared" si="24"/>
        <v>1</v>
      </c>
      <c r="AB56" s="328" t="b">
        <f t="shared" si="25"/>
        <v>1</v>
      </c>
      <c r="AC56" s="328" t="b">
        <f t="shared" si="26"/>
        <v>1</v>
      </c>
      <c r="AD56" s="328" t="b">
        <f t="shared" si="27"/>
        <v>1</v>
      </c>
      <c r="AE56" s="328" t="b">
        <f t="shared" si="28"/>
        <v>1</v>
      </c>
      <c r="AF56" s="328" t="b">
        <f t="shared" si="29"/>
        <v>1</v>
      </c>
      <c r="AG56" s="328" t="b">
        <f t="shared" si="30"/>
        <v>1</v>
      </c>
      <c r="AH56" s="328" t="b">
        <f t="shared" si="31"/>
        <v>1</v>
      </c>
      <c r="AI56" s="328" t="b">
        <f t="shared" si="32"/>
        <v>1</v>
      </c>
      <c r="AJ56" s="328" t="b">
        <f t="shared" si="33"/>
        <v>1</v>
      </c>
      <c r="AK56" s="328" t="b">
        <f t="shared" si="34"/>
        <v>1</v>
      </c>
      <c r="AL56" s="838" t="str">
        <f t="shared" si="35"/>
        <v/>
      </c>
      <c r="AM56" s="839" t="str">
        <f t="shared" si="36"/>
        <v/>
      </c>
      <c r="AN56" s="839" t="str">
        <f t="shared" si="37"/>
        <v/>
      </c>
      <c r="AO56" s="839" t="str">
        <f t="shared" si="38"/>
        <v/>
      </c>
      <c r="AP56" s="839" t="str">
        <f t="shared" si="39"/>
        <v/>
      </c>
      <c r="AQ56" s="839" t="str">
        <f t="shared" si="40"/>
        <v/>
      </c>
      <c r="AR56" s="839" t="str">
        <f t="shared" si="41"/>
        <v/>
      </c>
      <c r="AS56" s="839" t="str">
        <f t="shared" si="42"/>
        <v/>
      </c>
      <c r="AT56" s="839" t="str">
        <f t="shared" si="43"/>
        <v/>
      </c>
      <c r="AU56" s="839" t="str">
        <f t="shared" si="44"/>
        <v/>
      </c>
      <c r="AV56" s="839" t="str">
        <f t="shared" si="45"/>
        <v/>
      </c>
      <c r="AW56" s="843" t="str">
        <f t="shared" si="45"/>
        <v/>
      </c>
    </row>
    <row r="57" spans="1:49">
      <c r="A57" s="823">
        <f t="shared" si="46"/>
        <v>0</v>
      </c>
      <c r="B57" s="327" t="s">
        <v>930</v>
      </c>
      <c r="C57" s="327" t="str">
        <f t="shared" si="69"/>
        <v>Rua acid  鹽酸洗槽</v>
      </c>
      <c r="D57" s="327" t="str">
        <f t="shared" si="70"/>
        <v>CR-000C</v>
      </c>
      <c r="E57" s="327" t="str">
        <f t="shared" si="71"/>
        <v>%</v>
      </c>
      <c r="F57" s="327" t="str">
        <f t="shared" si="72"/>
        <v>10~15%  (12.5%)</v>
      </c>
      <c r="G57" s="812">
        <f t="shared" si="73"/>
        <v>0</v>
      </c>
      <c r="H57" s="812">
        <f t="shared" si="74"/>
        <v>0</v>
      </c>
      <c r="I57" s="817" t="str">
        <f t="shared" si="75"/>
        <v>L</v>
      </c>
      <c r="J57" s="812">
        <f t="shared" si="76"/>
        <v>0</v>
      </c>
      <c r="K57" s="812">
        <f t="shared" si="77"/>
        <v>0</v>
      </c>
      <c r="L57" s="817" t="str">
        <f t="shared" si="78"/>
        <v>L</v>
      </c>
      <c r="M57" s="812">
        <f t="shared" si="79"/>
        <v>0</v>
      </c>
      <c r="N57" s="812">
        <f t="shared" si="80"/>
        <v>0</v>
      </c>
      <c r="O57" s="817" t="str">
        <f t="shared" si="81"/>
        <v>L</v>
      </c>
      <c r="P57" s="812">
        <f t="shared" si="82"/>
        <v>0</v>
      </c>
      <c r="Q57" s="812">
        <f t="shared" si="83"/>
        <v>0</v>
      </c>
      <c r="R57" s="817" t="str">
        <f t="shared" si="84"/>
        <v>L</v>
      </c>
      <c r="S57" s="812">
        <f t="shared" si="85"/>
        <v>0</v>
      </c>
      <c r="T57" s="805">
        <f t="shared" si="86"/>
        <v>0</v>
      </c>
      <c r="U57" s="806" t="str">
        <f t="shared" si="87"/>
        <v>L</v>
      </c>
      <c r="V57" s="812">
        <f t="shared" si="88"/>
        <v>0</v>
      </c>
      <c r="W57" s="805">
        <f t="shared" si="89"/>
        <v>0</v>
      </c>
      <c r="X57" s="806" t="str">
        <f t="shared" si="90"/>
        <v>L</v>
      </c>
      <c r="Z57" s="328" t="b">
        <f t="shared" si="23"/>
        <v>1</v>
      </c>
      <c r="AA57" s="328" t="b">
        <f t="shared" si="24"/>
        <v>1</v>
      </c>
      <c r="AB57" s="328" t="b">
        <f t="shared" si="25"/>
        <v>1</v>
      </c>
      <c r="AC57" s="328" t="b">
        <f t="shared" si="26"/>
        <v>1</v>
      </c>
      <c r="AD57" s="328" t="b">
        <f t="shared" si="27"/>
        <v>1</v>
      </c>
      <c r="AE57" s="328" t="b">
        <f t="shared" si="28"/>
        <v>1</v>
      </c>
      <c r="AF57" s="328" t="b">
        <f t="shared" si="29"/>
        <v>1</v>
      </c>
      <c r="AG57" s="328" t="b">
        <f t="shared" si="30"/>
        <v>1</v>
      </c>
      <c r="AH57" s="328" t="b">
        <f t="shared" si="31"/>
        <v>1</v>
      </c>
      <c r="AI57" s="328" t="b">
        <f t="shared" si="32"/>
        <v>1</v>
      </c>
      <c r="AJ57" s="328" t="b">
        <f t="shared" si="33"/>
        <v>1</v>
      </c>
      <c r="AK57" s="328" t="b">
        <f t="shared" si="34"/>
        <v>1</v>
      </c>
      <c r="AL57" s="838" t="str">
        <f t="shared" si="35"/>
        <v/>
      </c>
      <c r="AM57" s="839" t="str">
        <f t="shared" si="36"/>
        <v/>
      </c>
      <c r="AN57" s="839" t="str">
        <f t="shared" si="37"/>
        <v/>
      </c>
      <c r="AO57" s="839" t="str">
        <f t="shared" si="38"/>
        <v/>
      </c>
      <c r="AP57" s="839" t="str">
        <f t="shared" si="39"/>
        <v/>
      </c>
      <c r="AQ57" s="839" t="str">
        <f t="shared" si="40"/>
        <v/>
      </c>
      <c r="AR57" s="839" t="str">
        <f t="shared" si="41"/>
        <v/>
      </c>
      <c r="AS57" s="839" t="str">
        <f t="shared" si="42"/>
        <v/>
      </c>
      <c r="AT57" s="839" t="str">
        <f t="shared" si="43"/>
        <v/>
      </c>
      <c r="AU57" s="839" t="str">
        <f t="shared" si="44"/>
        <v/>
      </c>
      <c r="AV57" s="839" t="str">
        <f t="shared" si="45"/>
        <v/>
      </c>
      <c r="AW57" s="843" t="str">
        <f t="shared" si="45"/>
        <v/>
      </c>
    </row>
    <row r="58" spans="1:49">
      <c r="A58" s="823">
        <f t="shared" si="46"/>
        <v>0</v>
      </c>
      <c r="B58" s="327" t="s">
        <v>934</v>
      </c>
      <c r="C58" s="327" t="str">
        <f t="shared" si="69"/>
        <v>Muối axit Phosphoric  (TA)
磷酸鹽</v>
      </c>
      <c r="D58" s="327" t="str">
        <f t="shared" si="70"/>
        <v>CR-000C</v>
      </c>
      <c r="E58" s="327" t="str">
        <f t="shared" si="71"/>
        <v>Point</v>
      </c>
      <c r="F58" s="327" t="str">
        <f t="shared" si="72"/>
        <v>Tổng chua TA 全酸
40~60 (50)</v>
      </c>
      <c r="G58" s="812">
        <f t="shared" si="73"/>
        <v>0</v>
      </c>
      <c r="H58" s="812">
        <f t="shared" si="74"/>
        <v>0</v>
      </c>
      <c r="I58" s="817" t="str">
        <f t="shared" si="75"/>
        <v>kg</v>
      </c>
      <c r="J58" s="812">
        <f t="shared" si="76"/>
        <v>0</v>
      </c>
      <c r="K58" s="812">
        <f t="shared" si="77"/>
        <v>0</v>
      </c>
      <c r="L58" s="817" t="str">
        <f t="shared" si="78"/>
        <v>kg</v>
      </c>
      <c r="M58" s="812">
        <f t="shared" si="79"/>
        <v>0</v>
      </c>
      <c r="N58" s="812">
        <f t="shared" si="80"/>
        <v>0</v>
      </c>
      <c r="O58" s="817" t="str">
        <f t="shared" si="81"/>
        <v>kg</v>
      </c>
      <c r="P58" s="812">
        <f t="shared" si="82"/>
        <v>0</v>
      </c>
      <c r="Q58" s="812">
        <f t="shared" si="83"/>
        <v>0</v>
      </c>
      <c r="R58" s="817" t="str">
        <f t="shared" si="84"/>
        <v>kg</v>
      </c>
      <c r="S58" s="812">
        <f t="shared" si="85"/>
        <v>0</v>
      </c>
      <c r="T58" s="805">
        <f t="shared" si="86"/>
        <v>0</v>
      </c>
      <c r="U58" s="806" t="str">
        <f t="shared" si="87"/>
        <v>kg</v>
      </c>
      <c r="V58" s="812">
        <f t="shared" si="88"/>
        <v>0</v>
      </c>
      <c r="W58" s="805">
        <f t="shared" si="89"/>
        <v>0</v>
      </c>
      <c r="X58" s="806" t="str">
        <f t="shared" si="90"/>
        <v>kg</v>
      </c>
      <c r="Z58" s="328" t="b">
        <f t="shared" si="23"/>
        <v>1</v>
      </c>
      <c r="AA58" s="328" t="b">
        <f t="shared" si="24"/>
        <v>1</v>
      </c>
      <c r="AB58" s="328" t="b">
        <f t="shared" si="25"/>
        <v>1</v>
      </c>
      <c r="AC58" s="328" t="b">
        <f t="shared" si="26"/>
        <v>1</v>
      </c>
      <c r="AD58" s="328" t="b">
        <f t="shared" si="27"/>
        <v>1</v>
      </c>
      <c r="AE58" s="328" t="b">
        <f t="shared" si="28"/>
        <v>1</v>
      </c>
      <c r="AF58" s="328" t="b">
        <f t="shared" si="29"/>
        <v>1</v>
      </c>
      <c r="AG58" s="328" t="b">
        <f t="shared" si="30"/>
        <v>1</v>
      </c>
      <c r="AH58" s="328" t="b">
        <f t="shared" si="31"/>
        <v>1</v>
      </c>
      <c r="AI58" s="328" t="b">
        <f t="shared" si="32"/>
        <v>1</v>
      </c>
      <c r="AJ58" s="328" t="b">
        <f t="shared" si="33"/>
        <v>1</v>
      </c>
      <c r="AK58" s="328" t="b">
        <f t="shared" si="34"/>
        <v>1</v>
      </c>
      <c r="AL58" s="838" t="str">
        <f t="shared" si="35"/>
        <v/>
      </c>
      <c r="AM58" s="839" t="str">
        <f t="shared" si="36"/>
        <v/>
      </c>
      <c r="AN58" s="839" t="str">
        <f t="shared" si="37"/>
        <v/>
      </c>
      <c r="AO58" s="839" t="str">
        <f t="shared" si="38"/>
        <v/>
      </c>
      <c r="AP58" s="839" t="str">
        <f t="shared" si="39"/>
        <v/>
      </c>
      <c r="AQ58" s="839" t="str">
        <f t="shared" si="40"/>
        <v/>
      </c>
      <c r="AR58" s="839" t="str">
        <f t="shared" si="41"/>
        <v/>
      </c>
      <c r="AS58" s="839" t="str">
        <f t="shared" si="42"/>
        <v/>
      </c>
      <c r="AT58" s="839" t="str">
        <f t="shared" si="43"/>
        <v/>
      </c>
      <c r="AU58" s="839" t="str">
        <f t="shared" si="44"/>
        <v/>
      </c>
      <c r="AV58" s="839" t="str">
        <f t="shared" si="45"/>
        <v/>
      </c>
      <c r="AW58" s="843" t="str">
        <f t="shared" si="45"/>
        <v/>
      </c>
    </row>
    <row r="59" spans="1:49">
      <c r="A59" s="823">
        <f t="shared" si="46"/>
        <v>0</v>
      </c>
      <c r="B59" s="327" t="s">
        <v>936</v>
      </c>
      <c r="C59" s="327" t="str">
        <f t="shared" si="69"/>
        <v>Muối axit Phosphoric  (tỷ lệ axit)
磷酸鹽</v>
      </c>
      <c r="D59" s="327" t="str">
        <f t="shared" si="70"/>
        <v>CR-000C</v>
      </c>
      <c r="E59" s="327" t="str">
        <f t="shared" si="71"/>
        <v>Point</v>
      </c>
      <c r="F59" s="327" t="str">
        <f t="shared" si="72"/>
        <v>tỷ lệ axit  酸比 
5.2~7.8 (6.5)</v>
      </c>
      <c r="G59" s="812">
        <f t="shared" si="73"/>
        <v>0</v>
      </c>
      <c r="H59" s="812">
        <f t="shared" si="74"/>
        <v>0</v>
      </c>
      <c r="I59" s="817" t="str">
        <f t="shared" si="75"/>
        <v>kg</v>
      </c>
      <c r="J59" s="812">
        <f t="shared" si="76"/>
        <v>0</v>
      </c>
      <c r="K59" s="812">
        <f t="shared" si="77"/>
        <v>0</v>
      </c>
      <c r="L59" s="817" t="str">
        <f t="shared" si="78"/>
        <v>kg</v>
      </c>
      <c r="M59" s="812">
        <f t="shared" si="79"/>
        <v>0</v>
      </c>
      <c r="N59" s="812">
        <f t="shared" si="80"/>
        <v>0</v>
      </c>
      <c r="O59" s="817" t="str">
        <f t="shared" si="81"/>
        <v>kg</v>
      </c>
      <c r="P59" s="812">
        <f t="shared" si="82"/>
        <v>0</v>
      </c>
      <c r="Q59" s="812">
        <f t="shared" si="83"/>
        <v>0</v>
      </c>
      <c r="R59" s="817" t="str">
        <f t="shared" si="84"/>
        <v>kg</v>
      </c>
      <c r="S59" s="812">
        <f t="shared" si="85"/>
        <v>0</v>
      </c>
      <c r="T59" s="805">
        <f t="shared" si="86"/>
        <v>0</v>
      </c>
      <c r="U59" s="806" t="str">
        <f t="shared" si="87"/>
        <v>kg</v>
      </c>
      <c r="V59" s="812">
        <f t="shared" si="88"/>
        <v>0</v>
      </c>
      <c r="W59" s="805">
        <f t="shared" si="89"/>
        <v>0</v>
      </c>
      <c r="X59" s="806" t="str">
        <f t="shared" si="90"/>
        <v>kg</v>
      </c>
      <c r="Z59" s="328" t="b">
        <f t="shared" si="23"/>
        <v>1</v>
      </c>
      <c r="AA59" s="328" t="b">
        <f t="shared" si="24"/>
        <v>1</v>
      </c>
      <c r="AB59" s="328" t="b">
        <f t="shared" si="25"/>
        <v>1</v>
      </c>
      <c r="AC59" s="328" t="b">
        <f t="shared" si="26"/>
        <v>1</v>
      </c>
      <c r="AD59" s="328" t="b">
        <f t="shared" si="27"/>
        <v>1</v>
      </c>
      <c r="AE59" s="328" t="b">
        <f t="shared" si="28"/>
        <v>1</v>
      </c>
      <c r="AF59" s="328" t="b">
        <f t="shared" si="29"/>
        <v>1</v>
      </c>
      <c r="AG59" s="328" t="b">
        <f t="shared" si="30"/>
        <v>1</v>
      </c>
      <c r="AH59" s="328" t="b">
        <f t="shared" si="31"/>
        <v>1</v>
      </c>
      <c r="AI59" s="328" t="b">
        <f t="shared" si="32"/>
        <v>1</v>
      </c>
      <c r="AJ59" s="328" t="b">
        <f t="shared" si="33"/>
        <v>1</v>
      </c>
      <c r="AK59" s="328" t="b">
        <f t="shared" si="34"/>
        <v>1</v>
      </c>
      <c r="AL59" s="838" t="str">
        <f t="shared" si="35"/>
        <v/>
      </c>
      <c r="AM59" s="839" t="str">
        <f t="shared" si="36"/>
        <v/>
      </c>
      <c r="AN59" s="839" t="str">
        <f t="shared" si="37"/>
        <v/>
      </c>
      <c r="AO59" s="839" t="str">
        <f t="shared" si="38"/>
        <v/>
      </c>
      <c r="AP59" s="839" t="str">
        <f t="shared" si="39"/>
        <v/>
      </c>
      <c r="AQ59" s="839" t="str">
        <f t="shared" si="40"/>
        <v/>
      </c>
      <c r="AR59" s="839" t="str">
        <f t="shared" si="41"/>
        <v/>
      </c>
      <c r="AS59" s="839" t="str">
        <f t="shared" si="42"/>
        <v/>
      </c>
      <c r="AT59" s="839" t="str">
        <f t="shared" si="43"/>
        <v/>
      </c>
      <c r="AU59" s="839" t="str">
        <f t="shared" si="44"/>
        <v/>
      </c>
      <c r="AV59" s="839" t="str">
        <f t="shared" si="45"/>
        <v/>
      </c>
      <c r="AW59" s="843" t="str">
        <f t="shared" si="45"/>
        <v/>
      </c>
    </row>
    <row r="60" spans="1:49">
      <c r="A60" s="823">
        <f t="shared" si="46"/>
        <v>0</v>
      </c>
      <c r="B60" s="327" t="s">
        <v>937</v>
      </c>
      <c r="C60" s="327" t="str">
        <f t="shared" si="69"/>
        <v>Muối axit Phosphoric (Fe phân ly) 
磷酸鹽</v>
      </c>
      <c r="D60" s="327" t="str">
        <f t="shared" si="70"/>
        <v>CR-000C</v>
      </c>
      <c r="E60" s="327" t="str">
        <f t="shared" si="71"/>
        <v>Point</v>
      </c>
      <c r="F60" s="327" t="str">
        <f t="shared" si="72"/>
        <v xml:space="preserve">Fe phân ly &lt;0.4
 鐵離子&lt;0.4
</v>
      </c>
      <c r="G60" s="812">
        <f t="shared" si="73"/>
        <v>0</v>
      </c>
      <c r="H60" s="812">
        <f t="shared" si="74"/>
        <v>0</v>
      </c>
      <c r="I60" s="817">
        <f t="shared" si="75"/>
        <v>0</v>
      </c>
      <c r="J60" s="812">
        <f t="shared" si="76"/>
        <v>0</v>
      </c>
      <c r="K60" s="812">
        <f t="shared" si="77"/>
        <v>0</v>
      </c>
      <c r="L60" s="817">
        <f t="shared" si="78"/>
        <v>0</v>
      </c>
      <c r="M60" s="812">
        <f t="shared" si="79"/>
        <v>0</v>
      </c>
      <c r="N60" s="812">
        <f t="shared" si="80"/>
        <v>0</v>
      </c>
      <c r="O60" s="817">
        <f t="shared" si="81"/>
        <v>0</v>
      </c>
      <c r="P60" s="812">
        <f t="shared" si="82"/>
        <v>0</v>
      </c>
      <c r="Q60" s="812">
        <f t="shared" si="83"/>
        <v>0</v>
      </c>
      <c r="R60" s="817">
        <f t="shared" si="84"/>
        <v>0</v>
      </c>
      <c r="S60" s="812">
        <f t="shared" si="85"/>
        <v>0</v>
      </c>
      <c r="T60" s="805">
        <f t="shared" si="86"/>
        <v>0</v>
      </c>
      <c r="U60" s="806">
        <f t="shared" si="87"/>
        <v>0</v>
      </c>
      <c r="V60" s="812">
        <f t="shared" si="88"/>
        <v>0</v>
      </c>
      <c r="W60" s="805">
        <f t="shared" si="89"/>
        <v>0</v>
      </c>
      <c r="X60" s="806">
        <f t="shared" si="90"/>
        <v>0</v>
      </c>
      <c r="Z60" s="328" t="b">
        <f t="shared" si="23"/>
        <v>1</v>
      </c>
      <c r="AA60" s="328" t="b">
        <f t="shared" si="24"/>
        <v>1</v>
      </c>
      <c r="AB60" s="328" t="b">
        <f t="shared" si="25"/>
        <v>1</v>
      </c>
      <c r="AC60" s="328" t="b">
        <f t="shared" si="26"/>
        <v>1</v>
      </c>
      <c r="AD60" s="328" t="b">
        <f t="shared" si="27"/>
        <v>1</v>
      </c>
      <c r="AE60" s="328" t="b">
        <f t="shared" si="28"/>
        <v>1</v>
      </c>
      <c r="AF60" s="328" t="b">
        <f t="shared" si="29"/>
        <v>1</v>
      </c>
      <c r="AG60" s="328" t="b">
        <f t="shared" si="30"/>
        <v>1</v>
      </c>
      <c r="AH60" s="328" t="b">
        <f t="shared" si="31"/>
        <v>1</v>
      </c>
      <c r="AI60" s="328" t="b">
        <f t="shared" si="32"/>
        <v>1</v>
      </c>
      <c r="AJ60" s="328" t="b">
        <f t="shared" si="33"/>
        <v>1</v>
      </c>
      <c r="AK60" s="328" t="b">
        <f t="shared" si="34"/>
        <v>1</v>
      </c>
      <c r="AL60" s="838" t="str">
        <f t="shared" si="35"/>
        <v/>
      </c>
      <c r="AM60" s="839" t="str">
        <f t="shared" si="36"/>
        <v/>
      </c>
      <c r="AN60" s="839" t="str">
        <f t="shared" si="37"/>
        <v/>
      </c>
      <c r="AO60" s="839" t="str">
        <f t="shared" si="38"/>
        <v/>
      </c>
      <c r="AP60" s="839" t="str">
        <f t="shared" si="39"/>
        <v/>
      </c>
      <c r="AQ60" s="839" t="str">
        <f t="shared" si="40"/>
        <v/>
      </c>
      <c r="AR60" s="839" t="str">
        <f t="shared" si="41"/>
        <v/>
      </c>
      <c r="AS60" s="839" t="str">
        <f t="shared" si="42"/>
        <v/>
      </c>
      <c r="AT60" s="839" t="str">
        <f t="shared" si="43"/>
        <v/>
      </c>
      <c r="AU60" s="839" t="str">
        <f t="shared" si="44"/>
        <v/>
      </c>
      <c r="AV60" s="839" t="str">
        <f t="shared" si="45"/>
        <v/>
      </c>
      <c r="AW60" s="843" t="str">
        <f t="shared" si="45"/>
        <v/>
      </c>
    </row>
    <row r="61" spans="1:49">
      <c r="A61" s="823">
        <f t="shared" si="46"/>
        <v>0</v>
      </c>
      <c r="B61" s="327" t="s">
        <v>932</v>
      </c>
      <c r="C61" s="327" t="str">
        <f t="shared" si="69"/>
        <v>Xà bông bôi trơn
潤滑皂</v>
      </c>
      <c r="D61" s="327" t="str">
        <f t="shared" si="70"/>
        <v>CR-000C</v>
      </c>
      <c r="E61" s="327" t="str">
        <f t="shared" si="71"/>
        <v>Point</v>
      </c>
      <c r="F61" s="327" t="str">
        <f t="shared" si="72"/>
        <v>0.8~1.2</v>
      </c>
      <c r="G61" s="812">
        <f t="shared" si="73"/>
        <v>0</v>
      </c>
      <c r="H61" s="812">
        <f t="shared" si="74"/>
        <v>0</v>
      </c>
      <c r="I61" s="817" t="str">
        <f t="shared" si="75"/>
        <v>kg</v>
      </c>
      <c r="J61" s="812">
        <f t="shared" si="76"/>
        <v>0</v>
      </c>
      <c r="K61" s="812">
        <f t="shared" si="77"/>
        <v>0</v>
      </c>
      <c r="L61" s="817" t="str">
        <f t="shared" si="78"/>
        <v>kg</v>
      </c>
      <c r="M61" s="812">
        <f t="shared" si="79"/>
        <v>0</v>
      </c>
      <c r="N61" s="812">
        <f t="shared" si="80"/>
        <v>0</v>
      </c>
      <c r="O61" s="817" t="str">
        <f t="shared" si="81"/>
        <v>kg</v>
      </c>
      <c r="P61" s="812">
        <f t="shared" si="82"/>
        <v>0</v>
      </c>
      <c r="Q61" s="812">
        <f t="shared" si="83"/>
        <v>0</v>
      </c>
      <c r="R61" s="817" t="str">
        <f t="shared" si="84"/>
        <v>kg</v>
      </c>
      <c r="S61" s="812">
        <f t="shared" si="85"/>
        <v>0</v>
      </c>
      <c r="T61" s="805">
        <f t="shared" si="86"/>
        <v>0</v>
      </c>
      <c r="U61" s="806" t="str">
        <f t="shared" si="87"/>
        <v>kg</v>
      </c>
      <c r="V61" s="812">
        <f t="shared" si="88"/>
        <v>0</v>
      </c>
      <c r="W61" s="805">
        <f t="shared" si="89"/>
        <v>0</v>
      </c>
      <c r="X61" s="806" t="str">
        <f t="shared" si="90"/>
        <v>kg</v>
      </c>
      <c r="Z61" s="328" t="b">
        <f t="shared" si="23"/>
        <v>1</v>
      </c>
      <c r="AA61" s="328" t="b">
        <f t="shared" si="24"/>
        <v>1</v>
      </c>
      <c r="AB61" s="328" t="b">
        <f t="shared" si="25"/>
        <v>1</v>
      </c>
      <c r="AC61" s="328" t="b">
        <f t="shared" si="26"/>
        <v>1</v>
      </c>
      <c r="AD61" s="328" t="b">
        <f t="shared" si="27"/>
        <v>1</v>
      </c>
      <c r="AE61" s="328" t="b">
        <f t="shared" si="28"/>
        <v>1</v>
      </c>
      <c r="AF61" s="328" t="b">
        <f t="shared" si="29"/>
        <v>1</v>
      </c>
      <c r="AG61" s="328" t="b">
        <f t="shared" si="30"/>
        <v>1</v>
      </c>
      <c r="AH61" s="328" t="b">
        <f t="shared" si="31"/>
        <v>1</v>
      </c>
      <c r="AI61" s="328" t="b">
        <f t="shared" si="32"/>
        <v>1</v>
      </c>
      <c r="AJ61" s="328" t="b">
        <f t="shared" si="33"/>
        <v>1</v>
      </c>
      <c r="AK61" s="328" t="b">
        <f t="shared" si="34"/>
        <v>1</v>
      </c>
      <c r="AL61" s="838" t="str">
        <f t="shared" si="35"/>
        <v/>
      </c>
      <c r="AM61" s="839" t="str">
        <f t="shared" si="36"/>
        <v/>
      </c>
      <c r="AN61" s="839" t="str">
        <f t="shared" si="37"/>
        <v/>
      </c>
      <c r="AO61" s="839" t="str">
        <f t="shared" si="38"/>
        <v/>
      </c>
      <c r="AP61" s="839" t="str">
        <f t="shared" si="39"/>
        <v/>
      </c>
      <c r="AQ61" s="839" t="str">
        <f t="shared" si="40"/>
        <v/>
      </c>
      <c r="AR61" s="839" t="str">
        <f t="shared" si="41"/>
        <v/>
      </c>
      <c r="AS61" s="839" t="str">
        <f t="shared" si="42"/>
        <v/>
      </c>
      <c r="AT61" s="839" t="str">
        <f t="shared" si="43"/>
        <v/>
      </c>
      <c r="AU61" s="839" t="str">
        <f t="shared" si="44"/>
        <v/>
      </c>
      <c r="AV61" s="839" t="str">
        <f t="shared" si="45"/>
        <v/>
      </c>
      <c r="AW61" s="843" t="str">
        <f t="shared" si="45"/>
        <v/>
      </c>
    </row>
    <row r="62" spans="1:49">
      <c r="A62" s="823">
        <f t="shared" ref="A62:A99" si="91">IF(B62="","",$A$4)</f>
        <v>0</v>
      </c>
      <c r="B62" s="327" t="s">
        <v>933</v>
      </c>
      <c r="C62" s="327" t="str">
        <f t="shared" si="69"/>
        <v>pH</v>
      </c>
      <c r="D62" s="327" t="str">
        <f t="shared" si="70"/>
        <v>CR-000C</v>
      </c>
      <c r="E62" s="327" t="str">
        <f t="shared" si="71"/>
        <v>pH</v>
      </c>
      <c r="F62" s="327" t="str">
        <f t="shared" si="72"/>
        <v>8~10</v>
      </c>
      <c r="G62" s="812">
        <f t="shared" si="73"/>
        <v>0</v>
      </c>
      <c r="H62" s="812">
        <f t="shared" si="74"/>
        <v>0</v>
      </c>
      <c r="I62" s="817">
        <f t="shared" si="75"/>
        <v>0</v>
      </c>
      <c r="J62" s="812">
        <f t="shared" si="76"/>
        <v>0</v>
      </c>
      <c r="K62" s="812">
        <f t="shared" si="77"/>
        <v>0</v>
      </c>
      <c r="L62" s="817">
        <f t="shared" si="78"/>
        <v>0</v>
      </c>
      <c r="M62" s="812">
        <f t="shared" si="79"/>
        <v>0</v>
      </c>
      <c r="N62" s="812">
        <f t="shared" si="80"/>
        <v>0</v>
      </c>
      <c r="O62" s="817">
        <f t="shared" si="81"/>
        <v>0</v>
      </c>
      <c r="P62" s="812">
        <f t="shared" si="82"/>
        <v>0</v>
      </c>
      <c r="Q62" s="812">
        <f t="shared" si="83"/>
        <v>0</v>
      </c>
      <c r="R62" s="817">
        <f t="shared" si="84"/>
        <v>0</v>
      </c>
      <c r="S62" s="812">
        <f t="shared" si="85"/>
        <v>0</v>
      </c>
      <c r="T62" s="805">
        <f t="shared" si="86"/>
        <v>0</v>
      </c>
      <c r="U62" s="806">
        <f t="shared" si="87"/>
        <v>0</v>
      </c>
      <c r="V62" s="812">
        <f t="shared" si="88"/>
        <v>0</v>
      </c>
      <c r="W62" s="805">
        <f t="shared" si="89"/>
        <v>0</v>
      </c>
      <c r="X62" s="806">
        <f t="shared" si="90"/>
        <v>0</v>
      </c>
      <c r="Z62" s="328" t="b">
        <f t="shared" si="23"/>
        <v>1</v>
      </c>
      <c r="AA62" s="328" t="b">
        <f t="shared" si="24"/>
        <v>1</v>
      </c>
      <c r="AB62" s="328" t="b">
        <f t="shared" si="25"/>
        <v>1</v>
      </c>
      <c r="AC62" s="328" t="b">
        <f t="shared" si="26"/>
        <v>1</v>
      </c>
      <c r="AD62" s="328" t="b">
        <f t="shared" si="27"/>
        <v>1</v>
      </c>
      <c r="AE62" s="328" t="b">
        <f t="shared" si="28"/>
        <v>1</v>
      </c>
      <c r="AF62" s="328" t="b">
        <f t="shared" si="29"/>
        <v>1</v>
      </c>
      <c r="AG62" s="328" t="b">
        <f t="shared" si="30"/>
        <v>1</v>
      </c>
      <c r="AH62" s="328" t="b">
        <f t="shared" si="31"/>
        <v>1</v>
      </c>
      <c r="AI62" s="328" t="b">
        <f t="shared" si="32"/>
        <v>1</v>
      </c>
      <c r="AJ62" s="328" t="b">
        <f t="shared" si="33"/>
        <v>1</v>
      </c>
      <c r="AK62" s="328" t="b">
        <f t="shared" si="34"/>
        <v>1</v>
      </c>
      <c r="AL62" s="838" t="str">
        <f t="shared" si="35"/>
        <v/>
      </c>
      <c r="AM62" s="839" t="str">
        <f t="shared" si="36"/>
        <v/>
      </c>
      <c r="AN62" s="839" t="str">
        <f t="shared" si="37"/>
        <v/>
      </c>
      <c r="AO62" s="839" t="str">
        <f t="shared" si="38"/>
        <v/>
      </c>
      <c r="AP62" s="839" t="str">
        <f t="shared" si="39"/>
        <v/>
      </c>
      <c r="AQ62" s="839" t="str">
        <f t="shared" si="40"/>
        <v/>
      </c>
      <c r="AR62" s="839" t="str">
        <f t="shared" si="41"/>
        <v/>
      </c>
      <c r="AS62" s="839" t="str">
        <f t="shared" si="42"/>
        <v/>
      </c>
      <c r="AT62" s="839" t="str">
        <f t="shared" si="43"/>
        <v/>
      </c>
      <c r="AU62" s="839" t="str">
        <f t="shared" si="44"/>
        <v/>
      </c>
      <c r="AV62" s="839" t="str">
        <f t="shared" si="45"/>
        <v/>
      </c>
      <c r="AW62" s="843" t="str">
        <f t="shared" si="45"/>
        <v/>
      </c>
    </row>
    <row r="63" spans="1:49">
      <c r="A63" s="823">
        <f t="shared" si="91"/>
        <v>0</v>
      </c>
      <c r="B63" s="327" t="s">
        <v>458</v>
      </c>
      <c r="C63" s="327" t="str">
        <f t="shared" si="69"/>
        <v/>
      </c>
      <c r="D63" s="327" t="str">
        <f t="shared" si="70"/>
        <v/>
      </c>
      <c r="E63" s="327" t="str">
        <f t="shared" si="71"/>
        <v/>
      </c>
      <c r="F63" s="327" t="str">
        <f t="shared" si="72"/>
        <v/>
      </c>
      <c r="G63" s="812" t="str">
        <f t="shared" si="73"/>
        <v/>
      </c>
      <c r="H63" s="812" t="str">
        <f t="shared" si="74"/>
        <v/>
      </c>
      <c r="I63" s="817" t="str">
        <f t="shared" si="75"/>
        <v/>
      </c>
      <c r="J63" s="812" t="str">
        <f t="shared" si="76"/>
        <v/>
      </c>
      <c r="K63" s="812" t="str">
        <f t="shared" si="77"/>
        <v/>
      </c>
      <c r="L63" s="817" t="str">
        <f t="shared" si="78"/>
        <v/>
      </c>
      <c r="M63" s="812" t="str">
        <f t="shared" si="79"/>
        <v/>
      </c>
      <c r="N63" s="812" t="str">
        <f t="shared" si="80"/>
        <v/>
      </c>
      <c r="O63" s="817" t="str">
        <f t="shared" si="81"/>
        <v/>
      </c>
      <c r="P63" s="812" t="str">
        <f t="shared" si="82"/>
        <v/>
      </c>
      <c r="Q63" s="812" t="str">
        <f t="shared" si="83"/>
        <v/>
      </c>
      <c r="R63" s="817" t="str">
        <f t="shared" si="84"/>
        <v/>
      </c>
      <c r="S63" s="812" t="str">
        <f t="shared" si="85"/>
        <v/>
      </c>
      <c r="T63" s="805" t="str">
        <f t="shared" si="86"/>
        <v/>
      </c>
      <c r="U63" s="806" t="str">
        <f t="shared" si="87"/>
        <v/>
      </c>
      <c r="V63" s="812" t="str">
        <f t="shared" si="88"/>
        <v/>
      </c>
      <c r="W63" s="805" t="str">
        <f t="shared" si="89"/>
        <v/>
      </c>
      <c r="X63" s="806" t="str">
        <f t="shared" si="90"/>
        <v/>
      </c>
      <c r="Z63" s="328" t="b">
        <f t="shared" si="23"/>
        <v>0</v>
      </c>
      <c r="AA63" s="328" t="b">
        <f t="shared" si="24"/>
        <v>0</v>
      </c>
      <c r="AB63" s="328" t="b">
        <f t="shared" si="25"/>
        <v>0</v>
      </c>
      <c r="AC63" s="328" t="b">
        <f t="shared" si="26"/>
        <v>0</v>
      </c>
      <c r="AD63" s="328" t="b">
        <f t="shared" si="27"/>
        <v>0</v>
      </c>
      <c r="AE63" s="328" t="b">
        <f t="shared" si="28"/>
        <v>0</v>
      </c>
      <c r="AF63" s="328" t="b">
        <f t="shared" si="29"/>
        <v>0</v>
      </c>
      <c r="AG63" s="328" t="b">
        <f t="shared" si="30"/>
        <v>0</v>
      </c>
      <c r="AH63" s="328" t="b">
        <f t="shared" si="31"/>
        <v>0</v>
      </c>
      <c r="AI63" s="328" t="b">
        <f t="shared" si="32"/>
        <v>0</v>
      </c>
      <c r="AJ63" s="328" t="b">
        <f t="shared" si="33"/>
        <v>0</v>
      </c>
      <c r="AK63" s="328" t="b">
        <f t="shared" si="34"/>
        <v>0</v>
      </c>
      <c r="AL63" s="838">
        <f t="shared" si="35"/>
        <v>1</v>
      </c>
      <c r="AM63" s="839">
        <f t="shared" si="36"/>
        <v>1</v>
      </c>
      <c r="AN63" s="839">
        <f t="shared" si="37"/>
        <v>1</v>
      </c>
      <c r="AO63" s="839">
        <f t="shared" si="38"/>
        <v>1</v>
      </c>
      <c r="AP63" s="839">
        <f t="shared" si="39"/>
        <v>1</v>
      </c>
      <c r="AQ63" s="839">
        <f t="shared" si="40"/>
        <v>1</v>
      </c>
      <c r="AR63" s="839">
        <f t="shared" si="41"/>
        <v>1</v>
      </c>
      <c r="AS63" s="839">
        <f t="shared" si="42"/>
        <v>1</v>
      </c>
      <c r="AT63" s="839">
        <f t="shared" si="43"/>
        <v>1</v>
      </c>
      <c r="AU63" s="839">
        <f t="shared" si="44"/>
        <v>1</v>
      </c>
      <c r="AV63" s="839">
        <f t="shared" si="45"/>
        <v>1</v>
      </c>
      <c r="AW63" s="843">
        <f t="shared" si="45"/>
        <v>1</v>
      </c>
    </row>
    <row r="64" spans="1:49">
      <c r="A64" s="823">
        <f t="shared" si="91"/>
        <v>0</v>
      </c>
      <c r="B64" s="327" t="s">
        <v>460</v>
      </c>
      <c r="C64" s="327" t="str">
        <f t="shared" si="69"/>
        <v/>
      </c>
      <c r="D64" s="327" t="str">
        <f t="shared" si="70"/>
        <v/>
      </c>
      <c r="E64" s="327" t="str">
        <f t="shared" si="71"/>
        <v/>
      </c>
      <c r="F64" s="327" t="str">
        <f t="shared" si="72"/>
        <v/>
      </c>
      <c r="G64" s="812" t="str">
        <f t="shared" si="73"/>
        <v/>
      </c>
      <c r="H64" s="812" t="str">
        <f t="shared" si="74"/>
        <v/>
      </c>
      <c r="I64" s="817" t="str">
        <f t="shared" si="75"/>
        <v/>
      </c>
      <c r="J64" s="812" t="str">
        <f t="shared" si="76"/>
        <v/>
      </c>
      <c r="K64" s="812" t="str">
        <f t="shared" si="77"/>
        <v/>
      </c>
      <c r="L64" s="817" t="str">
        <f t="shared" si="78"/>
        <v/>
      </c>
      <c r="M64" s="812" t="str">
        <f t="shared" si="79"/>
        <v/>
      </c>
      <c r="N64" s="812" t="str">
        <f t="shared" si="80"/>
        <v/>
      </c>
      <c r="O64" s="817" t="str">
        <f t="shared" si="81"/>
        <v/>
      </c>
      <c r="P64" s="812" t="str">
        <f t="shared" si="82"/>
        <v/>
      </c>
      <c r="Q64" s="812" t="str">
        <f t="shared" si="83"/>
        <v/>
      </c>
      <c r="R64" s="817" t="str">
        <f t="shared" si="84"/>
        <v/>
      </c>
      <c r="S64" s="812" t="str">
        <f t="shared" si="85"/>
        <v/>
      </c>
      <c r="T64" s="805" t="str">
        <f t="shared" si="86"/>
        <v/>
      </c>
      <c r="U64" s="806" t="str">
        <f t="shared" si="87"/>
        <v/>
      </c>
      <c r="V64" s="812" t="str">
        <f t="shared" si="88"/>
        <v/>
      </c>
      <c r="W64" s="805" t="str">
        <f t="shared" si="89"/>
        <v/>
      </c>
      <c r="X64" s="806" t="str">
        <f t="shared" si="90"/>
        <v/>
      </c>
      <c r="Z64" s="328" t="b">
        <f t="shared" si="23"/>
        <v>0</v>
      </c>
      <c r="AA64" s="328" t="b">
        <f t="shared" si="24"/>
        <v>0</v>
      </c>
      <c r="AB64" s="328" t="b">
        <f t="shared" si="25"/>
        <v>0</v>
      </c>
      <c r="AC64" s="328" t="b">
        <f t="shared" si="26"/>
        <v>0</v>
      </c>
      <c r="AD64" s="328" t="b">
        <f t="shared" si="27"/>
        <v>0</v>
      </c>
      <c r="AE64" s="328" t="b">
        <f t="shared" si="28"/>
        <v>0</v>
      </c>
      <c r="AF64" s="328" t="b">
        <f t="shared" si="29"/>
        <v>0</v>
      </c>
      <c r="AG64" s="328" t="b">
        <f t="shared" si="30"/>
        <v>0</v>
      </c>
      <c r="AH64" s="328" t="b">
        <f t="shared" si="31"/>
        <v>0</v>
      </c>
      <c r="AI64" s="328" t="b">
        <f t="shared" si="32"/>
        <v>0</v>
      </c>
      <c r="AJ64" s="328" t="b">
        <f t="shared" si="33"/>
        <v>0</v>
      </c>
      <c r="AK64" s="328" t="b">
        <f t="shared" si="34"/>
        <v>0</v>
      </c>
      <c r="AL64" s="838">
        <f t="shared" si="35"/>
        <v>1</v>
      </c>
      <c r="AM64" s="839">
        <f t="shared" si="36"/>
        <v>1</v>
      </c>
      <c r="AN64" s="839">
        <f t="shared" si="37"/>
        <v>1</v>
      </c>
      <c r="AO64" s="839">
        <f t="shared" si="38"/>
        <v>1</v>
      </c>
      <c r="AP64" s="839">
        <f t="shared" si="39"/>
        <v>1</v>
      </c>
      <c r="AQ64" s="839">
        <f t="shared" si="40"/>
        <v>1</v>
      </c>
      <c r="AR64" s="839">
        <f t="shared" si="41"/>
        <v>1</v>
      </c>
      <c r="AS64" s="839">
        <f t="shared" si="42"/>
        <v>1</v>
      </c>
      <c r="AT64" s="839">
        <f t="shared" si="43"/>
        <v>1</v>
      </c>
      <c r="AU64" s="839">
        <f t="shared" si="44"/>
        <v>1</v>
      </c>
      <c r="AV64" s="839">
        <f t="shared" si="45"/>
        <v>1</v>
      </c>
      <c r="AW64" s="843">
        <f t="shared" si="45"/>
        <v>1</v>
      </c>
    </row>
    <row r="65" spans="1:49">
      <c r="A65" s="823">
        <f t="shared" si="91"/>
        <v>0</v>
      </c>
      <c r="B65" s="327" t="s">
        <v>461</v>
      </c>
      <c r="C65" s="327" t="str">
        <f t="shared" si="69"/>
        <v/>
      </c>
      <c r="D65" s="327" t="str">
        <f t="shared" si="70"/>
        <v/>
      </c>
      <c r="E65" s="327" t="str">
        <f t="shared" si="71"/>
        <v/>
      </c>
      <c r="F65" s="327" t="str">
        <f t="shared" si="72"/>
        <v/>
      </c>
      <c r="G65" s="812" t="str">
        <f t="shared" si="73"/>
        <v/>
      </c>
      <c r="H65" s="812" t="str">
        <f t="shared" si="74"/>
        <v/>
      </c>
      <c r="I65" s="817" t="str">
        <f t="shared" si="75"/>
        <v/>
      </c>
      <c r="J65" s="812" t="str">
        <f t="shared" si="76"/>
        <v/>
      </c>
      <c r="K65" s="812" t="str">
        <f t="shared" si="77"/>
        <v/>
      </c>
      <c r="L65" s="817" t="str">
        <f t="shared" si="78"/>
        <v/>
      </c>
      <c r="M65" s="812" t="str">
        <f t="shared" si="79"/>
        <v/>
      </c>
      <c r="N65" s="812" t="str">
        <f t="shared" si="80"/>
        <v/>
      </c>
      <c r="O65" s="817" t="str">
        <f t="shared" si="81"/>
        <v/>
      </c>
      <c r="P65" s="812" t="str">
        <f t="shared" si="82"/>
        <v/>
      </c>
      <c r="Q65" s="812" t="str">
        <f t="shared" si="83"/>
        <v/>
      </c>
      <c r="R65" s="817" t="str">
        <f t="shared" si="84"/>
        <v/>
      </c>
      <c r="S65" s="812" t="str">
        <f t="shared" si="85"/>
        <v/>
      </c>
      <c r="T65" s="805" t="str">
        <f t="shared" si="86"/>
        <v/>
      </c>
      <c r="U65" s="806" t="str">
        <f t="shared" si="87"/>
        <v/>
      </c>
      <c r="V65" s="812" t="str">
        <f t="shared" si="88"/>
        <v/>
      </c>
      <c r="W65" s="805" t="str">
        <f t="shared" si="89"/>
        <v/>
      </c>
      <c r="X65" s="806" t="str">
        <f t="shared" si="90"/>
        <v/>
      </c>
      <c r="Z65" s="328" t="b">
        <f t="shared" si="23"/>
        <v>0</v>
      </c>
      <c r="AA65" s="328" t="b">
        <f t="shared" si="24"/>
        <v>0</v>
      </c>
      <c r="AB65" s="328" t="b">
        <f t="shared" si="25"/>
        <v>0</v>
      </c>
      <c r="AC65" s="328" t="b">
        <f t="shared" si="26"/>
        <v>0</v>
      </c>
      <c r="AD65" s="328" t="b">
        <f t="shared" si="27"/>
        <v>0</v>
      </c>
      <c r="AE65" s="328" t="b">
        <f t="shared" si="28"/>
        <v>0</v>
      </c>
      <c r="AF65" s="328" t="b">
        <f t="shared" si="29"/>
        <v>0</v>
      </c>
      <c r="AG65" s="328" t="b">
        <f t="shared" si="30"/>
        <v>0</v>
      </c>
      <c r="AH65" s="328" t="b">
        <f t="shared" si="31"/>
        <v>0</v>
      </c>
      <c r="AI65" s="328" t="b">
        <f t="shared" si="32"/>
        <v>0</v>
      </c>
      <c r="AJ65" s="328" t="b">
        <f t="shared" si="33"/>
        <v>0</v>
      </c>
      <c r="AK65" s="328" t="b">
        <f t="shared" si="34"/>
        <v>0</v>
      </c>
      <c r="AL65" s="838">
        <f t="shared" si="35"/>
        <v>1</v>
      </c>
      <c r="AM65" s="839">
        <f t="shared" si="36"/>
        <v>1</v>
      </c>
      <c r="AN65" s="839">
        <f t="shared" si="37"/>
        <v>1</v>
      </c>
      <c r="AO65" s="839">
        <f t="shared" si="38"/>
        <v>1</v>
      </c>
      <c r="AP65" s="839">
        <f t="shared" si="39"/>
        <v>1</v>
      </c>
      <c r="AQ65" s="839">
        <f t="shared" si="40"/>
        <v>1</v>
      </c>
      <c r="AR65" s="839">
        <f t="shared" si="41"/>
        <v>1</v>
      </c>
      <c r="AS65" s="839">
        <f t="shared" si="42"/>
        <v>1</v>
      </c>
      <c r="AT65" s="839">
        <f t="shared" si="43"/>
        <v>1</v>
      </c>
      <c r="AU65" s="839">
        <f t="shared" si="44"/>
        <v>1</v>
      </c>
      <c r="AV65" s="839">
        <f t="shared" si="45"/>
        <v>1</v>
      </c>
      <c r="AW65" s="843">
        <f t="shared" si="45"/>
        <v>1</v>
      </c>
    </row>
    <row r="66" spans="1:49">
      <c r="A66" s="823">
        <f t="shared" si="91"/>
        <v>0</v>
      </c>
      <c r="B66" s="327" t="s">
        <v>462</v>
      </c>
      <c r="C66" s="327" t="str">
        <f t="shared" si="69"/>
        <v/>
      </c>
      <c r="D66" s="327" t="str">
        <f t="shared" si="70"/>
        <v/>
      </c>
      <c r="E66" s="327" t="str">
        <f t="shared" si="71"/>
        <v/>
      </c>
      <c r="F66" s="327" t="str">
        <f t="shared" si="72"/>
        <v/>
      </c>
      <c r="G66" s="812" t="str">
        <f t="shared" si="73"/>
        <v/>
      </c>
      <c r="H66" s="812" t="str">
        <f t="shared" si="74"/>
        <v/>
      </c>
      <c r="I66" s="817" t="str">
        <f t="shared" si="75"/>
        <v/>
      </c>
      <c r="J66" s="812" t="str">
        <f t="shared" si="76"/>
        <v/>
      </c>
      <c r="K66" s="812" t="str">
        <f t="shared" si="77"/>
        <v/>
      </c>
      <c r="L66" s="817" t="str">
        <f t="shared" si="78"/>
        <v/>
      </c>
      <c r="M66" s="812" t="str">
        <f t="shared" si="79"/>
        <v/>
      </c>
      <c r="N66" s="812" t="str">
        <f t="shared" si="80"/>
        <v/>
      </c>
      <c r="O66" s="817" t="str">
        <f t="shared" si="81"/>
        <v/>
      </c>
      <c r="P66" s="812" t="str">
        <f t="shared" si="82"/>
        <v/>
      </c>
      <c r="Q66" s="812" t="str">
        <f t="shared" si="83"/>
        <v/>
      </c>
      <c r="R66" s="817" t="str">
        <f t="shared" si="84"/>
        <v/>
      </c>
      <c r="S66" s="812" t="str">
        <f t="shared" si="85"/>
        <v/>
      </c>
      <c r="T66" s="805" t="str">
        <f t="shared" si="86"/>
        <v/>
      </c>
      <c r="U66" s="806" t="str">
        <f t="shared" si="87"/>
        <v/>
      </c>
      <c r="V66" s="812" t="str">
        <f t="shared" si="88"/>
        <v/>
      </c>
      <c r="W66" s="805" t="str">
        <f t="shared" si="89"/>
        <v/>
      </c>
      <c r="X66" s="806" t="str">
        <f t="shared" si="90"/>
        <v/>
      </c>
      <c r="Z66" s="328" t="b">
        <f t="shared" si="23"/>
        <v>0</v>
      </c>
      <c r="AA66" s="328" t="b">
        <f t="shared" si="24"/>
        <v>0</v>
      </c>
      <c r="AB66" s="328" t="b">
        <f t="shared" si="25"/>
        <v>0</v>
      </c>
      <c r="AC66" s="328" t="b">
        <f t="shared" si="26"/>
        <v>0</v>
      </c>
      <c r="AD66" s="328" t="b">
        <f t="shared" si="27"/>
        <v>0</v>
      </c>
      <c r="AE66" s="328" t="b">
        <f t="shared" si="28"/>
        <v>0</v>
      </c>
      <c r="AF66" s="328" t="b">
        <f t="shared" si="29"/>
        <v>0</v>
      </c>
      <c r="AG66" s="328" t="b">
        <f t="shared" si="30"/>
        <v>0</v>
      </c>
      <c r="AH66" s="328" t="b">
        <f t="shared" si="31"/>
        <v>0</v>
      </c>
      <c r="AI66" s="328" t="b">
        <f t="shared" si="32"/>
        <v>0</v>
      </c>
      <c r="AJ66" s="328" t="b">
        <f t="shared" si="33"/>
        <v>0</v>
      </c>
      <c r="AK66" s="328" t="b">
        <f t="shared" si="34"/>
        <v>0</v>
      </c>
      <c r="AL66" s="838">
        <f t="shared" si="35"/>
        <v>1</v>
      </c>
      <c r="AM66" s="839">
        <f t="shared" si="36"/>
        <v>1</v>
      </c>
      <c r="AN66" s="839">
        <f t="shared" si="37"/>
        <v>1</v>
      </c>
      <c r="AO66" s="839">
        <f t="shared" si="38"/>
        <v>1</v>
      </c>
      <c r="AP66" s="839">
        <f t="shared" si="39"/>
        <v>1</v>
      </c>
      <c r="AQ66" s="839">
        <f t="shared" si="40"/>
        <v>1</v>
      </c>
      <c r="AR66" s="839">
        <f t="shared" si="41"/>
        <v>1</v>
      </c>
      <c r="AS66" s="839">
        <f t="shared" si="42"/>
        <v>1</v>
      </c>
      <c r="AT66" s="839">
        <f t="shared" si="43"/>
        <v>1</v>
      </c>
      <c r="AU66" s="839">
        <f t="shared" si="44"/>
        <v>1</v>
      </c>
      <c r="AV66" s="839">
        <f t="shared" si="45"/>
        <v>1</v>
      </c>
      <c r="AW66" s="843">
        <f t="shared" si="45"/>
        <v>1</v>
      </c>
    </row>
    <row r="67" spans="1:49">
      <c r="A67" s="823">
        <f t="shared" si="91"/>
        <v>0</v>
      </c>
      <c r="B67" s="327" t="s">
        <v>463</v>
      </c>
      <c r="C67" s="327" t="str">
        <f t="shared" si="69"/>
        <v/>
      </c>
      <c r="D67" s="327" t="str">
        <f t="shared" si="70"/>
        <v/>
      </c>
      <c r="E67" s="327" t="str">
        <f t="shared" si="71"/>
        <v/>
      </c>
      <c r="F67" s="327" t="str">
        <f t="shared" si="72"/>
        <v/>
      </c>
      <c r="G67" s="812" t="str">
        <f t="shared" si="73"/>
        <v/>
      </c>
      <c r="H67" s="812" t="str">
        <f t="shared" si="74"/>
        <v/>
      </c>
      <c r="I67" s="817" t="str">
        <f t="shared" si="75"/>
        <v/>
      </c>
      <c r="J67" s="812" t="str">
        <f t="shared" si="76"/>
        <v/>
      </c>
      <c r="K67" s="812" t="str">
        <f t="shared" si="77"/>
        <v/>
      </c>
      <c r="L67" s="817" t="str">
        <f t="shared" si="78"/>
        <v/>
      </c>
      <c r="M67" s="812" t="str">
        <f t="shared" si="79"/>
        <v/>
      </c>
      <c r="N67" s="812" t="str">
        <f t="shared" si="80"/>
        <v/>
      </c>
      <c r="O67" s="817" t="str">
        <f t="shared" si="81"/>
        <v/>
      </c>
      <c r="P67" s="812" t="str">
        <f t="shared" si="82"/>
        <v/>
      </c>
      <c r="Q67" s="812" t="str">
        <f t="shared" si="83"/>
        <v/>
      </c>
      <c r="R67" s="817" t="str">
        <f t="shared" si="84"/>
        <v/>
      </c>
      <c r="S67" s="812" t="str">
        <f t="shared" si="85"/>
        <v/>
      </c>
      <c r="T67" s="805" t="str">
        <f t="shared" si="86"/>
        <v/>
      </c>
      <c r="U67" s="806" t="str">
        <f t="shared" si="87"/>
        <v/>
      </c>
      <c r="V67" s="812" t="str">
        <f t="shared" si="88"/>
        <v/>
      </c>
      <c r="W67" s="805" t="str">
        <f t="shared" si="89"/>
        <v/>
      </c>
      <c r="X67" s="806" t="str">
        <f t="shared" si="90"/>
        <v/>
      </c>
      <c r="Z67" s="328" t="b">
        <f t="shared" si="23"/>
        <v>0</v>
      </c>
      <c r="AA67" s="328" t="b">
        <f t="shared" si="24"/>
        <v>0</v>
      </c>
      <c r="AB67" s="328" t="b">
        <f t="shared" si="25"/>
        <v>0</v>
      </c>
      <c r="AC67" s="328" t="b">
        <f t="shared" si="26"/>
        <v>0</v>
      </c>
      <c r="AD67" s="328" t="b">
        <f t="shared" si="27"/>
        <v>0</v>
      </c>
      <c r="AE67" s="328" t="b">
        <f t="shared" si="28"/>
        <v>0</v>
      </c>
      <c r="AF67" s="328" t="b">
        <f t="shared" si="29"/>
        <v>0</v>
      </c>
      <c r="AG67" s="328" t="b">
        <f t="shared" si="30"/>
        <v>0</v>
      </c>
      <c r="AH67" s="328" t="b">
        <f t="shared" si="31"/>
        <v>0</v>
      </c>
      <c r="AI67" s="328" t="b">
        <f t="shared" si="32"/>
        <v>0</v>
      </c>
      <c r="AJ67" s="328" t="b">
        <f t="shared" si="33"/>
        <v>0</v>
      </c>
      <c r="AK67" s="328" t="b">
        <f t="shared" si="34"/>
        <v>0</v>
      </c>
      <c r="AL67" s="838">
        <f t="shared" si="35"/>
        <v>1</v>
      </c>
      <c r="AM67" s="839">
        <f t="shared" si="36"/>
        <v>1</v>
      </c>
      <c r="AN67" s="839">
        <f t="shared" si="37"/>
        <v>1</v>
      </c>
      <c r="AO67" s="839">
        <f t="shared" si="38"/>
        <v>1</v>
      </c>
      <c r="AP67" s="839">
        <f t="shared" si="39"/>
        <v>1</v>
      </c>
      <c r="AQ67" s="839">
        <f t="shared" si="40"/>
        <v>1</v>
      </c>
      <c r="AR67" s="839">
        <f t="shared" si="41"/>
        <v>1</v>
      </c>
      <c r="AS67" s="839">
        <f t="shared" si="42"/>
        <v>1</v>
      </c>
      <c r="AT67" s="839">
        <f t="shared" si="43"/>
        <v>1</v>
      </c>
      <c r="AU67" s="839">
        <f t="shared" si="44"/>
        <v>1</v>
      </c>
      <c r="AV67" s="839">
        <f t="shared" si="45"/>
        <v>1</v>
      </c>
      <c r="AW67" s="843">
        <f t="shared" si="45"/>
        <v>1</v>
      </c>
    </row>
    <row r="68" spans="1:49">
      <c r="A68" s="823">
        <f t="shared" si="91"/>
        <v>0</v>
      </c>
      <c r="B68" s="327" t="s">
        <v>464</v>
      </c>
      <c r="C68" s="327" t="str">
        <f t="shared" si="69"/>
        <v/>
      </c>
      <c r="D68" s="327" t="str">
        <f t="shared" si="70"/>
        <v/>
      </c>
      <c r="E68" s="327" t="str">
        <f t="shared" si="71"/>
        <v/>
      </c>
      <c r="F68" s="327" t="str">
        <f t="shared" si="72"/>
        <v/>
      </c>
      <c r="G68" s="812" t="str">
        <f t="shared" si="73"/>
        <v/>
      </c>
      <c r="H68" s="812" t="str">
        <f t="shared" si="74"/>
        <v/>
      </c>
      <c r="I68" s="817" t="str">
        <f t="shared" si="75"/>
        <v/>
      </c>
      <c r="J68" s="812" t="str">
        <f t="shared" si="76"/>
        <v/>
      </c>
      <c r="K68" s="812" t="str">
        <f t="shared" si="77"/>
        <v/>
      </c>
      <c r="L68" s="817" t="str">
        <f t="shared" si="78"/>
        <v/>
      </c>
      <c r="M68" s="812" t="str">
        <f t="shared" si="79"/>
        <v/>
      </c>
      <c r="N68" s="812" t="str">
        <f t="shared" si="80"/>
        <v/>
      </c>
      <c r="O68" s="817" t="str">
        <f t="shared" si="81"/>
        <v/>
      </c>
      <c r="P68" s="812" t="str">
        <f t="shared" si="82"/>
        <v/>
      </c>
      <c r="Q68" s="812" t="str">
        <f t="shared" si="83"/>
        <v/>
      </c>
      <c r="R68" s="817" t="str">
        <f t="shared" si="84"/>
        <v/>
      </c>
      <c r="S68" s="812" t="str">
        <f t="shared" si="85"/>
        <v/>
      </c>
      <c r="T68" s="805" t="str">
        <f t="shared" si="86"/>
        <v/>
      </c>
      <c r="U68" s="806" t="str">
        <f t="shared" si="87"/>
        <v/>
      </c>
      <c r="V68" s="812" t="str">
        <f t="shared" si="88"/>
        <v/>
      </c>
      <c r="W68" s="805" t="str">
        <f t="shared" si="89"/>
        <v/>
      </c>
      <c r="X68" s="806" t="str">
        <f t="shared" si="90"/>
        <v/>
      </c>
      <c r="Z68" s="328" t="b">
        <f t="shared" si="23"/>
        <v>0</v>
      </c>
      <c r="AA68" s="328" t="b">
        <f t="shared" si="24"/>
        <v>0</v>
      </c>
      <c r="AB68" s="328" t="b">
        <f t="shared" si="25"/>
        <v>0</v>
      </c>
      <c r="AC68" s="328" t="b">
        <f t="shared" si="26"/>
        <v>0</v>
      </c>
      <c r="AD68" s="328" t="b">
        <f t="shared" si="27"/>
        <v>0</v>
      </c>
      <c r="AE68" s="328" t="b">
        <f t="shared" si="28"/>
        <v>0</v>
      </c>
      <c r="AF68" s="328" t="b">
        <f t="shared" si="29"/>
        <v>0</v>
      </c>
      <c r="AG68" s="328" t="b">
        <f t="shared" si="30"/>
        <v>0</v>
      </c>
      <c r="AH68" s="328" t="b">
        <f t="shared" si="31"/>
        <v>0</v>
      </c>
      <c r="AI68" s="328" t="b">
        <f t="shared" si="32"/>
        <v>0</v>
      </c>
      <c r="AJ68" s="328" t="b">
        <f t="shared" si="33"/>
        <v>0</v>
      </c>
      <c r="AK68" s="328" t="b">
        <f t="shared" si="34"/>
        <v>0</v>
      </c>
      <c r="AL68" s="838">
        <f t="shared" si="35"/>
        <v>1</v>
      </c>
      <c r="AM68" s="839">
        <f t="shared" si="36"/>
        <v>1</v>
      </c>
      <c r="AN68" s="839">
        <f t="shared" si="37"/>
        <v>1</v>
      </c>
      <c r="AO68" s="839">
        <f t="shared" si="38"/>
        <v>1</v>
      </c>
      <c r="AP68" s="839">
        <f t="shared" si="39"/>
        <v>1</v>
      </c>
      <c r="AQ68" s="839">
        <f t="shared" si="40"/>
        <v>1</v>
      </c>
      <c r="AR68" s="839">
        <f t="shared" si="41"/>
        <v>1</v>
      </c>
      <c r="AS68" s="839">
        <f t="shared" si="42"/>
        <v>1</v>
      </c>
      <c r="AT68" s="839">
        <f t="shared" si="43"/>
        <v>1</v>
      </c>
      <c r="AU68" s="839">
        <f t="shared" si="44"/>
        <v>1</v>
      </c>
      <c r="AV68" s="839">
        <f t="shared" si="45"/>
        <v>1</v>
      </c>
      <c r="AW68" s="843">
        <f t="shared" si="45"/>
        <v>1</v>
      </c>
    </row>
    <row r="69" spans="1:49">
      <c r="A69" s="823">
        <f t="shared" si="91"/>
        <v>0</v>
      </c>
      <c r="B69" s="327" t="s">
        <v>465</v>
      </c>
      <c r="C69" s="327" t="str">
        <f t="shared" si="69"/>
        <v/>
      </c>
      <c r="D69" s="327" t="str">
        <f t="shared" si="70"/>
        <v/>
      </c>
      <c r="E69" s="327" t="str">
        <f t="shared" si="71"/>
        <v/>
      </c>
      <c r="F69" s="327" t="str">
        <f t="shared" si="72"/>
        <v/>
      </c>
      <c r="G69" s="812" t="str">
        <f t="shared" si="73"/>
        <v/>
      </c>
      <c r="H69" s="812" t="str">
        <f t="shared" si="74"/>
        <v/>
      </c>
      <c r="I69" s="817" t="str">
        <f t="shared" si="75"/>
        <v/>
      </c>
      <c r="J69" s="812" t="str">
        <f t="shared" si="76"/>
        <v/>
      </c>
      <c r="K69" s="812" t="str">
        <f t="shared" si="77"/>
        <v/>
      </c>
      <c r="L69" s="817" t="str">
        <f t="shared" si="78"/>
        <v/>
      </c>
      <c r="M69" s="812" t="str">
        <f t="shared" si="79"/>
        <v/>
      </c>
      <c r="N69" s="812" t="str">
        <f t="shared" si="80"/>
        <v/>
      </c>
      <c r="O69" s="817" t="str">
        <f t="shared" si="81"/>
        <v/>
      </c>
      <c r="P69" s="812" t="str">
        <f t="shared" si="82"/>
        <v/>
      </c>
      <c r="Q69" s="812" t="str">
        <f t="shared" si="83"/>
        <v/>
      </c>
      <c r="R69" s="817" t="str">
        <f t="shared" si="84"/>
        <v/>
      </c>
      <c r="S69" s="812" t="str">
        <f t="shared" si="85"/>
        <v/>
      </c>
      <c r="T69" s="805" t="str">
        <f t="shared" si="86"/>
        <v/>
      </c>
      <c r="U69" s="806" t="str">
        <f t="shared" si="87"/>
        <v/>
      </c>
      <c r="V69" s="812" t="str">
        <f t="shared" si="88"/>
        <v/>
      </c>
      <c r="W69" s="805" t="str">
        <f t="shared" si="89"/>
        <v/>
      </c>
      <c r="X69" s="806" t="str">
        <f t="shared" si="90"/>
        <v/>
      </c>
      <c r="Z69" s="328" t="b">
        <f t="shared" ref="Z69:Z99" si="92">ISNUMBER(G69)</f>
        <v>0</v>
      </c>
      <c r="AA69" s="328" t="b">
        <f t="shared" ref="AA69:AA99" si="93">ISNUMBER(H69)</f>
        <v>0</v>
      </c>
      <c r="AB69" s="328" t="b">
        <f t="shared" ref="AB69:AB99" si="94">ISNUMBER(J69)</f>
        <v>0</v>
      </c>
      <c r="AC69" s="328" t="b">
        <f t="shared" ref="AC69:AC99" si="95">ISNUMBER(K69)</f>
        <v>0</v>
      </c>
      <c r="AD69" s="328" t="b">
        <f t="shared" ref="AD69:AD99" si="96">ISNUMBER(M69)</f>
        <v>0</v>
      </c>
      <c r="AE69" s="328" t="b">
        <f t="shared" ref="AE69:AE99" si="97">ISNUMBER(N69)</f>
        <v>0</v>
      </c>
      <c r="AF69" s="328" t="b">
        <f t="shared" ref="AF69:AF99" si="98">ISNUMBER(P69)</f>
        <v>0</v>
      </c>
      <c r="AG69" s="328" t="b">
        <f t="shared" ref="AG69:AG99" si="99">ISNUMBER(Q69)</f>
        <v>0</v>
      </c>
      <c r="AH69" s="328" t="b">
        <f t="shared" ref="AH69:AH99" si="100">ISNUMBER(S69)</f>
        <v>0</v>
      </c>
      <c r="AI69" s="328" t="b">
        <f t="shared" ref="AI69:AI99" si="101">ISNUMBER(T69)</f>
        <v>0</v>
      </c>
      <c r="AJ69" s="328" t="b">
        <f t="shared" ref="AJ69:AJ99" si="102">ISNUMBER(V69)</f>
        <v>0</v>
      </c>
      <c r="AK69" s="328" t="b">
        <f t="shared" ref="AK69:AK99" si="103">ISNUMBER(W69)</f>
        <v>0</v>
      </c>
      <c r="AL69" s="838">
        <f t="shared" ref="AL69:AL99" si="104">IF(Z69=TRUE,"",1)</f>
        <v>1</v>
      </c>
      <c r="AM69" s="839">
        <f t="shared" ref="AM69:AM99" si="105">IF(AA69=TRUE,"",1)</f>
        <v>1</v>
      </c>
      <c r="AN69" s="839">
        <f t="shared" ref="AN69:AN99" si="106">IF(AB69=TRUE,"",1)</f>
        <v>1</v>
      </c>
      <c r="AO69" s="839">
        <f t="shared" ref="AO69:AO99" si="107">IF(AC69=TRUE,"",1)</f>
        <v>1</v>
      </c>
      <c r="AP69" s="839">
        <f t="shared" ref="AP69:AP99" si="108">IF(AD69=TRUE,"",1)</f>
        <v>1</v>
      </c>
      <c r="AQ69" s="839">
        <f t="shared" ref="AQ69:AQ99" si="109">IF(AE69=TRUE,"",1)</f>
        <v>1</v>
      </c>
      <c r="AR69" s="839">
        <f t="shared" ref="AR69:AR99" si="110">IF(AF69=TRUE,"",1)</f>
        <v>1</v>
      </c>
      <c r="AS69" s="839">
        <f t="shared" ref="AS69:AS99" si="111">IF(AG69=TRUE,"",1)</f>
        <v>1</v>
      </c>
      <c r="AT69" s="839">
        <f t="shared" ref="AT69:AT99" si="112">IF(AH69=TRUE,"",1)</f>
        <v>1</v>
      </c>
      <c r="AU69" s="839">
        <f t="shared" ref="AU69:AU99" si="113">IF(AI69=TRUE,"",1)</f>
        <v>1</v>
      </c>
      <c r="AV69" s="839">
        <f t="shared" ref="AV69:AW99" si="114">IF(AJ69=TRUE,"",1)</f>
        <v>1</v>
      </c>
      <c r="AW69" s="843">
        <f t="shared" si="114"/>
        <v>1</v>
      </c>
    </row>
    <row r="70" spans="1:49">
      <c r="A70" s="823">
        <f t="shared" si="91"/>
        <v>0</v>
      </c>
      <c r="B70" s="327" t="s">
        <v>466</v>
      </c>
      <c r="C70" s="327" t="str">
        <f t="shared" si="69"/>
        <v/>
      </c>
      <c r="D70" s="327" t="str">
        <f t="shared" si="70"/>
        <v/>
      </c>
      <c r="E70" s="327" t="str">
        <f t="shared" si="71"/>
        <v/>
      </c>
      <c r="F70" s="327" t="str">
        <f t="shared" si="72"/>
        <v/>
      </c>
      <c r="G70" s="812" t="str">
        <f t="shared" si="73"/>
        <v/>
      </c>
      <c r="H70" s="812" t="str">
        <f t="shared" si="74"/>
        <v/>
      </c>
      <c r="I70" s="817" t="str">
        <f t="shared" si="75"/>
        <v/>
      </c>
      <c r="J70" s="812" t="str">
        <f t="shared" si="76"/>
        <v/>
      </c>
      <c r="K70" s="812" t="str">
        <f t="shared" si="77"/>
        <v/>
      </c>
      <c r="L70" s="817" t="str">
        <f t="shared" si="78"/>
        <v/>
      </c>
      <c r="M70" s="812" t="str">
        <f t="shared" si="79"/>
        <v/>
      </c>
      <c r="N70" s="812" t="str">
        <f t="shared" si="80"/>
        <v/>
      </c>
      <c r="O70" s="817" t="str">
        <f t="shared" si="81"/>
        <v/>
      </c>
      <c r="P70" s="812" t="str">
        <f t="shared" si="82"/>
        <v/>
      </c>
      <c r="Q70" s="812" t="str">
        <f t="shared" si="83"/>
        <v/>
      </c>
      <c r="R70" s="817" t="str">
        <f t="shared" si="84"/>
        <v/>
      </c>
      <c r="S70" s="812" t="str">
        <f t="shared" si="85"/>
        <v/>
      </c>
      <c r="T70" s="805" t="str">
        <f t="shared" si="86"/>
        <v/>
      </c>
      <c r="U70" s="806" t="str">
        <f t="shared" si="87"/>
        <v/>
      </c>
      <c r="V70" s="812" t="str">
        <f t="shared" si="88"/>
        <v/>
      </c>
      <c r="W70" s="805" t="str">
        <f t="shared" si="89"/>
        <v/>
      </c>
      <c r="X70" s="806" t="str">
        <f t="shared" si="90"/>
        <v/>
      </c>
      <c r="Z70" s="328" t="b">
        <f t="shared" si="92"/>
        <v>0</v>
      </c>
      <c r="AA70" s="328" t="b">
        <f t="shared" si="93"/>
        <v>0</v>
      </c>
      <c r="AB70" s="328" t="b">
        <f t="shared" si="94"/>
        <v>0</v>
      </c>
      <c r="AC70" s="328" t="b">
        <f t="shared" si="95"/>
        <v>0</v>
      </c>
      <c r="AD70" s="328" t="b">
        <f t="shared" si="96"/>
        <v>0</v>
      </c>
      <c r="AE70" s="328" t="b">
        <f t="shared" si="97"/>
        <v>0</v>
      </c>
      <c r="AF70" s="328" t="b">
        <f t="shared" si="98"/>
        <v>0</v>
      </c>
      <c r="AG70" s="328" t="b">
        <f t="shared" si="99"/>
        <v>0</v>
      </c>
      <c r="AH70" s="328" t="b">
        <f t="shared" si="100"/>
        <v>0</v>
      </c>
      <c r="AI70" s="328" t="b">
        <f t="shared" si="101"/>
        <v>0</v>
      </c>
      <c r="AJ70" s="328" t="b">
        <f t="shared" si="102"/>
        <v>0</v>
      </c>
      <c r="AK70" s="328" t="b">
        <f t="shared" si="103"/>
        <v>0</v>
      </c>
      <c r="AL70" s="838">
        <f t="shared" si="104"/>
        <v>1</v>
      </c>
      <c r="AM70" s="839">
        <f t="shared" si="105"/>
        <v>1</v>
      </c>
      <c r="AN70" s="839">
        <f t="shared" si="106"/>
        <v>1</v>
      </c>
      <c r="AO70" s="839">
        <f t="shared" si="107"/>
        <v>1</v>
      </c>
      <c r="AP70" s="839">
        <f t="shared" si="108"/>
        <v>1</v>
      </c>
      <c r="AQ70" s="839">
        <f t="shared" si="109"/>
        <v>1</v>
      </c>
      <c r="AR70" s="839">
        <f t="shared" si="110"/>
        <v>1</v>
      </c>
      <c r="AS70" s="839">
        <f t="shared" si="111"/>
        <v>1</v>
      </c>
      <c r="AT70" s="839">
        <f t="shared" si="112"/>
        <v>1</v>
      </c>
      <c r="AU70" s="839">
        <f t="shared" si="113"/>
        <v>1</v>
      </c>
      <c r="AV70" s="839">
        <f t="shared" si="114"/>
        <v>1</v>
      </c>
      <c r="AW70" s="843">
        <f t="shared" si="114"/>
        <v>1</v>
      </c>
    </row>
    <row r="71" spans="1:49">
      <c r="A71" s="823">
        <f t="shared" si="91"/>
        <v>0</v>
      </c>
      <c r="B71" s="327" t="s">
        <v>467</v>
      </c>
      <c r="C71" s="327" t="str">
        <f t="shared" si="69"/>
        <v/>
      </c>
      <c r="D71" s="327" t="str">
        <f t="shared" si="70"/>
        <v/>
      </c>
      <c r="E71" s="327" t="str">
        <f t="shared" si="71"/>
        <v/>
      </c>
      <c r="F71" s="327" t="str">
        <f t="shared" si="72"/>
        <v/>
      </c>
      <c r="G71" s="812" t="str">
        <f t="shared" si="73"/>
        <v/>
      </c>
      <c r="H71" s="812" t="str">
        <f t="shared" si="74"/>
        <v/>
      </c>
      <c r="I71" s="817" t="str">
        <f t="shared" si="75"/>
        <v/>
      </c>
      <c r="J71" s="812" t="str">
        <f t="shared" si="76"/>
        <v/>
      </c>
      <c r="K71" s="812" t="str">
        <f t="shared" si="77"/>
        <v/>
      </c>
      <c r="L71" s="817" t="str">
        <f t="shared" si="78"/>
        <v/>
      </c>
      <c r="M71" s="812" t="str">
        <f t="shared" si="79"/>
        <v/>
      </c>
      <c r="N71" s="812" t="str">
        <f t="shared" si="80"/>
        <v/>
      </c>
      <c r="O71" s="817" t="str">
        <f t="shared" si="81"/>
        <v/>
      </c>
      <c r="P71" s="812" t="str">
        <f t="shared" si="82"/>
        <v/>
      </c>
      <c r="Q71" s="812" t="str">
        <f t="shared" si="83"/>
        <v/>
      </c>
      <c r="R71" s="817" t="str">
        <f t="shared" si="84"/>
        <v/>
      </c>
      <c r="S71" s="812" t="str">
        <f t="shared" si="85"/>
        <v/>
      </c>
      <c r="T71" s="805" t="str">
        <f t="shared" si="86"/>
        <v/>
      </c>
      <c r="U71" s="806" t="str">
        <f t="shared" si="87"/>
        <v/>
      </c>
      <c r="V71" s="812" t="str">
        <f t="shared" si="88"/>
        <v/>
      </c>
      <c r="W71" s="805" t="str">
        <f t="shared" si="89"/>
        <v/>
      </c>
      <c r="X71" s="806" t="str">
        <f t="shared" si="90"/>
        <v/>
      </c>
      <c r="Z71" s="328" t="b">
        <f t="shared" si="92"/>
        <v>0</v>
      </c>
      <c r="AA71" s="328" t="b">
        <f t="shared" si="93"/>
        <v>0</v>
      </c>
      <c r="AB71" s="328" t="b">
        <f t="shared" si="94"/>
        <v>0</v>
      </c>
      <c r="AC71" s="328" t="b">
        <f t="shared" si="95"/>
        <v>0</v>
      </c>
      <c r="AD71" s="328" t="b">
        <f t="shared" si="96"/>
        <v>0</v>
      </c>
      <c r="AE71" s="328" t="b">
        <f t="shared" si="97"/>
        <v>0</v>
      </c>
      <c r="AF71" s="328" t="b">
        <f t="shared" si="98"/>
        <v>0</v>
      </c>
      <c r="AG71" s="328" t="b">
        <f t="shared" si="99"/>
        <v>0</v>
      </c>
      <c r="AH71" s="328" t="b">
        <f t="shared" si="100"/>
        <v>0</v>
      </c>
      <c r="AI71" s="328" t="b">
        <f t="shared" si="101"/>
        <v>0</v>
      </c>
      <c r="AJ71" s="328" t="b">
        <f t="shared" si="102"/>
        <v>0</v>
      </c>
      <c r="AK71" s="328" t="b">
        <f t="shared" si="103"/>
        <v>0</v>
      </c>
      <c r="AL71" s="838">
        <f t="shared" si="104"/>
        <v>1</v>
      </c>
      <c r="AM71" s="839">
        <f t="shared" si="105"/>
        <v>1</v>
      </c>
      <c r="AN71" s="839">
        <f t="shared" si="106"/>
        <v>1</v>
      </c>
      <c r="AO71" s="839">
        <f t="shared" si="107"/>
        <v>1</v>
      </c>
      <c r="AP71" s="839">
        <f t="shared" si="108"/>
        <v>1</v>
      </c>
      <c r="AQ71" s="839">
        <f t="shared" si="109"/>
        <v>1</v>
      </c>
      <c r="AR71" s="839">
        <f t="shared" si="110"/>
        <v>1</v>
      </c>
      <c r="AS71" s="839">
        <f t="shared" si="111"/>
        <v>1</v>
      </c>
      <c r="AT71" s="839">
        <f t="shared" si="112"/>
        <v>1</v>
      </c>
      <c r="AU71" s="839">
        <f t="shared" si="113"/>
        <v>1</v>
      </c>
      <c r="AV71" s="839">
        <f t="shared" si="114"/>
        <v>1</v>
      </c>
      <c r="AW71" s="843">
        <f t="shared" si="114"/>
        <v>1</v>
      </c>
    </row>
    <row r="72" spans="1:49">
      <c r="A72" s="823">
        <f t="shared" si="91"/>
        <v>0</v>
      </c>
      <c r="B72" s="327" t="s">
        <v>468</v>
      </c>
      <c r="C72" s="327" t="str">
        <f t="shared" si="69"/>
        <v/>
      </c>
      <c r="D72" s="327" t="str">
        <f t="shared" si="70"/>
        <v/>
      </c>
      <c r="E72" s="327" t="str">
        <f t="shared" si="71"/>
        <v/>
      </c>
      <c r="F72" s="327" t="str">
        <f t="shared" si="72"/>
        <v/>
      </c>
      <c r="G72" s="812" t="str">
        <f t="shared" si="73"/>
        <v/>
      </c>
      <c r="H72" s="812" t="str">
        <f t="shared" si="74"/>
        <v/>
      </c>
      <c r="I72" s="817" t="str">
        <f t="shared" si="75"/>
        <v/>
      </c>
      <c r="J72" s="812" t="str">
        <f t="shared" si="76"/>
        <v/>
      </c>
      <c r="K72" s="812" t="str">
        <f t="shared" si="77"/>
        <v/>
      </c>
      <c r="L72" s="817" t="str">
        <f t="shared" si="78"/>
        <v/>
      </c>
      <c r="M72" s="812" t="str">
        <f t="shared" si="79"/>
        <v/>
      </c>
      <c r="N72" s="812" t="str">
        <f t="shared" si="80"/>
        <v/>
      </c>
      <c r="O72" s="817" t="str">
        <f t="shared" si="81"/>
        <v/>
      </c>
      <c r="P72" s="812" t="str">
        <f t="shared" si="82"/>
        <v/>
      </c>
      <c r="Q72" s="812" t="str">
        <f t="shared" si="83"/>
        <v/>
      </c>
      <c r="R72" s="817" t="str">
        <f t="shared" si="84"/>
        <v/>
      </c>
      <c r="S72" s="812" t="str">
        <f t="shared" si="85"/>
        <v/>
      </c>
      <c r="T72" s="805" t="str">
        <f t="shared" si="86"/>
        <v/>
      </c>
      <c r="U72" s="806" t="str">
        <f t="shared" si="87"/>
        <v/>
      </c>
      <c r="V72" s="812" t="str">
        <f t="shared" si="88"/>
        <v/>
      </c>
      <c r="W72" s="805" t="str">
        <f t="shared" si="89"/>
        <v/>
      </c>
      <c r="X72" s="806" t="str">
        <f t="shared" si="90"/>
        <v/>
      </c>
      <c r="Z72" s="328" t="b">
        <f t="shared" si="92"/>
        <v>0</v>
      </c>
      <c r="AA72" s="328" t="b">
        <f t="shared" si="93"/>
        <v>0</v>
      </c>
      <c r="AB72" s="328" t="b">
        <f t="shared" si="94"/>
        <v>0</v>
      </c>
      <c r="AC72" s="328" t="b">
        <f t="shared" si="95"/>
        <v>0</v>
      </c>
      <c r="AD72" s="328" t="b">
        <f t="shared" si="96"/>
        <v>0</v>
      </c>
      <c r="AE72" s="328" t="b">
        <f t="shared" si="97"/>
        <v>0</v>
      </c>
      <c r="AF72" s="328" t="b">
        <f t="shared" si="98"/>
        <v>0</v>
      </c>
      <c r="AG72" s="328" t="b">
        <f t="shared" si="99"/>
        <v>0</v>
      </c>
      <c r="AH72" s="328" t="b">
        <f t="shared" si="100"/>
        <v>0</v>
      </c>
      <c r="AI72" s="328" t="b">
        <f t="shared" si="101"/>
        <v>0</v>
      </c>
      <c r="AJ72" s="328" t="b">
        <f t="shared" si="102"/>
        <v>0</v>
      </c>
      <c r="AK72" s="328" t="b">
        <f t="shared" si="103"/>
        <v>0</v>
      </c>
      <c r="AL72" s="838">
        <f t="shared" si="104"/>
        <v>1</v>
      </c>
      <c r="AM72" s="839">
        <f t="shared" si="105"/>
        <v>1</v>
      </c>
      <c r="AN72" s="839">
        <f t="shared" si="106"/>
        <v>1</v>
      </c>
      <c r="AO72" s="839">
        <f t="shared" si="107"/>
        <v>1</v>
      </c>
      <c r="AP72" s="839">
        <f t="shared" si="108"/>
        <v>1</v>
      </c>
      <c r="AQ72" s="839">
        <f t="shared" si="109"/>
        <v>1</v>
      </c>
      <c r="AR72" s="839">
        <f t="shared" si="110"/>
        <v>1</v>
      </c>
      <c r="AS72" s="839">
        <f t="shared" si="111"/>
        <v>1</v>
      </c>
      <c r="AT72" s="839">
        <f t="shared" si="112"/>
        <v>1</v>
      </c>
      <c r="AU72" s="839">
        <f t="shared" si="113"/>
        <v>1</v>
      </c>
      <c r="AV72" s="839">
        <f t="shared" si="114"/>
        <v>1</v>
      </c>
      <c r="AW72" s="843">
        <f t="shared" si="114"/>
        <v>1</v>
      </c>
    </row>
    <row r="73" spans="1:49">
      <c r="A73" s="823">
        <f t="shared" si="91"/>
        <v>0</v>
      </c>
      <c r="B73" s="327" t="s">
        <v>474</v>
      </c>
      <c r="C73" s="327" t="str">
        <f t="shared" si="69"/>
        <v>Xà bông 1
預脫脂</v>
      </c>
      <c r="D73" s="327" t="str">
        <f t="shared" si="70"/>
        <v>XD-000A</v>
      </c>
      <c r="E73" s="327" t="str">
        <f t="shared" si="71"/>
        <v>g/L</v>
      </c>
      <c r="F73" s="327" t="str">
        <f t="shared" si="72"/>
        <v>10~20
 (15)</v>
      </c>
      <c r="G73" s="812">
        <f t="shared" si="73"/>
        <v>19</v>
      </c>
      <c r="H73" s="812">
        <f t="shared" si="74"/>
        <v>0</v>
      </c>
      <c r="I73" s="817" t="str">
        <f t="shared" si="75"/>
        <v>kg</v>
      </c>
      <c r="J73" s="812">
        <f t="shared" si="76"/>
        <v>19</v>
      </c>
      <c r="K73" s="812">
        <f t="shared" si="77"/>
        <v>0</v>
      </c>
      <c r="L73" s="817" t="str">
        <f t="shared" si="78"/>
        <v>kg</v>
      </c>
      <c r="M73" s="812">
        <f t="shared" si="79"/>
        <v>0</v>
      </c>
      <c r="N73" s="812">
        <f t="shared" si="80"/>
        <v>0</v>
      </c>
      <c r="O73" s="817">
        <f t="shared" si="81"/>
        <v>0</v>
      </c>
      <c r="P73" s="812">
        <f t="shared" si="82"/>
        <v>0</v>
      </c>
      <c r="Q73" s="812">
        <f t="shared" si="83"/>
        <v>0</v>
      </c>
      <c r="R73" s="817">
        <f t="shared" si="84"/>
        <v>0</v>
      </c>
      <c r="S73" s="812">
        <f t="shared" si="85"/>
        <v>0</v>
      </c>
      <c r="T73" s="805">
        <f t="shared" si="86"/>
        <v>0</v>
      </c>
      <c r="U73" s="806">
        <f t="shared" si="87"/>
        <v>0</v>
      </c>
      <c r="V73" s="812">
        <f t="shared" si="88"/>
        <v>0</v>
      </c>
      <c r="W73" s="805">
        <f t="shared" si="89"/>
        <v>0</v>
      </c>
      <c r="X73" s="806">
        <f t="shared" si="90"/>
        <v>0</v>
      </c>
      <c r="Z73" s="328" t="b">
        <f t="shared" si="92"/>
        <v>1</v>
      </c>
      <c r="AA73" s="328" t="b">
        <f t="shared" si="93"/>
        <v>1</v>
      </c>
      <c r="AB73" s="328" t="b">
        <f t="shared" si="94"/>
        <v>1</v>
      </c>
      <c r="AC73" s="328" t="b">
        <f t="shared" si="95"/>
        <v>1</v>
      </c>
      <c r="AD73" s="328" t="b">
        <f t="shared" si="96"/>
        <v>1</v>
      </c>
      <c r="AE73" s="328" t="b">
        <f t="shared" si="97"/>
        <v>1</v>
      </c>
      <c r="AF73" s="328" t="b">
        <f t="shared" si="98"/>
        <v>1</v>
      </c>
      <c r="AG73" s="328" t="b">
        <f t="shared" si="99"/>
        <v>1</v>
      </c>
      <c r="AH73" s="328" t="b">
        <f t="shared" si="100"/>
        <v>1</v>
      </c>
      <c r="AI73" s="328" t="b">
        <f t="shared" si="101"/>
        <v>1</v>
      </c>
      <c r="AJ73" s="328" t="b">
        <f t="shared" si="102"/>
        <v>1</v>
      </c>
      <c r="AK73" s="328" t="b">
        <f t="shared" si="103"/>
        <v>1</v>
      </c>
      <c r="AL73" s="838" t="str">
        <f t="shared" si="104"/>
        <v/>
      </c>
      <c r="AM73" s="839" t="str">
        <f t="shared" si="105"/>
        <v/>
      </c>
      <c r="AN73" s="839" t="str">
        <f t="shared" si="106"/>
        <v/>
      </c>
      <c r="AO73" s="839" t="str">
        <f t="shared" si="107"/>
        <v/>
      </c>
      <c r="AP73" s="839" t="str">
        <f t="shared" si="108"/>
        <v/>
      </c>
      <c r="AQ73" s="839" t="str">
        <f t="shared" si="109"/>
        <v/>
      </c>
      <c r="AR73" s="839" t="str">
        <f t="shared" si="110"/>
        <v/>
      </c>
      <c r="AS73" s="839" t="str">
        <f t="shared" si="111"/>
        <v/>
      </c>
      <c r="AT73" s="839" t="str">
        <f t="shared" si="112"/>
        <v/>
      </c>
      <c r="AU73" s="839" t="str">
        <f t="shared" si="113"/>
        <v/>
      </c>
      <c r="AV73" s="839" t="str">
        <f t="shared" si="114"/>
        <v/>
      </c>
      <c r="AW73" s="843" t="str">
        <f t="shared" si="114"/>
        <v/>
      </c>
    </row>
    <row r="74" spans="1:49">
      <c r="A74" s="823">
        <f t="shared" si="91"/>
        <v>0</v>
      </c>
      <c r="B74" s="327" t="s">
        <v>478</v>
      </c>
      <c r="C74" s="327" t="str">
        <f t="shared" si="69"/>
        <v>Xà bông 2
主脫脂</v>
      </c>
      <c r="D74" s="327" t="str">
        <f t="shared" si="70"/>
        <v>XD-000A</v>
      </c>
      <c r="E74" s="327" t="str">
        <f t="shared" si="71"/>
        <v>g/L</v>
      </c>
      <c r="F74" s="327" t="str">
        <f t="shared" si="72"/>
        <v>40~60
(50±5)</v>
      </c>
      <c r="G74" s="812">
        <f t="shared" si="73"/>
        <v>60.357000000000006</v>
      </c>
      <c r="H74" s="812">
        <f t="shared" si="74"/>
        <v>0</v>
      </c>
      <c r="I74" s="817" t="str">
        <f t="shared" si="75"/>
        <v>kg</v>
      </c>
      <c r="J74" s="812">
        <f t="shared" si="76"/>
        <v>61.006000000000007</v>
      </c>
      <c r="K74" s="812">
        <f t="shared" si="77"/>
        <v>0</v>
      </c>
      <c r="L74" s="817" t="str">
        <f t="shared" si="78"/>
        <v>kg</v>
      </c>
      <c r="M74" s="812">
        <f t="shared" si="79"/>
        <v>0</v>
      </c>
      <c r="N74" s="812">
        <f t="shared" si="80"/>
        <v>0</v>
      </c>
      <c r="O74" s="817">
        <f t="shared" si="81"/>
        <v>0</v>
      </c>
      <c r="P74" s="812">
        <f t="shared" si="82"/>
        <v>0</v>
      </c>
      <c r="Q74" s="812">
        <f t="shared" si="83"/>
        <v>0</v>
      </c>
      <c r="R74" s="817">
        <f t="shared" si="84"/>
        <v>0</v>
      </c>
      <c r="S74" s="812">
        <f t="shared" si="85"/>
        <v>0</v>
      </c>
      <c r="T74" s="805">
        <f t="shared" si="86"/>
        <v>0</v>
      </c>
      <c r="U74" s="806">
        <f t="shared" si="87"/>
        <v>0</v>
      </c>
      <c r="V74" s="812">
        <f t="shared" si="88"/>
        <v>0</v>
      </c>
      <c r="W74" s="805">
        <f t="shared" si="89"/>
        <v>0</v>
      </c>
      <c r="X74" s="806">
        <f t="shared" si="90"/>
        <v>0</v>
      </c>
      <c r="Z74" s="328" t="b">
        <f t="shared" si="92"/>
        <v>1</v>
      </c>
      <c r="AA74" s="328" t="b">
        <f t="shared" si="93"/>
        <v>1</v>
      </c>
      <c r="AB74" s="328" t="b">
        <f t="shared" si="94"/>
        <v>1</v>
      </c>
      <c r="AC74" s="328" t="b">
        <f t="shared" si="95"/>
        <v>1</v>
      </c>
      <c r="AD74" s="328" t="b">
        <f t="shared" si="96"/>
        <v>1</v>
      </c>
      <c r="AE74" s="328" t="b">
        <f t="shared" si="97"/>
        <v>1</v>
      </c>
      <c r="AF74" s="328" t="b">
        <f t="shared" si="98"/>
        <v>1</v>
      </c>
      <c r="AG74" s="328" t="b">
        <f t="shared" si="99"/>
        <v>1</v>
      </c>
      <c r="AH74" s="328" t="b">
        <f t="shared" si="100"/>
        <v>1</v>
      </c>
      <c r="AI74" s="328" t="b">
        <f t="shared" si="101"/>
        <v>1</v>
      </c>
      <c r="AJ74" s="328" t="b">
        <f t="shared" si="102"/>
        <v>1</v>
      </c>
      <c r="AK74" s="328" t="b">
        <f t="shared" si="103"/>
        <v>1</v>
      </c>
      <c r="AL74" s="838" t="str">
        <f t="shared" si="104"/>
        <v/>
      </c>
      <c r="AM74" s="839" t="str">
        <f t="shared" si="105"/>
        <v/>
      </c>
      <c r="AN74" s="839" t="str">
        <f t="shared" si="106"/>
        <v/>
      </c>
      <c r="AO74" s="839" t="str">
        <f t="shared" si="107"/>
        <v/>
      </c>
      <c r="AP74" s="839" t="str">
        <f t="shared" si="108"/>
        <v/>
      </c>
      <c r="AQ74" s="839" t="str">
        <f t="shared" si="109"/>
        <v/>
      </c>
      <c r="AR74" s="839" t="str">
        <f t="shared" si="110"/>
        <v/>
      </c>
      <c r="AS74" s="839" t="str">
        <f t="shared" si="111"/>
        <v/>
      </c>
      <c r="AT74" s="839" t="str">
        <f t="shared" si="112"/>
        <v/>
      </c>
      <c r="AU74" s="839" t="str">
        <f t="shared" si="113"/>
        <v/>
      </c>
      <c r="AV74" s="839" t="str">
        <f t="shared" si="114"/>
        <v/>
      </c>
      <c r="AW74" s="843" t="str">
        <f t="shared" si="114"/>
        <v/>
      </c>
    </row>
    <row r="75" spans="1:49">
      <c r="A75" s="823">
        <f t="shared" si="91"/>
        <v>0</v>
      </c>
      <c r="B75" s="327" t="s">
        <v>480</v>
      </c>
      <c r="C75" s="327" t="str">
        <f t="shared" ref="C75:C99" si="115">IFERROR(VLOOKUP($B75,RLMLXD,2,0),"")</f>
        <v xml:space="preserve">Xà bông 3 (siêu âm)
超音波脫脂
</v>
      </c>
      <c r="D75" s="327" t="str">
        <f t="shared" ref="D75:D99" si="116">IFERROR(VLOOKUP($B75,RLMLXD,43,0),"")</f>
        <v>XD-000A</v>
      </c>
      <c r="E75" s="327" t="str">
        <f t="shared" ref="E75:E99" si="117">IFERROR(VLOOKUP($B75,RLMLXD,4,0),"")</f>
        <v>g/L</v>
      </c>
      <c r="F75" s="327" t="str">
        <f t="shared" ref="F75:F99" si="118">IFERROR(VLOOKUP($B75,RLMLXD,5,0),"")</f>
        <v>40~60
(50±5)</v>
      </c>
      <c r="G75" s="812">
        <f t="shared" si="73"/>
        <v>62.304000000000002</v>
      </c>
      <c r="H75" s="812">
        <f t="shared" si="74"/>
        <v>0</v>
      </c>
      <c r="I75" s="817" t="str">
        <f t="shared" si="75"/>
        <v>kg</v>
      </c>
      <c r="J75" s="812">
        <f t="shared" si="76"/>
        <v>62.952999999999996</v>
      </c>
      <c r="K75" s="812">
        <f t="shared" si="77"/>
        <v>0</v>
      </c>
      <c r="L75" s="817" t="str">
        <f t="shared" si="78"/>
        <v>kg</v>
      </c>
      <c r="M75" s="812">
        <f t="shared" si="79"/>
        <v>0</v>
      </c>
      <c r="N75" s="812">
        <f t="shared" si="80"/>
        <v>0</v>
      </c>
      <c r="O75" s="817">
        <f t="shared" si="81"/>
        <v>0</v>
      </c>
      <c r="P75" s="812">
        <f t="shared" si="82"/>
        <v>0</v>
      </c>
      <c r="Q75" s="812">
        <f t="shared" si="83"/>
        <v>0</v>
      </c>
      <c r="R75" s="817">
        <f t="shared" si="84"/>
        <v>0</v>
      </c>
      <c r="S75" s="812">
        <f t="shared" si="85"/>
        <v>0</v>
      </c>
      <c r="T75" s="805">
        <f t="shared" si="86"/>
        <v>0</v>
      </c>
      <c r="U75" s="806">
        <f t="shared" si="87"/>
        <v>0</v>
      </c>
      <c r="V75" s="812">
        <f t="shared" si="88"/>
        <v>0</v>
      </c>
      <c r="W75" s="805">
        <f t="shared" si="89"/>
        <v>0</v>
      </c>
      <c r="X75" s="806">
        <f t="shared" si="90"/>
        <v>0</v>
      </c>
      <c r="Z75" s="328" t="b">
        <f t="shared" si="92"/>
        <v>1</v>
      </c>
      <c r="AA75" s="328" t="b">
        <f t="shared" si="93"/>
        <v>1</v>
      </c>
      <c r="AB75" s="328" t="b">
        <f t="shared" si="94"/>
        <v>1</v>
      </c>
      <c r="AC75" s="328" t="b">
        <f t="shared" si="95"/>
        <v>1</v>
      </c>
      <c r="AD75" s="328" t="b">
        <f t="shared" si="96"/>
        <v>1</v>
      </c>
      <c r="AE75" s="328" t="b">
        <f t="shared" si="97"/>
        <v>1</v>
      </c>
      <c r="AF75" s="328" t="b">
        <f t="shared" si="98"/>
        <v>1</v>
      </c>
      <c r="AG75" s="328" t="b">
        <f t="shared" si="99"/>
        <v>1</v>
      </c>
      <c r="AH75" s="328" t="b">
        <f t="shared" si="100"/>
        <v>1</v>
      </c>
      <c r="AI75" s="328" t="b">
        <f t="shared" si="101"/>
        <v>1</v>
      </c>
      <c r="AJ75" s="328" t="b">
        <f t="shared" si="102"/>
        <v>1</v>
      </c>
      <c r="AK75" s="328" t="b">
        <f t="shared" si="103"/>
        <v>1</v>
      </c>
      <c r="AL75" s="838" t="str">
        <f t="shared" si="104"/>
        <v/>
      </c>
      <c r="AM75" s="839" t="str">
        <f t="shared" si="105"/>
        <v/>
      </c>
      <c r="AN75" s="839" t="str">
        <f t="shared" si="106"/>
        <v/>
      </c>
      <c r="AO75" s="839" t="str">
        <f t="shared" si="107"/>
        <v/>
      </c>
      <c r="AP75" s="839" t="str">
        <f t="shared" si="108"/>
        <v/>
      </c>
      <c r="AQ75" s="839" t="str">
        <f t="shared" si="109"/>
        <v/>
      </c>
      <c r="AR75" s="839" t="str">
        <f t="shared" si="110"/>
        <v/>
      </c>
      <c r="AS75" s="839" t="str">
        <f t="shared" si="111"/>
        <v/>
      </c>
      <c r="AT75" s="839" t="str">
        <f t="shared" si="112"/>
        <v/>
      </c>
      <c r="AU75" s="839" t="str">
        <f t="shared" si="113"/>
        <v/>
      </c>
      <c r="AV75" s="839" t="str">
        <f t="shared" si="114"/>
        <v/>
      </c>
      <c r="AW75" s="843" t="str">
        <f t="shared" si="114"/>
        <v/>
      </c>
    </row>
    <row r="76" spans="1:49">
      <c r="A76" s="823">
        <f t="shared" si="91"/>
        <v>0</v>
      </c>
      <c r="B76" s="327" t="s">
        <v>482</v>
      </c>
      <c r="C76" s="327" t="str">
        <f t="shared" si="115"/>
        <v>Rửa acid
酸洗</v>
      </c>
      <c r="D76" s="327" t="str">
        <f t="shared" si="116"/>
        <v>XD-000A</v>
      </c>
      <c r="E76" s="327" t="str">
        <f t="shared" si="117"/>
        <v>Point</v>
      </c>
      <c r="F76" s="327" t="str">
        <f t="shared" si="118"/>
        <v>5~15
(10)</v>
      </c>
      <c r="G76" s="812">
        <f t="shared" si="73"/>
        <v>0</v>
      </c>
      <c r="H76" s="812">
        <f t="shared" si="74"/>
        <v>124.63199999999999</v>
      </c>
      <c r="I76" s="817" t="str">
        <f t="shared" si="75"/>
        <v>L</v>
      </c>
      <c r="J76" s="812">
        <f t="shared" si="76"/>
        <v>0</v>
      </c>
      <c r="K76" s="812">
        <f t="shared" si="77"/>
        <v>124.63199999999999</v>
      </c>
      <c r="L76" s="817" t="str">
        <f t="shared" si="78"/>
        <v>L</v>
      </c>
      <c r="M76" s="812">
        <f t="shared" si="79"/>
        <v>0</v>
      </c>
      <c r="N76" s="812">
        <f t="shared" si="80"/>
        <v>0</v>
      </c>
      <c r="O76" s="817">
        <f t="shared" si="81"/>
        <v>0</v>
      </c>
      <c r="P76" s="812">
        <f t="shared" si="82"/>
        <v>0</v>
      </c>
      <c r="Q76" s="812">
        <f t="shared" si="83"/>
        <v>0</v>
      </c>
      <c r="R76" s="817">
        <f t="shared" si="84"/>
        <v>0</v>
      </c>
      <c r="S76" s="812">
        <f t="shared" si="85"/>
        <v>0</v>
      </c>
      <c r="T76" s="805">
        <f t="shared" si="86"/>
        <v>0</v>
      </c>
      <c r="U76" s="806">
        <f t="shared" si="87"/>
        <v>0</v>
      </c>
      <c r="V76" s="812">
        <f t="shared" si="88"/>
        <v>0</v>
      </c>
      <c r="W76" s="805">
        <f t="shared" si="89"/>
        <v>0</v>
      </c>
      <c r="X76" s="806">
        <f t="shared" si="90"/>
        <v>0</v>
      </c>
      <c r="Z76" s="328" t="b">
        <f t="shared" si="92"/>
        <v>1</v>
      </c>
      <c r="AA76" s="328" t="b">
        <f t="shared" si="93"/>
        <v>1</v>
      </c>
      <c r="AB76" s="328" t="b">
        <f t="shared" si="94"/>
        <v>1</v>
      </c>
      <c r="AC76" s="328" t="b">
        <f t="shared" si="95"/>
        <v>1</v>
      </c>
      <c r="AD76" s="328" t="b">
        <f t="shared" si="96"/>
        <v>1</v>
      </c>
      <c r="AE76" s="328" t="b">
        <f t="shared" si="97"/>
        <v>1</v>
      </c>
      <c r="AF76" s="328" t="b">
        <f t="shared" si="98"/>
        <v>1</v>
      </c>
      <c r="AG76" s="328" t="b">
        <f t="shared" si="99"/>
        <v>1</v>
      </c>
      <c r="AH76" s="328" t="b">
        <f t="shared" si="100"/>
        <v>1</v>
      </c>
      <c r="AI76" s="328" t="b">
        <f t="shared" si="101"/>
        <v>1</v>
      </c>
      <c r="AJ76" s="328" t="b">
        <f t="shared" si="102"/>
        <v>1</v>
      </c>
      <c r="AK76" s="328" t="b">
        <f t="shared" si="103"/>
        <v>1</v>
      </c>
      <c r="AL76" s="838" t="str">
        <f t="shared" si="104"/>
        <v/>
      </c>
      <c r="AM76" s="839" t="str">
        <f t="shared" si="105"/>
        <v/>
      </c>
      <c r="AN76" s="839" t="str">
        <f t="shared" si="106"/>
        <v/>
      </c>
      <c r="AO76" s="839" t="str">
        <f t="shared" si="107"/>
        <v/>
      </c>
      <c r="AP76" s="839" t="str">
        <f t="shared" si="108"/>
        <v/>
      </c>
      <c r="AQ76" s="839" t="str">
        <f t="shared" si="109"/>
        <v/>
      </c>
      <c r="AR76" s="839" t="str">
        <f t="shared" si="110"/>
        <v/>
      </c>
      <c r="AS76" s="839" t="str">
        <f t="shared" si="111"/>
        <v/>
      </c>
      <c r="AT76" s="839" t="str">
        <f t="shared" si="112"/>
        <v/>
      </c>
      <c r="AU76" s="839" t="str">
        <f t="shared" si="113"/>
        <v/>
      </c>
      <c r="AV76" s="839" t="str">
        <f t="shared" si="114"/>
        <v/>
      </c>
      <c r="AW76" s="843" t="str">
        <f t="shared" si="114"/>
        <v/>
      </c>
    </row>
    <row r="77" spans="1:49">
      <c r="A77" s="823">
        <f t="shared" si="91"/>
        <v>0</v>
      </c>
      <c r="B77" s="327" t="s">
        <v>484</v>
      </c>
      <c r="C77" s="327" t="str">
        <f t="shared" si="115"/>
        <v>phosphat                      acid phân ly
磷化處理                     游離酸度</v>
      </c>
      <c r="D77" s="327" t="str">
        <f t="shared" si="116"/>
        <v>XD-000A</v>
      </c>
      <c r="E77" s="327" t="str">
        <f t="shared" si="117"/>
        <v>Point</v>
      </c>
      <c r="F77" s="327" t="str">
        <f t="shared" si="118"/>
        <v>&lt;1.5</v>
      </c>
      <c r="G77" s="812">
        <f t="shared" si="73"/>
        <v>1.2</v>
      </c>
      <c r="H77" s="812">
        <f t="shared" si="74"/>
        <v>0</v>
      </c>
      <c r="I77" s="817" t="str">
        <f t="shared" si="75"/>
        <v>kg</v>
      </c>
      <c r="J77" s="812">
        <f t="shared" si="76"/>
        <v>0.96</v>
      </c>
      <c r="K77" s="812">
        <f t="shared" si="77"/>
        <v>0</v>
      </c>
      <c r="L77" s="817" t="str">
        <f t="shared" si="78"/>
        <v>kg</v>
      </c>
      <c r="M77" s="812">
        <f t="shared" si="79"/>
        <v>0</v>
      </c>
      <c r="N77" s="812">
        <f t="shared" si="80"/>
        <v>0</v>
      </c>
      <c r="O77" s="817">
        <f t="shared" si="81"/>
        <v>0</v>
      </c>
      <c r="P77" s="812">
        <f t="shared" si="82"/>
        <v>0</v>
      </c>
      <c r="Q77" s="812">
        <f t="shared" si="83"/>
        <v>0</v>
      </c>
      <c r="R77" s="817">
        <f t="shared" si="84"/>
        <v>0</v>
      </c>
      <c r="S77" s="812">
        <f t="shared" si="85"/>
        <v>0</v>
      </c>
      <c r="T77" s="805">
        <f t="shared" si="86"/>
        <v>0</v>
      </c>
      <c r="U77" s="806">
        <f t="shared" si="87"/>
        <v>0</v>
      </c>
      <c r="V77" s="812">
        <f t="shared" si="88"/>
        <v>0</v>
      </c>
      <c r="W77" s="805">
        <f t="shared" si="89"/>
        <v>0</v>
      </c>
      <c r="X77" s="806">
        <f t="shared" si="90"/>
        <v>0</v>
      </c>
      <c r="Z77" s="328" t="b">
        <f t="shared" si="92"/>
        <v>1</v>
      </c>
      <c r="AA77" s="328" t="b">
        <f t="shared" si="93"/>
        <v>1</v>
      </c>
      <c r="AB77" s="328" t="b">
        <f t="shared" si="94"/>
        <v>1</v>
      </c>
      <c r="AC77" s="328" t="b">
        <f t="shared" si="95"/>
        <v>1</v>
      </c>
      <c r="AD77" s="328" t="b">
        <f t="shared" si="96"/>
        <v>1</v>
      </c>
      <c r="AE77" s="328" t="b">
        <f t="shared" si="97"/>
        <v>1</v>
      </c>
      <c r="AF77" s="328" t="b">
        <f t="shared" si="98"/>
        <v>1</v>
      </c>
      <c r="AG77" s="328" t="b">
        <f t="shared" si="99"/>
        <v>1</v>
      </c>
      <c r="AH77" s="328" t="b">
        <f t="shared" si="100"/>
        <v>1</v>
      </c>
      <c r="AI77" s="328" t="b">
        <f t="shared" si="101"/>
        <v>1</v>
      </c>
      <c r="AJ77" s="328" t="b">
        <f t="shared" si="102"/>
        <v>1</v>
      </c>
      <c r="AK77" s="328" t="b">
        <f t="shared" si="103"/>
        <v>1</v>
      </c>
      <c r="AL77" s="838" t="str">
        <f t="shared" si="104"/>
        <v/>
      </c>
      <c r="AM77" s="839" t="str">
        <f t="shared" si="105"/>
        <v/>
      </c>
      <c r="AN77" s="839" t="str">
        <f t="shared" si="106"/>
        <v/>
      </c>
      <c r="AO77" s="839" t="str">
        <f t="shared" si="107"/>
        <v/>
      </c>
      <c r="AP77" s="839" t="str">
        <f t="shared" si="108"/>
        <v/>
      </c>
      <c r="AQ77" s="839" t="str">
        <f t="shared" si="109"/>
        <v/>
      </c>
      <c r="AR77" s="839" t="str">
        <f t="shared" si="110"/>
        <v/>
      </c>
      <c r="AS77" s="839" t="str">
        <f t="shared" si="111"/>
        <v/>
      </c>
      <c r="AT77" s="839" t="str">
        <f t="shared" si="112"/>
        <v/>
      </c>
      <c r="AU77" s="839" t="str">
        <f t="shared" si="113"/>
        <v/>
      </c>
      <c r="AV77" s="839" t="str">
        <f t="shared" si="114"/>
        <v/>
      </c>
      <c r="AW77" s="843" t="str">
        <f t="shared" si="114"/>
        <v/>
      </c>
    </row>
    <row r="78" spans="1:49">
      <c r="A78" s="823">
        <f t="shared" si="91"/>
        <v>0</v>
      </c>
      <c r="B78" s="327" t="s">
        <v>487</v>
      </c>
      <c r="C78" s="327" t="str">
        <f t="shared" si="115"/>
        <v>phosphat                      tổng độ chua
磷化處理                      總酸度</v>
      </c>
      <c r="D78" s="327" t="str">
        <f t="shared" si="116"/>
        <v>XD-000A</v>
      </c>
      <c r="E78" s="327" t="str">
        <f t="shared" si="117"/>
        <v>Point</v>
      </c>
      <c r="F78" s="327" t="str">
        <f t="shared" si="118"/>
        <v>20~25
(22.5)</v>
      </c>
      <c r="G78" s="812">
        <f t="shared" si="73"/>
        <v>24.7</v>
      </c>
      <c r="H78" s="812">
        <f t="shared" si="74"/>
        <v>0</v>
      </c>
      <c r="I78" s="817" t="str">
        <f t="shared" si="75"/>
        <v>kg</v>
      </c>
      <c r="J78" s="812">
        <f t="shared" si="76"/>
        <v>24.2</v>
      </c>
      <c r="K78" s="812">
        <f t="shared" si="77"/>
        <v>0</v>
      </c>
      <c r="L78" s="817" t="str">
        <f t="shared" si="78"/>
        <v>kg</v>
      </c>
      <c r="M78" s="812">
        <f t="shared" si="79"/>
        <v>0</v>
      </c>
      <c r="N78" s="812">
        <f t="shared" si="80"/>
        <v>0</v>
      </c>
      <c r="O78" s="817">
        <f t="shared" si="81"/>
        <v>0</v>
      </c>
      <c r="P78" s="812">
        <f t="shared" si="82"/>
        <v>0</v>
      </c>
      <c r="Q78" s="812">
        <f t="shared" si="83"/>
        <v>0</v>
      </c>
      <c r="R78" s="817">
        <f t="shared" si="84"/>
        <v>0</v>
      </c>
      <c r="S78" s="812">
        <f t="shared" si="85"/>
        <v>0</v>
      </c>
      <c r="T78" s="805">
        <f t="shared" si="86"/>
        <v>0</v>
      </c>
      <c r="U78" s="806">
        <f t="shared" si="87"/>
        <v>0</v>
      </c>
      <c r="V78" s="812">
        <f t="shared" si="88"/>
        <v>0</v>
      </c>
      <c r="W78" s="805">
        <f t="shared" si="89"/>
        <v>0</v>
      </c>
      <c r="X78" s="806">
        <f t="shared" si="90"/>
        <v>0</v>
      </c>
      <c r="Z78" s="328" t="b">
        <f t="shared" si="92"/>
        <v>1</v>
      </c>
      <c r="AA78" s="328" t="b">
        <f t="shared" si="93"/>
        <v>1</v>
      </c>
      <c r="AB78" s="328" t="b">
        <f t="shared" si="94"/>
        <v>1</v>
      </c>
      <c r="AC78" s="328" t="b">
        <f t="shared" si="95"/>
        <v>1</v>
      </c>
      <c r="AD78" s="328" t="b">
        <f t="shared" si="96"/>
        <v>1</v>
      </c>
      <c r="AE78" s="328" t="b">
        <f t="shared" si="97"/>
        <v>1</v>
      </c>
      <c r="AF78" s="328" t="b">
        <f t="shared" si="98"/>
        <v>1</v>
      </c>
      <c r="AG78" s="328" t="b">
        <f t="shared" si="99"/>
        <v>1</v>
      </c>
      <c r="AH78" s="328" t="b">
        <f t="shared" si="100"/>
        <v>1</v>
      </c>
      <c r="AI78" s="328" t="b">
        <f t="shared" si="101"/>
        <v>1</v>
      </c>
      <c r="AJ78" s="328" t="b">
        <f t="shared" si="102"/>
        <v>1</v>
      </c>
      <c r="AK78" s="328" t="b">
        <f t="shared" si="103"/>
        <v>1</v>
      </c>
      <c r="AL78" s="838" t="str">
        <f t="shared" si="104"/>
        <v/>
      </c>
      <c r="AM78" s="839" t="str">
        <f t="shared" si="105"/>
        <v/>
      </c>
      <c r="AN78" s="839" t="str">
        <f t="shared" si="106"/>
        <v/>
      </c>
      <c r="AO78" s="839" t="str">
        <f t="shared" si="107"/>
        <v/>
      </c>
      <c r="AP78" s="839" t="str">
        <f t="shared" si="108"/>
        <v/>
      </c>
      <c r="AQ78" s="839" t="str">
        <f t="shared" si="109"/>
        <v/>
      </c>
      <c r="AR78" s="839" t="str">
        <f t="shared" si="110"/>
        <v/>
      </c>
      <c r="AS78" s="839" t="str">
        <f t="shared" si="111"/>
        <v/>
      </c>
      <c r="AT78" s="839" t="str">
        <f t="shared" si="112"/>
        <v/>
      </c>
      <c r="AU78" s="839" t="str">
        <f t="shared" si="113"/>
        <v/>
      </c>
      <c r="AV78" s="839" t="str">
        <f t="shared" si="114"/>
        <v/>
      </c>
      <c r="AW78" s="843" t="str">
        <f t="shared" si="114"/>
        <v/>
      </c>
    </row>
    <row r="79" spans="1:49">
      <c r="A79" s="823">
        <f t="shared" si="91"/>
        <v>0</v>
      </c>
      <c r="B79" s="327" t="s">
        <v>490</v>
      </c>
      <c r="C79" s="327" t="str">
        <f t="shared" si="115"/>
        <v>phosphat                     Xúc tiến  AC
磷化處理                      促進劑</v>
      </c>
      <c r="D79" s="327" t="str">
        <f t="shared" si="116"/>
        <v>XD-000A</v>
      </c>
      <c r="E79" s="327" t="str">
        <f t="shared" si="117"/>
        <v>Point</v>
      </c>
      <c r="F79" s="327" t="str">
        <f t="shared" si="118"/>
        <v>6~9
(7.5)</v>
      </c>
      <c r="G79" s="812">
        <f t="shared" si="73"/>
        <v>8.8000000000000007</v>
      </c>
      <c r="H79" s="812">
        <f t="shared" si="74"/>
        <v>0</v>
      </c>
      <c r="I79" s="817" t="str">
        <f t="shared" si="75"/>
        <v>kg</v>
      </c>
      <c r="J79" s="812">
        <f t="shared" si="76"/>
        <v>9</v>
      </c>
      <c r="K79" s="812">
        <f t="shared" si="77"/>
        <v>0</v>
      </c>
      <c r="L79" s="817" t="str">
        <f t="shared" si="78"/>
        <v>kg</v>
      </c>
      <c r="M79" s="812">
        <f t="shared" si="79"/>
        <v>0</v>
      </c>
      <c r="N79" s="812">
        <f t="shared" si="80"/>
        <v>0</v>
      </c>
      <c r="O79" s="817">
        <f t="shared" si="81"/>
        <v>0</v>
      </c>
      <c r="P79" s="812">
        <f t="shared" si="82"/>
        <v>0</v>
      </c>
      <c r="Q79" s="812">
        <f t="shared" si="83"/>
        <v>0</v>
      </c>
      <c r="R79" s="817">
        <f t="shared" si="84"/>
        <v>0</v>
      </c>
      <c r="S79" s="812">
        <f t="shared" si="85"/>
        <v>0</v>
      </c>
      <c r="T79" s="805">
        <f t="shared" si="86"/>
        <v>0</v>
      </c>
      <c r="U79" s="806">
        <f t="shared" si="87"/>
        <v>0</v>
      </c>
      <c r="V79" s="812">
        <f t="shared" si="88"/>
        <v>0</v>
      </c>
      <c r="W79" s="805">
        <f t="shared" si="89"/>
        <v>0</v>
      </c>
      <c r="X79" s="806">
        <f t="shared" si="90"/>
        <v>0</v>
      </c>
      <c r="Z79" s="328" t="b">
        <f t="shared" si="92"/>
        <v>1</v>
      </c>
      <c r="AA79" s="328" t="b">
        <f t="shared" si="93"/>
        <v>1</v>
      </c>
      <c r="AB79" s="328" t="b">
        <f t="shared" si="94"/>
        <v>1</v>
      </c>
      <c r="AC79" s="328" t="b">
        <f t="shared" si="95"/>
        <v>1</v>
      </c>
      <c r="AD79" s="328" t="b">
        <f t="shared" si="96"/>
        <v>1</v>
      </c>
      <c r="AE79" s="328" t="b">
        <f t="shared" si="97"/>
        <v>1</v>
      </c>
      <c r="AF79" s="328" t="b">
        <f t="shared" si="98"/>
        <v>1</v>
      </c>
      <c r="AG79" s="328" t="b">
        <f t="shared" si="99"/>
        <v>1</v>
      </c>
      <c r="AH79" s="328" t="b">
        <f t="shared" si="100"/>
        <v>1</v>
      </c>
      <c r="AI79" s="328" t="b">
        <f t="shared" si="101"/>
        <v>1</v>
      </c>
      <c r="AJ79" s="328" t="b">
        <f t="shared" si="102"/>
        <v>1</v>
      </c>
      <c r="AK79" s="328" t="b">
        <f t="shared" si="103"/>
        <v>1</v>
      </c>
      <c r="AL79" s="838" t="str">
        <f t="shared" si="104"/>
        <v/>
      </c>
      <c r="AM79" s="839" t="str">
        <f t="shared" si="105"/>
        <v/>
      </c>
      <c r="AN79" s="839" t="str">
        <f t="shared" si="106"/>
        <v/>
      </c>
      <c r="AO79" s="839" t="str">
        <f t="shared" si="107"/>
        <v/>
      </c>
      <c r="AP79" s="839" t="str">
        <f t="shared" si="108"/>
        <v/>
      </c>
      <c r="AQ79" s="839" t="str">
        <f t="shared" si="109"/>
        <v/>
      </c>
      <c r="AR79" s="839" t="str">
        <f t="shared" si="110"/>
        <v/>
      </c>
      <c r="AS79" s="839" t="str">
        <f t="shared" si="111"/>
        <v/>
      </c>
      <c r="AT79" s="839" t="str">
        <f t="shared" si="112"/>
        <v/>
      </c>
      <c r="AU79" s="839" t="str">
        <f t="shared" si="113"/>
        <v/>
      </c>
      <c r="AV79" s="839" t="str">
        <f t="shared" si="114"/>
        <v/>
      </c>
      <c r="AW79" s="843" t="str">
        <f t="shared" si="114"/>
        <v/>
      </c>
    </row>
    <row r="80" spans="1:49">
      <c r="A80" s="823">
        <f t="shared" si="91"/>
        <v>0</v>
      </c>
      <c r="B80" s="327" t="s">
        <v>493</v>
      </c>
      <c r="C80" s="327" t="str">
        <f t="shared" si="115"/>
        <v>chất điều chỉnh (pH&gt;7)
表調</v>
      </c>
      <c r="D80" s="327" t="str">
        <f t="shared" si="116"/>
        <v>XD-000A</v>
      </c>
      <c r="E80" s="327" t="str">
        <f t="shared" si="117"/>
        <v>pH</v>
      </c>
      <c r="F80" s="327" t="str">
        <f t="shared" si="118"/>
        <v>7~10 
(&gt;7)</v>
      </c>
      <c r="G80" s="812">
        <f t="shared" si="73"/>
        <v>7.5</v>
      </c>
      <c r="H80" s="812">
        <f t="shared" si="74"/>
        <v>0</v>
      </c>
      <c r="I80" s="817">
        <f t="shared" si="75"/>
        <v>0</v>
      </c>
      <c r="J80" s="812">
        <f t="shared" si="76"/>
        <v>7.8</v>
      </c>
      <c r="K80" s="812">
        <f t="shared" si="77"/>
        <v>0</v>
      </c>
      <c r="L80" s="817">
        <f t="shared" si="78"/>
        <v>0</v>
      </c>
      <c r="M80" s="812">
        <f t="shared" si="79"/>
        <v>0</v>
      </c>
      <c r="N80" s="812">
        <f t="shared" si="80"/>
        <v>0</v>
      </c>
      <c r="O80" s="817">
        <f t="shared" si="81"/>
        <v>0</v>
      </c>
      <c r="P80" s="812">
        <f t="shared" si="82"/>
        <v>0</v>
      </c>
      <c r="Q80" s="812">
        <f t="shared" si="83"/>
        <v>0</v>
      </c>
      <c r="R80" s="817">
        <f t="shared" si="84"/>
        <v>0</v>
      </c>
      <c r="S80" s="812">
        <f t="shared" si="85"/>
        <v>0</v>
      </c>
      <c r="T80" s="805">
        <f t="shared" si="86"/>
        <v>0</v>
      </c>
      <c r="U80" s="806">
        <f t="shared" si="87"/>
        <v>0</v>
      </c>
      <c r="V80" s="812">
        <f t="shared" si="88"/>
        <v>0</v>
      </c>
      <c r="W80" s="805">
        <f t="shared" si="89"/>
        <v>0</v>
      </c>
      <c r="X80" s="806">
        <f t="shared" si="90"/>
        <v>0</v>
      </c>
      <c r="Z80" s="328" t="b">
        <f t="shared" si="92"/>
        <v>1</v>
      </c>
      <c r="AA80" s="328" t="b">
        <f t="shared" si="93"/>
        <v>1</v>
      </c>
      <c r="AB80" s="328" t="b">
        <f t="shared" si="94"/>
        <v>1</v>
      </c>
      <c r="AC80" s="328" t="b">
        <f t="shared" si="95"/>
        <v>1</v>
      </c>
      <c r="AD80" s="328" t="b">
        <f t="shared" si="96"/>
        <v>1</v>
      </c>
      <c r="AE80" s="328" t="b">
        <f t="shared" si="97"/>
        <v>1</v>
      </c>
      <c r="AF80" s="328" t="b">
        <f t="shared" si="98"/>
        <v>1</v>
      </c>
      <c r="AG80" s="328" t="b">
        <f t="shared" si="99"/>
        <v>1</v>
      </c>
      <c r="AH80" s="328" t="b">
        <f t="shared" si="100"/>
        <v>1</v>
      </c>
      <c r="AI80" s="328" t="b">
        <f t="shared" si="101"/>
        <v>1</v>
      </c>
      <c r="AJ80" s="328" t="b">
        <f t="shared" si="102"/>
        <v>1</v>
      </c>
      <c r="AK80" s="328" t="b">
        <f t="shared" si="103"/>
        <v>1</v>
      </c>
      <c r="AL80" s="838" t="str">
        <f t="shared" si="104"/>
        <v/>
      </c>
      <c r="AM80" s="839" t="str">
        <f t="shared" si="105"/>
        <v/>
      </c>
      <c r="AN80" s="839" t="str">
        <f t="shared" si="106"/>
        <v/>
      </c>
      <c r="AO80" s="839" t="str">
        <f t="shared" si="107"/>
        <v/>
      </c>
      <c r="AP80" s="839" t="str">
        <f t="shared" si="108"/>
        <v/>
      </c>
      <c r="AQ80" s="839" t="str">
        <f t="shared" si="109"/>
        <v/>
      </c>
      <c r="AR80" s="839" t="str">
        <f t="shared" si="110"/>
        <v/>
      </c>
      <c r="AS80" s="839" t="str">
        <f t="shared" si="111"/>
        <v/>
      </c>
      <c r="AT80" s="839" t="str">
        <f t="shared" si="112"/>
        <v/>
      </c>
      <c r="AU80" s="839" t="str">
        <f t="shared" si="113"/>
        <v/>
      </c>
      <c r="AV80" s="839" t="str">
        <f t="shared" si="114"/>
        <v/>
      </c>
      <c r="AW80" s="843" t="str">
        <f t="shared" si="114"/>
        <v/>
      </c>
    </row>
    <row r="81" spans="1:49">
      <c r="A81" s="823">
        <f t="shared" si="91"/>
        <v>0</v>
      </c>
      <c r="B81" s="327" t="s">
        <v>496</v>
      </c>
      <c r="C81" s="327" t="str">
        <f t="shared" si="115"/>
        <v>ED電泳 pH 
ED Bồn sơn tĩnh điện pH   1</v>
      </c>
      <c r="D81" s="327" t="str">
        <f t="shared" si="116"/>
        <v>XD-000A</v>
      </c>
      <c r="E81" s="327" t="str">
        <f t="shared" si="117"/>
        <v>pH</v>
      </c>
      <c r="F81" s="327" t="str">
        <f t="shared" si="118"/>
        <v>5.3~6.0
(5.5)</v>
      </c>
      <c r="G81" s="812">
        <f t="shared" si="73"/>
        <v>5.6</v>
      </c>
      <c r="H81" s="812">
        <f t="shared" si="74"/>
        <v>0</v>
      </c>
      <c r="I81" s="817">
        <f t="shared" si="75"/>
        <v>0</v>
      </c>
      <c r="J81" s="812">
        <f t="shared" si="76"/>
        <v>5.5</v>
      </c>
      <c r="K81" s="812">
        <f t="shared" si="77"/>
        <v>0</v>
      </c>
      <c r="L81" s="817">
        <f t="shared" si="78"/>
        <v>0</v>
      </c>
      <c r="M81" s="812">
        <f t="shared" si="79"/>
        <v>5.6</v>
      </c>
      <c r="N81" s="812">
        <f t="shared" si="80"/>
        <v>0</v>
      </c>
      <c r="O81" s="817">
        <f t="shared" si="81"/>
        <v>0</v>
      </c>
      <c r="P81" s="812">
        <f t="shared" si="82"/>
        <v>0</v>
      </c>
      <c r="Q81" s="812">
        <f t="shared" si="83"/>
        <v>0</v>
      </c>
      <c r="R81" s="817">
        <f t="shared" si="84"/>
        <v>0</v>
      </c>
      <c r="S81" s="812">
        <f t="shared" si="85"/>
        <v>0</v>
      </c>
      <c r="T81" s="805">
        <f t="shared" si="86"/>
        <v>0</v>
      </c>
      <c r="U81" s="806">
        <f t="shared" si="87"/>
        <v>0</v>
      </c>
      <c r="V81" s="812">
        <f t="shared" si="88"/>
        <v>0</v>
      </c>
      <c r="W81" s="805">
        <f t="shared" si="89"/>
        <v>0</v>
      </c>
      <c r="X81" s="806">
        <f t="shared" si="90"/>
        <v>0</v>
      </c>
      <c r="Z81" s="328" t="b">
        <f t="shared" si="92"/>
        <v>1</v>
      </c>
      <c r="AA81" s="328" t="b">
        <f t="shared" si="93"/>
        <v>1</v>
      </c>
      <c r="AB81" s="328" t="b">
        <f t="shared" si="94"/>
        <v>1</v>
      </c>
      <c r="AC81" s="328" t="b">
        <f t="shared" si="95"/>
        <v>1</v>
      </c>
      <c r="AD81" s="328" t="b">
        <f t="shared" si="96"/>
        <v>1</v>
      </c>
      <c r="AE81" s="328" t="b">
        <f t="shared" si="97"/>
        <v>1</v>
      </c>
      <c r="AF81" s="328" t="b">
        <f t="shared" si="98"/>
        <v>1</v>
      </c>
      <c r="AG81" s="328" t="b">
        <f t="shared" si="99"/>
        <v>1</v>
      </c>
      <c r="AH81" s="328" t="b">
        <f t="shared" si="100"/>
        <v>1</v>
      </c>
      <c r="AI81" s="328" t="b">
        <f t="shared" si="101"/>
        <v>1</v>
      </c>
      <c r="AJ81" s="328" t="b">
        <f t="shared" si="102"/>
        <v>1</v>
      </c>
      <c r="AK81" s="328" t="b">
        <f t="shared" si="103"/>
        <v>1</v>
      </c>
      <c r="AL81" s="838" t="str">
        <f t="shared" si="104"/>
        <v/>
      </c>
      <c r="AM81" s="839" t="str">
        <f t="shared" si="105"/>
        <v/>
      </c>
      <c r="AN81" s="839" t="str">
        <f t="shared" si="106"/>
        <v/>
      </c>
      <c r="AO81" s="839" t="str">
        <f t="shared" si="107"/>
        <v/>
      </c>
      <c r="AP81" s="839" t="str">
        <f t="shared" si="108"/>
        <v/>
      </c>
      <c r="AQ81" s="839" t="str">
        <f t="shared" si="109"/>
        <v/>
      </c>
      <c r="AR81" s="839" t="str">
        <f t="shared" si="110"/>
        <v/>
      </c>
      <c r="AS81" s="839" t="str">
        <f t="shared" si="111"/>
        <v/>
      </c>
      <c r="AT81" s="839" t="str">
        <f t="shared" si="112"/>
        <v/>
      </c>
      <c r="AU81" s="839" t="str">
        <f t="shared" si="113"/>
        <v/>
      </c>
      <c r="AV81" s="839" t="str">
        <f t="shared" si="114"/>
        <v/>
      </c>
      <c r="AW81" s="843" t="str">
        <f t="shared" si="114"/>
        <v/>
      </c>
    </row>
    <row r="82" spans="1:49">
      <c r="A82" s="823">
        <f t="shared" si="91"/>
        <v>0</v>
      </c>
      <c r="B82" s="327" t="s">
        <v>501</v>
      </c>
      <c r="C82" s="327" t="str">
        <f t="shared" si="115"/>
        <v>ED 固成份 (NV)
ED Thành phần rắn 1</v>
      </c>
      <c r="D82" s="327" t="str">
        <f t="shared" si="116"/>
        <v>XD-000A</v>
      </c>
      <c r="E82" s="327" t="str">
        <f t="shared" si="117"/>
        <v>%</v>
      </c>
      <c r="F82" s="327" t="str">
        <f t="shared" si="118"/>
        <v xml:space="preserve"> 12~18%
(15%)</v>
      </c>
      <c r="G82" s="812" t="str">
        <f t="shared" si="73"/>
        <v/>
      </c>
      <c r="H82" s="812" t="str">
        <f t="shared" si="74"/>
        <v/>
      </c>
      <c r="I82" s="817" t="str">
        <f t="shared" si="75"/>
        <v>L</v>
      </c>
      <c r="J82" s="812" t="str">
        <f t="shared" si="76"/>
        <v>\</v>
      </c>
      <c r="K82" s="812">
        <f t="shared" si="77"/>
        <v>0</v>
      </c>
      <c r="L82" s="817">
        <f t="shared" si="78"/>
        <v>0</v>
      </c>
      <c r="M82" s="812" t="str">
        <f t="shared" si="79"/>
        <v/>
      </c>
      <c r="N82" s="812">
        <f t="shared" si="80"/>
        <v>0</v>
      </c>
      <c r="O82" s="817">
        <f t="shared" si="81"/>
        <v>0</v>
      </c>
      <c r="P82" s="812">
        <f t="shared" si="82"/>
        <v>0</v>
      </c>
      <c r="Q82" s="812">
        <f t="shared" si="83"/>
        <v>0</v>
      </c>
      <c r="R82" s="817">
        <f t="shared" si="84"/>
        <v>0</v>
      </c>
      <c r="S82" s="812">
        <f t="shared" si="85"/>
        <v>0</v>
      </c>
      <c r="T82" s="805">
        <f t="shared" si="86"/>
        <v>0</v>
      </c>
      <c r="U82" s="806">
        <f t="shared" si="87"/>
        <v>0</v>
      </c>
      <c r="V82" s="812">
        <f t="shared" si="88"/>
        <v>0</v>
      </c>
      <c r="W82" s="805">
        <f t="shared" si="89"/>
        <v>0</v>
      </c>
      <c r="X82" s="806">
        <f t="shared" si="90"/>
        <v>0</v>
      </c>
      <c r="Z82" s="810" t="b">
        <f>ISNUMBER(G82)</f>
        <v>0</v>
      </c>
      <c r="AA82" s="810" t="b">
        <f t="shared" si="93"/>
        <v>0</v>
      </c>
      <c r="AB82" s="810" t="b">
        <f t="shared" si="94"/>
        <v>0</v>
      </c>
      <c r="AC82" s="810" t="b">
        <f t="shared" si="95"/>
        <v>1</v>
      </c>
      <c r="AD82" s="328" t="b">
        <f t="shared" si="96"/>
        <v>0</v>
      </c>
      <c r="AE82" s="328" t="b">
        <f t="shared" si="97"/>
        <v>1</v>
      </c>
      <c r="AF82" s="328" t="b">
        <f t="shared" si="98"/>
        <v>1</v>
      </c>
      <c r="AG82" s="328" t="b">
        <f t="shared" si="99"/>
        <v>1</v>
      </c>
      <c r="AH82" s="328" t="b">
        <f t="shared" si="100"/>
        <v>1</v>
      </c>
      <c r="AI82" s="328" t="b">
        <f t="shared" si="101"/>
        <v>1</v>
      </c>
      <c r="AJ82" s="328" t="b">
        <f t="shared" si="102"/>
        <v>1</v>
      </c>
      <c r="AK82" s="328" t="b">
        <f t="shared" si="103"/>
        <v>1</v>
      </c>
      <c r="AL82" s="838">
        <f t="shared" si="104"/>
        <v>1</v>
      </c>
      <c r="AM82" s="839">
        <f t="shared" si="105"/>
        <v>1</v>
      </c>
      <c r="AN82" s="839">
        <f t="shared" si="106"/>
        <v>1</v>
      </c>
      <c r="AO82" s="839" t="str">
        <f t="shared" si="107"/>
        <v/>
      </c>
      <c r="AP82" s="839">
        <f t="shared" si="108"/>
        <v>1</v>
      </c>
      <c r="AQ82" s="839" t="str">
        <f t="shared" si="109"/>
        <v/>
      </c>
      <c r="AR82" s="839" t="str">
        <f t="shared" si="110"/>
        <v/>
      </c>
      <c r="AS82" s="839" t="str">
        <f t="shared" si="111"/>
        <v/>
      </c>
      <c r="AT82" s="839" t="str">
        <f t="shared" si="112"/>
        <v/>
      </c>
      <c r="AU82" s="839" t="str">
        <f t="shared" si="113"/>
        <v/>
      </c>
      <c r="AV82" s="839" t="str">
        <f t="shared" si="114"/>
        <v/>
      </c>
      <c r="AW82" s="843" t="str">
        <f t="shared" si="114"/>
        <v/>
      </c>
    </row>
    <row r="83" spans="1:49">
      <c r="A83" s="823">
        <f t="shared" si="91"/>
        <v>0</v>
      </c>
      <c r="B83" s="327" t="s">
        <v>502</v>
      </c>
      <c r="C83" s="327" t="str">
        <f t="shared" si="115"/>
        <v>ED 色料比
EDTỷ lệ màu 1</v>
      </c>
      <c r="D83" s="327" t="str">
        <f t="shared" si="116"/>
        <v>XD-000A</v>
      </c>
      <c r="E83" s="327" t="str">
        <f t="shared" si="117"/>
        <v>%</v>
      </c>
      <c r="F83" s="327" t="str">
        <f t="shared" si="118"/>
        <v>8~16%
(12%)</v>
      </c>
      <c r="G83" s="812" t="str">
        <f t="shared" si="73"/>
        <v/>
      </c>
      <c r="H83" s="812" t="str">
        <f t="shared" si="74"/>
        <v/>
      </c>
      <c r="I83" s="817" t="str">
        <f t="shared" si="75"/>
        <v>L</v>
      </c>
      <c r="J83" s="812" t="str">
        <f t="shared" si="76"/>
        <v>\</v>
      </c>
      <c r="K83" s="812">
        <f t="shared" si="77"/>
        <v>0</v>
      </c>
      <c r="L83" s="817">
        <f t="shared" si="78"/>
        <v>0</v>
      </c>
      <c r="M83" s="812" t="str">
        <f t="shared" si="79"/>
        <v/>
      </c>
      <c r="N83" s="812">
        <f t="shared" si="80"/>
        <v>0</v>
      </c>
      <c r="O83" s="817">
        <f t="shared" si="81"/>
        <v>0</v>
      </c>
      <c r="P83" s="812">
        <f t="shared" si="82"/>
        <v>0</v>
      </c>
      <c r="Q83" s="812">
        <f t="shared" si="83"/>
        <v>0</v>
      </c>
      <c r="R83" s="817">
        <f t="shared" si="84"/>
        <v>0</v>
      </c>
      <c r="S83" s="812">
        <f t="shared" si="85"/>
        <v>0</v>
      </c>
      <c r="T83" s="805">
        <f t="shared" si="86"/>
        <v>0</v>
      </c>
      <c r="U83" s="806">
        <f t="shared" si="87"/>
        <v>0</v>
      </c>
      <c r="V83" s="812">
        <f t="shared" si="88"/>
        <v>0</v>
      </c>
      <c r="W83" s="805">
        <f t="shared" si="89"/>
        <v>0</v>
      </c>
      <c r="X83" s="806">
        <f t="shared" si="90"/>
        <v>0</v>
      </c>
      <c r="Z83" s="810" t="b">
        <f t="shared" si="92"/>
        <v>0</v>
      </c>
      <c r="AA83" s="810" t="b">
        <f t="shared" si="93"/>
        <v>0</v>
      </c>
      <c r="AB83" s="810" t="b">
        <f t="shared" si="94"/>
        <v>0</v>
      </c>
      <c r="AC83" s="810" t="b">
        <f t="shared" si="95"/>
        <v>1</v>
      </c>
      <c r="AD83" s="328" t="b">
        <f t="shared" si="96"/>
        <v>0</v>
      </c>
      <c r="AE83" s="328" t="b">
        <f t="shared" si="97"/>
        <v>1</v>
      </c>
      <c r="AF83" s="328" t="b">
        <f t="shared" si="98"/>
        <v>1</v>
      </c>
      <c r="AG83" s="328" t="b">
        <f t="shared" si="99"/>
        <v>1</v>
      </c>
      <c r="AH83" s="328" t="b">
        <f t="shared" si="100"/>
        <v>1</v>
      </c>
      <c r="AI83" s="328" t="b">
        <f t="shared" si="101"/>
        <v>1</v>
      </c>
      <c r="AJ83" s="328" t="b">
        <f t="shared" si="102"/>
        <v>1</v>
      </c>
      <c r="AK83" s="328" t="b">
        <f t="shared" si="103"/>
        <v>1</v>
      </c>
      <c r="AL83" s="838">
        <f t="shared" si="104"/>
        <v>1</v>
      </c>
      <c r="AM83" s="839">
        <f t="shared" si="105"/>
        <v>1</v>
      </c>
      <c r="AN83" s="839">
        <f t="shared" si="106"/>
        <v>1</v>
      </c>
      <c r="AO83" s="839" t="str">
        <f t="shared" si="107"/>
        <v/>
      </c>
      <c r="AP83" s="839">
        <f t="shared" si="108"/>
        <v>1</v>
      </c>
      <c r="AQ83" s="839" t="str">
        <f t="shared" si="109"/>
        <v/>
      </c>
      <c r="AR83" s="839" t="str">
        <f t="shared" si="110"/>
        <v/>
      </c>
      <c r="AS83" s="839" t="str">
        <f t="shared" si="111"/>
        <v/>
      </c>
      <c r="AT83" s="839" t="str">
        <f t="shared" si="112"/>
        <v/>
      </c>
      <c r="AU83" s="839" t="str">
        <f t="shared" si="113"/>
        <v/>
      </c>
      <c r="AV83" s="839" t="str">
        <f t="shared" si="114"/>
        <v/>
      </c>
      <c r="AW83" s="843" t="str">
        <f t="shared" si="114"/>
        <v/>
      </c>
    </row>
    <row r="84" spans="1:49">
      <c r="A84" s="823">
        <f t="shared" si="91"/>
        <v>0</v>
      </c>
      <c r="B84" s="327" t="s">
        <v>505</v>
      </c>
      <c r="C84" s="327" t="str">
        <f t="shared" si="115"/>
        <v>UF水洗1
Bồn thu hồi 1 (Thành phần rắn)</v>
      </c>
      <c r="D84" s="327" t="str">
        <f t="shared" si="116"/>
        <v>XD-000A</v>
      </c>
      <c r="E84" s="327" t="str">
        <f t="shared" si="117"/>
        <v>%</v>
      </c>
      <c r="F84" s="327" t="str">
        <f t="shared" si="118"/>
        <v>&lt;5%</v>
      </c>
      <c r="G84" s="812" t="str">
        <f t="shared" si="73"/>
        <v/>
      </c>
      <c r="H84" s="812">
        <f t="shared" si="74"/>
        <v>0</v>
      </c>
      <c r="I84" s="817">
        <f t="shared" si="75"/>
        <v>0</v>
      </c>
      <c r="J84" s="812" t="str">
        <f t="shared" si="76"/>
        <v>\</v>
      </c>
      <c r="K84" s="812">
        <f t="shared" si="77"/>
        <v>0</v>
      </c>
      <c r="L84" s="817">
        <f t="shared" si="78"/>
        <v>0</v>
      </c>
      <c r="M84" s="812" t="str">
        <f t="shared" si="79"/>
        <v/>
      </c>
      <c r="N84" s="812">
        <f t="shared" si="80"/>
        <v>0</v>
      </c>
      <c r="O84" s="817">
        <f t="shared" si="81"/>
        <v>0</v>
      </c>
      <c r="P84" s="812">
        <f t="shared" si="82"/>
        <v>0</v>
      </c>
      <c r="Q84" s="812">
        <f t="shared" si="83"/>
        <v>0</v>
      </c>
      <c r="R84" s="817">
        <f t="shared" si="84"/>
        <v>0</v>
      </c>
      <c r="S84" s="812">
        <f t="shared" si="85"/>
        <v>0</v>
      </c>
      <c r="T84" s="805">
        <f t="shared" si="86"/>
        <v>0</v>
      </c>
      <c r="U84" s="806">
        <f t="shared" si="87"/>
        <v>0</v>
      </c>
      <c r="V84" s="812">
        <f t="shared" si="88"/>
        <v>0</v>
      </c>
      <c r="W84" s="805">
        <f t="shared" si="89"/>
        <v>0</v>
      </c>
      <c r="X84" s="806">
        <f t="shared" si="90"/>
        <v>0</v>
      </c>
      <c r="Z84" s="810" t="b">
        <f t="shared" si="92"/>
        <v>0</v>
      </c>
      <c r="AA84" s="811" t="b">
        <f t="shared" si="93"/>
        <v>1</v>
      </c>
      <c r="AB84" s="810" t="b">
        <f t="shared" si="94"/>
        <v>0</v>
      </c>
      <c r="AC84" s="328" t="b">
        <f t="shared" si="95"/>
        <v>1</v>
      </c>
      <c r="AD84" s="328" t="b">
        <f t="shared" si="96"/>
        <v>0</v>
      </c>
      <c r="AE84" s="328" t="b">
        <f t="shared" si="97"/>
        <v>1</v>
      </c>
      <c r="AF84" s="328" t="b">
        <f t="shared" si="98"/>
        <v>1</v>
      </c>
      <c r="AG84" s="328" t="b">
        <f t="shared" si="99"/>
        <v>1</v>
      </c>
      <c r="AH84" s="328" t="b">
        <f t="shared" si="100"/>
        <v>1</v>
      </c>
      <c r="AI84" s="328" t="b">
        <f t="shared" si="101"/>
        <v>1</v>
      </c>
      <c r="AJ84" s="328" t="b">
        <f t="shared" si="102"/>
        <v>1</v>
      </c>
      <c r="AK84" s="328" t="b">
        <f t="shared" si="103"/>
        <v>1</v>
      </c>
      <c r="AL84" s="838">
        <f t="shared" si="104"/>
        <v>1</v>
      </c>
      <c r="AM84" s="839" t="str">
        <f t="shared" si="105"/>
        <v/>
      </c>
      <c r="AN84" s="839">
        <f t="shared" si="106"/>
        <v>1</v>
      </c>
      <c r="AO84" s="839" t="str">
        <f t="shared" si="107"/>
        <v/>
      </c>
      <c r="AP84" s="839">
        <f t="shared" si="108"/>
        <v>1</v>
      </c>
      <c r="AQ84" s="839" t="str">
        <f t="shared" si="109"/>
        <v/>
      </c>
      <c r="AR84" s="839" t="str">
        <f t="shared" si="110"/>
        <v/>
      </c>
      <c r="AS84" s="839" t="str">
        <f t="shared" si="111"/>
        <v/>
      </c>
      <c r="AT84" s="839" t="str">
        <f t="shared" si="112"/>
        <v/>
      </c>
      <c r="AU84" s="839" t="str">
        <f t="shared" si="113"/>
        <v/>
      </c>
      <c r="AV84" s="839" t="str">
        <f t="shared" si="114"/>
        <v/>
      </c>
      <c r="AW84" s="843" t="str">
        <f t="shared" si="114"/>
        <v/>
      </c>
    </row>
    <row r="85" spans="1:49">
      <c r="A85" s="823">
        <f t="shared" si="91"/>
        <v>0</v>
      </c>
      <c r="B85" s="327" t="s">
        <v>506</v>
      </c>
      <c r="C85" s="327" t="str">
        <f t="shared" si="115"/>
        <v>UF水洗2
 Bồn thu hồi 2  (Thành phần rắn)</v>
      </c>
      <c r="D85" s="327" t="str">
        <f t="shared" si="116"/>
        <v>XD-000A</v>
      </c>
      <c r="E85" s="327" t="str">
        <f t="shared" si="117"/>
        <v>%</v>
      </c>
      <c r="F85" s="327" t="str">
        <f t="shared" si="118"/>
        <v>&lt;3%</v>
      </c>
      <c r="G85" s="812" t="str">
        <f t="shared" si="73"/>
        <v/>
      </c>
      <c r="H85" s="812">
        <f t="shared" si="74"/>
        <v>0</v>
      </c>
      <c r="I85" s="817">
        <f t="shared" si="75"/>
        <v>0</v>
      </c>
      <c r="J85" s="812" t="str">
        <f t="shared" si="76"/>
        <v>\</v>
      </c>
      <c r="K85" s="812">
        <f t="shared" si="77"/>
        <v>0</v>
      </c>
      <c r="L85" s="817">
        <f t="shared" si="78"/>
        <v>0</v>
      </c>
      <c r="M85" s="812" t="str">
        <f t="shared" si="79"/>
        <v/>
      </c>
      <c r="N85" s="812">
        <f t="shared" si="80"/>
        <v>0</v>
      </c>
      <c r="O85" s="817">
        <f t="shared" si="81"/>
        <v>0</v>
      </c>
      <c r="P85" s="812">
        <f t="shared" si="82"/>
        <v>0</v>
      </c>
      <c r="Q85" s="812">
        <f t="shared" si="83"/>
        <v>0</v>
      </c>
      <c r="R85" s="817">
        <f t="shared" si="84"/>
        <v>0</v>
      </c>
      <c r="S85" s="812">
        <f t="shared" si="85"/>
        <v>0</v>
      </c>
      <c r="T85" s="805">
        <f t="shared" si="86"/>
        <v>0</v>
      </c>
      <c r="U85" s="806">
        <f t="shared" si="87"/>
        <v>0</v>
      </c>
      <c r="V85" s="812">
        <f t="shared" si="88"/>
        <v>0</v>
      </c>
      <c r="W85" s="805">
        <f t="shared" si="89"/>
        <v>0</v>
      </c>
      <c r="X85" s="806">
        <f t="shared" si="90"/>
        <v>0</v>
      </c>
      <c r="Z85" s="810" t="b">
        <f t="shared" si="92"/>
        <v>0</v>
      </c>
      <c r="AA85" s="811" t="b">
        <f t="shared" si="93"/>
        <v>1</v>
      </c>
      <c r="AB85" s="810" t="b">
        <f t="shared" si="94"/>
        <v>0</v>
      </c>
      <c r="AC85" s="328" t="b">
        <f t="shared" si="95"/>
        <v>1</v>
      </c>
      <c r="AD85" s="328" t="b">
        <f t="shared" si="96"/>
        <v>0</v>
      </c>
      <c r="AE85" s="328" t="b">
        <f t="shared" si="97"/>
        <v>1</v>
      </c>
      <c r="AF85" s="328" t="b">
        <f t="shared" si="98"/>
        <v>1</v>
      </c>
      <c r="AG85" s="328" t="b">
        <f t="shared" si="99"/>
        <v>1</v>
      </c>
      <c r="AH85" s="328" t="b">
        <f t="shared" si="100"/>
        <v>1</v>
      </c>
      <c r="AI85" s="328" t="b">
        <f t="shared" si="101"/>
        <v>1</v>
      </c>
      <c r="AJ85" s="328" t="b">
        <f t="shared" si="102"/>
        <v>1</v>
      </c>
      <c r="AK85" s="328" t="b">
        <f t="shared" si="103"/>
        <v>1</v>
      </c>
      <c r="AL85" s="838">
        <f t="shared" si="104"/>
        <v>1</v>
      </c>
      <c r="AM85" s="839" t="str">
        <f t="shared" si="105"/>
        <v/>
      </c>
      <c r="AN85" s="839">
        <f t="shared" si="106"/>
        <v>1</v>
      </c>
      <c r="AO85" s="839" t="str">
        <f t="shared" si="107"/>
        <v/>
      </c>
      <c r="AP85" s="839">
        <f t="shared" si="108"/>
        <v>1</v>
      </c>
      <c r="AQ85" s="839" t="str">
        <f t="shared" si="109"/>
        <v/>
      </c>
      <c r="AR85" s="839" t="str">
        <f t="shared" si="110"/>
        <v/>
      </c>
      <c r="AS85" s="839" t="str">
        <f t="shared" si="111"/>
        <v/>
      </c>
      <c r="AT85" s="839" t="str">
        <f t="shared" si="112"/>
        <v/>
      </c>
      <c r="AU85" s="839" t="str">
        <f t="shared" si="113"/>
        <v/>
      </c>
      <c r="AV85" s="839" t="str">
        <f t="shared" si="114"/>
        <v/>
      </c>
      <c r="AW85" s="843" t="str">
        <f t="shared" si="114"/>
        <v/>
      </c>
    </row>
    <row r="86" spans="1:49">
      <c r="A86" s="823">
        <f t="shared" si="91"/>
        <v>0</v>
      </c>
      <c r="B86" s="327" t="s">
        <v>528</v>
      </c>
      <c r="C86" s="327" t="str">
        <f t="shared" si="115"/>
        <v>熱脫脂 Xà bông 1</v>
      </c>
      <c r="D86" s="327" t="str">
        <f t="shared" si="116"/>
        <v>DC-000A</v>
      </c>
      <c r="E86" s="327" t="str">
        <f t="shared" si="117"/>
        <v>g/L</v>
      </c>
      <c r="F86" s="327" t="str">
        <f t="shared" si="118"/>
        <v>20~30
(25±3)</v>
      </c>
      <c r="G86" s="812">
        <f t="shared" si="73"/>
        <v>24.964000000000002</v>
      </c>
      <c r="H86" s="812">
        <f t="shared" si="74"/>
        <v>5.8751999999996425E-2</v>
      </c>
      <c r="I86" s="817" t="str">
        <f t="shared" si="75"/>
        <v>kg</v>
      </c>
      <c r="J86" s="812">
        <f t="shared" si="76"/>
        <v>22.751999999999999</v>
      </c>
      <c r="K86" s="812">
        <f t="shared" si="77"/>
        <v>3.6687360000000018</v>
      </c>
      <c r="L86" s="817" t="str">
        <f t="shared" si="78"/>
        <v>kg</v>
      </c>
      <c r="M86" s="812">
        <f t="shared" si="79"/>
        <v>0</v>
      </c>
      <c r="N86" s="812">
        <f t="shared" si="80"/>
        <v>0</v>
      </c>
      <c r="O86" s="817">
        <f t="shared" si="81"/>
        <v>0</v>
      </c>
      <c r="P86" s="812">
        <f t="shared" si="82"/>
        <v>0</v>
      </c>
      <c r="Q86" s="812">
        <f t="shared" si="83"/>
        <v>0</v>
      </c>
      <c r="R86" s="817">
        <f t="shared" si="84"/>
        <v>0</v>
      </c>
      <c r="S86" s="812">
        <f t="shared" si="85"/>
        <v>0</v>
      </c>
      <c r="T86" s="805">
        <f t="shared" si="86"/>
        <v>0</v>
      </c>
      <c r="U86" s="806">
        <f t="shared" si="87"/>
        <v>0</v>
      </c>
      <c r="V86" s="812">
        <f t="shared" si="88"/>
        <v>0</v>
      </c>
      <c r="W86" s="805">
        <f t="shared" si="89"/>
        <v>0</v>
      </c>
      <c r="X86" s="806">
        <f t="shared" si="90"/>
        <v>0</v>
      </c>
      <c r="Z86" s="328" t="b">
        <f t="shared" si="92"/>
        <v>1</v>
      </c>
      <c r="AA86" s="328" t="b">
        <f t="shared" si="93"/>
        <v>1</v>
      </c>
      <c r="AB86" s="328" t="b">
        <f t="shared" si="94"/>
        <v>1</v>
      </c>
      <c r="AC86" s="328" t="b">
        <f t="shared" si="95"/>
        <v>1</v>
      </c>
      <c r="AD86" s="328" t="b">
        <f t="shared" si="96"/>
        <v>1</v>
      </c>
      <c r="AE86" s="328" t="b">
        <f t="shared" si="97"/>
        <v>1</v>
      </c>
      <c r="AF86" s="328" t="b">
        <f t="shared" si="98"/>
        <v>1</v>
      </c>
      <c r="AG86" s="328" t="b">
        <f t="shared" si="99"/>
        <v>1</v>
      </c>
      <c r="AH86" s="328" t="b">
        <f t="shared" si="100"/>
        <v>1</v>
      </c>
      <c r="AI86" s="328" t="b">
        <f t="shared" si="101"/>
        <v>1</v>
      </c>
      <c r="AJ86" s="328" t="b">
        <f t="shared" si="102"/>
        <v>1</v>
      </c>
      <c r="AK86" s="328" t="b">
        <f t="shared" si="103"/>
        <v>1</v>
      </c>
      <c r="AL86" s="838" t="str">
        <f t="shared" si="104"/>
        <v/>
      </c>
      <c r="AM86" s="839" t="str">
        <f t="shared" si="105"/>
        <v/>
      </c>
      <c r="AN86" s="839" t="str">
        <f t="shared" si="106"/>
        <v/>
      </c>
      <c r="AO86" s="839" t="str">
        <f t="shared" si="107"/>
        <v/>
      </c>
      <c r="AP86" s="839" t="str">
        <f t="shared" si="108"/>
        <v/>
      </c>
      <c r="AQ86" s="839" t="str">
        <f t="shared" si="109"/>
        <v/>
      </c>
      <c r="AR86" s="839" t="str">
        <f t="shared" si="110"/>
        <v/>
      </c>
      <c r="AS86" s="839" t="str">
        <f t="shared" si="111"/>
        <v/>
      </c>
      <c r="AT86" s="839" t="str">
        <f t="shared" si="112"/>
        <v/>
      </c>
      <c r="AU86" s="839" t="str">
        <f t="shared" si="113"/>
        <v/>
      </c>
      <c r="AV86" s="839" t="str">
        <f t="shared" si="114"/>
        <v/>
      </c>
      <c r="AW86" s="843" t="str">
        <f t="shared" si="114"/>
        <v/>
      </c>
    </row>
    <row r="87" spans="1:49">
      <c r="A87" s="823">
        <f t="shared" si="91"/>
        <v>0</v>
      </c>
      <c r="B87" s="327" t="s">
        <v>532</v>
      </c>
      <c r="C87" s="327" t="str">
        <f t="shared" si="115"/>
        <v>熱脫脂Xà bôngg 2</v>
      </c>
      <c r="D87" s="327" t="str">
        <f t="shared" si="116"/>
        <v>DC-000A</v>
      </c>
      <c r="E87" s="327" t="str">
        <f t="shared" si="117"/>
        <v>g/L</v>
      </c>
      <c r="F87" s="327" t="str">
        <f t="shared" si="118"/>
        <v>20~30
(25±3)</v>
      </c>
      <c r="G87" s="812">
        <f t="shared" si="73"/>
        <v>26.86</v>
      </c>
      <c r="H87" s="812">
        <f t="shared" si="74"/>
        <v>0</v>
      </c>
      <c r="I87" s="817" t="str">
        <f t="shared" si="75"/>
        <v>kg</v>
      </c>
      <c r="J87" s="812">
        <f t="shared" si="76"/>
        <v>24.964000000000002</v>
      </c>
      <c r="K87" s="812">
        <f t="shared" si="77"/>
        <v>5.8751999999996425E-2</v>
      </c>
      <c r="L87" s="817" t="str">
        <f t="shared" si="78"/>
        <v>kg</v>
      </c>
      <c r="M87" s="812">
        <f t="shared" si="79"/>
        <v>0</v>
      </c>
      <c r="N87" s="812">
        <f t="shared" si="80"/>
        <v>0</v>
      </c>
      <c r="O87" s="817">
        <f t="shared" si="81"/>
        <v>0</v>
      </c>
      <c r="P87" s="812">
        <f t="shared" si="82"/>
        <v>0</v>
      </c>
      <c r="Q87" s="812">
        <f t="shared" si="83"/>
        <v>0</v>
      </c>
      <c r="R87" s="817">
        <f t="shared" si="84"/>
        <v>0</v>
      </c>
      <c r="S87" s="812">
        <f t="shared" si="85"/>
        <v>0</v>
      </c>
      <c r="T87" s="805">
        <f t="shared" si="86"/>
        <v>0</v>
      </c>
      <c r="U87" s="806">
        <f t="shared" si="87"/>
        <v>0</v>
      </c>
      <c r="V87" s="812">
        <f t="shared" si="88"/>
        <v>0</v>
      </c>
      <c r="W87" s="805">
        <f t="shared" si="89"/>
        <v>0</v>
      </c>
      <c r="X87" s="806">
        <f t="shared" si="90"/>
        <v>0</v>
      </c>
      <c r="Z87" s="328" t="b">
        <f t="shared" si="92"/>
        <v>1</v>
      </c>
      <c r="AA87" s="328" t="b">
        <f t="shared" si="93"/>
        <v>1</v>
      </c>
      <c r="AB87" s="328" t="b">
        <f t="shared" si="94"/>
        <v>1</v>
      </c>
      <c r="AC87" s="328" t="b">
        <f t="shared" si="95"/>
        <v>1</v>
      </c>
      <c r="AD87" s="328" t="b">
        <f t="shared" si="96"/>
        <v>1</v>
      </c>
      <c r="AE87" s="328" t="b">
        <f t="shared" si="97"/>
        <v>1</v>
      </c>
      <c r="AF87" s="328" t="b">
        <f t="shared" si="98"/>
        <v>1</v>
      </c>
      <c r="AG87" s="328" t="b">
        <f t="shared" si="99"/>
        <v>1</v>
      </c>
      <c r="AH87" s="328" t="b">
        <f t="shared" si="100"/>
        <v>1</v>
      </c>
      <c r="AI87" s="328" t="b">
        <f t="shared" si="101"/>
        <v>1</v>
      </c>
      <c r="AJ87" s="328" t="b">
        <f t="shared" si="102"/>
        <v>1</v>
      </c>
      <c r="AK87" s="328" t="b">
        <f t="shared" si="103"/>
        <v>1</v>
      </c>
      <c r="AL87" s="838" t="str">
        <f t="shared" si="104"/>
        <v/>
      </c>
      <c r="AM87" s="839" t="str">
        <f t="shared" si="105"/>
        <v/>
      </c>
      <c r="AN87" s="839" t="str">
        <f t="shared" si="106"/>
        <v/>
      </c>
      <c r="AO87" s="839" t="str">
        <f t="shared" si="107"/>
        <v/>
      </c>
      <c r="AP87" s="839" t="str">
        <f t="shared" si="108"/>
        <v/>
      </c>
      <c r="AQ87" s="839" t="str">
        <f t="shared" si="109"/>
        <v/>
      </c>
      <c r="AR87" s="839" t="str">
        <f t="shared" si="110"/>
        <v/>
      </c>
      <c r="AS87" s="839" t="str">
        <f t="shared" si="111"/>
        <v/>
      </c>
      <c r="AT87" s="839" t="str">
        <f t="shared" si="112"/>
        <v/>
      </c>
      <c r="AU87" s="839" t="str">
        <f t="shared" si="113"/>
        <v/>
      </c>
      <c r="AV87" s="839" t="str">
        <f t="shared" si="114"/>
        <v/>
      </c>
      <c r="AW87" s="843" t="str">
        <f t="shared" si="114"/>
        <v/>
      </c>
    </row>
    <row r="88" spans="1:49">
      <c r="A88" s="823">
        <f t="shared" si="91"/>
        <v>0</v>
      </c>
      <c r="B88" s="327" t="s">
        <v>534</v>
      </c>
      <c r="C88" s="327" t="str">
        <f t="shared" si="115"/>
        <v>HNO3   中和</v>
      </c>
      <c r="D88" s="327" t="str">
        <f t="shared" si="116"/>
        <v>DC-000A</v>
      </c>
      <c r="E88" s="327" t="str">
        <f t="shared" si="117"/>
        <v>ml/L</v>
      </c>
      <c r="F88" s="327" t="str">
        <f t="shared" si="118"/>
        <v>210~290
(250±40)</v>
      </c>
      <c r="G88" s="812">
        <f t="shared" si="73"/>
        <v>218.42000000000002</v>
      </c>
      <c r="H88" s="812">
        <f t="shared" si="74"/>
        <v>51.538559999999976</v>
      </c>
      <c r="I88" s="817" t="str">
        <f t="shared" si="75"/>
        <v>L</v>
      </c>
      <c r="J88" s="812">
        <f t="shared" si="76"/>
        <v>228.20000000000002</v>
      </c>
      <c r="K88" s="812">
        <f t="shared" si="77"/>
        <v>35.577599999999968</v>
      </c>
      <c r="L88" s="817" t="str">
        <f t="shared" si="78"/>
        <v>L</v>
      </c>
      <c r="M88" s="812">
        <f t="shared" si="79"/>
        <v>0</v>
      </c>
      <c r="N88" s="812">
        <f t="shared" si="80"/>
        <v>0</v>
      </c>
      <c r="O88" s="817">
        <f t="shared" si="81"/>
        <v>0</v>
      </c>
      <c r="P88" s="812">
        <f t="shared" si="82"/>
        <v>0</v>
      </c>
      <c r="Q88" s="812">
        <f t="shared" si="83"/>
        <v>0</v>
      </c>
      <c r="R88" s="817">
        <f t="shared" si="84"/>
        <v>0</v>
      </c>
      <c r="S88" s="812">
        <f t="shared" si="85"/>
        <v>0</v>
      </c>
      <c r="T88" s="805">
        <f t="shared" si="86"/>
        <v>0</v>
      </c>
      <c r="U88" s="806">
        <f t="shared" si="87"/>
        <v>0</v>
      </c>
      <c r="V88" s="812">
        <f t="shared" si="88"/>
        <v>0</v>
      </c>
      <c r="W88" s="805">
        <f t="shared" si="89"/>
        <v>0</v>
      </c>
      <c r="X88" s="806">
        <f t="shared" si="90"/>
        <v>0</v>
      </c>
      <c r="Z88" s="328" t="b">
        <f t="shared" si="92"/>
        <v>1</v>
      </c>
      <c r="AA88" s="328" t="b">
        <f t="shared" si="93"/>
        <v>1</v>
      </c>
      <c r="AB88" s="328" t="b">
        <f t="shared" si="94"/>
        <v>1</v>
      </c>
      <c r="AC88" s="328" t="b">
        <f t="shared" si="95"/>
        <v>1</v>
      </c>
      <c r="AD88" s="328" t="b">
        <f t="shared" si="96"/>
        <v>1</v>
      </c>
      <c r="AE88" s="328" t="b">
        <f t="shared" si="97"/>
        <v>1</v>
      </c>
      <c r="AF88" s="328" t="b">
        <f t="shared" si="98"/>
        <v>1</v>
      </c>
      <c r="AG88" s="328" t="b">
        <f t="shared" si="99"/>
        <v>1</v>
      </c>
      <c r="AH88" s="328" t="b">
        <f t="shared" si="100"/>
        <v>1</v>
      </c>
      <c r="AI88" s="328" t="b">
        <f t="shared" si="101"/>
        <v>1</v>
      </c>
      <c r="AJ88" s="328" t="b">
        <f t="shared" si="102"/>
        <v>1</v>
      </c>
      <c r="AK88" s="328" t="b">
        <f t="shared" si="103"/>
        <v>1</v>
      </c>
      <c r="AL88" s="838" t="str">
        <f t="shared" si="104"/>
        <v/>
      </c>
      <c r="AM88" s="839" t="str">
        <f t="shared" si="105"/>
        <v/>
      </c>
      <c r="AN88" s="839" t="str">
        <f t="shared" si="106"/>
        <v/>
      </c>
      <c r="AO88" s="839" t="str">
        <f t="shared" si="107"/>
        <v/>
      </c>
      <c r="AP88" s="839" t="str">
        <f t="shared" si="108"/>
        <v/>
      </c>
      <c r="AQ88" s="839" t="str">
        <f t="shared" si="109"/>
        <v/>
      </c>
      <c r="AR88" s="839" t="str">
        <f t="shared" si="110"/>
        <v/>
      </c>
      <c r="AS88" s="839" t="str">
        <f t="shared" si="111"/>
        <v/>
      </c>
      <c r="AT88" s="839" t="str">
        <f t="shared" si="112"/>
        <v/>
      </c>
      <c r="AU88" s="839" t="str">
        <f t="shared" si="113"/>
        <v/>
      </c>
      <c r="AV88" s="839" t="str">
        <f t="shared" si="114"/>
        <v/>
      </c>
      <c r="AW88" s="843" t="str">
        <f t="shared" si="114"/>
        <v/>
      </c>
    </row>
    <row r="89" spans="1:49">
      <c r="A89" s="823">
        <f t="shared" si="91"/>
        <v>0</v>
      </c>
      <c r="B89" s="327" t="s">
        <v>537</v>
      </c>
      <c r="C89" s="327" t="str">
        <f t="shared" si="115"/>
        <v>陽極處理槽  dương cực  H2SO4 (18)</v>
      </c>
      <c r="D89" s="327" t="str">
        <f t="shared" si="116"/>
        <v>DC-000A</v>
      </c>
      <c r="E89" s="327" t="str">
        <f t="shared" si="117"/>
        <v>g/L</v>
      </c>
      <c r="F89" s="327" t="str">
        <f t="shared" si="118"/>
        <v>120~150
(135±15)</v>
      </c>
      <c r="G89" s="812">
        <f t="shared" si="73"/>
        <v>145</v>
      </c>
      <c r="H89" s="812">
        <f t="shared" si="74"/>
        <v>0</v>
      </c>
      <c r="I89" s="817" t="str">
        <f t="shared" si="75"/>
        <v>kg</v>
      </c>
      <c r="J89" s="812">
        <f t="shared" si="76"/>
        <v>153.75</v>
      </c>
      <c r="K89" s="812">
        <f t="shared" si="77"/>
        <v>0</v>
      </c>
      <c r="L89" s="817" t="str">
        <f t="shared" si="78"/>
        <v>kg</v>
      </c>
      <c r="M89" s="812">
        <f t="shared" si="79"/>
        <v>0</v>
      </c>
      <c r="N89" s="812">
        <f t="shared" si="80"/>
        <v>0</v>
      </c>
      <c r="O89" s="817">
        <f t="shared" si="81"/>
        <v>0</v>
      </c>
      <c r="P89" s="812">
        <f t="shared" si="82"/>
        <v>0</v>
      </c>
      <c r="Q89" s="812">
        <f t="shared" si="83"/>
        <v>0</v>
      </c>
      <c r="R89" s="817">
        <f t="shared" si="84"/>
        <v>0</v>
      </c>
      <c r="S89" s="812">
        <f t="shared" si="85"/>
        <v>0</v>
      </c>
      <c r="T89" s="805">
        <f t="shared" si="86"/>
        <v>0</v>
      </c>
      <c r="U89" s="806">
        <f t="shared" si="87"/>
        <v>0</v>
      </c>
      <c r="V89" s="812">
        <f t="shared" si="88"/>
        <v>0</v>
      </c>
      <c r="W89" s="805">
        <f t="shared" si="89"/>
        <v>0</v>
      </c>
      <c r="X89" s="806">
        <f t="shared" si="90"/>
        <v>0</v>
      </c>
      <c r="Z89" s="328" t="b">
        <f t="shared" si="92"/>
        <v>1</v>
      </c>
      <c r="AA89" s="328" t="b">
        <f t="shared" si="93"/>
        <v>1</v>
      </c>
      <c r="AB89" s="328" t="b">
        <f t="shared" si="94"/>
        <v>1</v>
      </c>
      <c r="AC89" s="328" t="b">
        <f t="shared" si="95"/>
        <v>1</v>
      </c>
      <c r="AD89" s="328" t="b">
        <f t="shared" si="96"/>
        <v>1</v>
      </c>
      <c r="AE89" s="328" t="b">
        <f t="shared" si="97"/>
        <v>1</v>
      </c>
      <c r="AF89" s="328" t="b">
        <f t="shared" si="98"/>
        <v>1</v>
      </c>
      <c r="AG89" s="328" t="b">
        <f t="shared" si="99"/>
        <v>1</v>
      </c>
      <c r="AH89" s="328" t="b">
        <f t="shared" si="100"/>
        <v>1</v>
      </c>
      <c r="AI89" s="328" t="b">
        <f t="shared" si="101"/>
        <v>1</v>
      </c>
      <c r="AJ89" s="328" t="b">
        <f t="shared" si="102"/>
        <v>1</v>
      </c>
      <c r="AK89" s="328" t="b">
        <f t="shared" si="103"/>
        <v>1</v>
      </c>
      <c r="AL89" s="838" t="str">
        <f t="shared" si="104"/>
        <v/>
      </c>
      <c r="AM89" s="839" t="str">
        <f t="shared" si="105"/>
        <v/>
      </c>
      <c r="AN89" s="839" t="str">
        <f t="shared" si="106"/>
        <v/>
      </c>
      <c r="AO89" s="839" t="str">
        <f t="shared" si="107"/>
        <v/>
      </c>
      <c r="AP89" s="839" t="str">
        <f t="shared" si="108"/>
        <v/>
      </c>
      <c r="AQ89" s="839" t="str">
        <f t="shared" si="109"/>
        <v/>
      </c>
      <c r="AR89" s="839" t="str">
        <f t="shared" si="110"/>
        <v/>
      </c>
      <c r="AS89" s="839" t="str">
        <f t="shared" si="111"/>
        <v/>
      </c>
      <c r="AT89" s="839" t="str">
        <f t="shared" si="112"/>
        <v/>
      </c>
      <c r="AU89" s="839" t="str">
        <f t="shared" si="113"/>
        <v/>
      </c>
      <c r="AV89" s="839" t="str">
        <f t="shared" si="114"/>
        <v/>
      </c>
      <c r="AW89" s="843" t="str">
        <f t="shared" si="114"/>
        <v/>
      </c>
    </row>
    <row r="90" spans="1:49">
      <c r="A90" s="823">
        <f t="shared" si="91"/>
        <v>0</v>
      </c>
      <c r="B90" s="327" t="s">
        <v>539</v>
      </c>
      <c r="C90" s="327" t="str">
        <f t="shared" si="115"/>
        <v>陽極處理槽 dương cực Al3+ (18)</v>
      </c>
      <c r="D90" s="327" t="str">
        <f t="shared" si="116"/>
        <v>DC-000A</v>
      </c>
      <c r="E90" s="327" t="str">
        <f t="shared" si="117"/>
        <v>g/L</v>
      </c>
      <c r="F90" s="327" t="str">
        <f t="shared" si="118"/>
        <v>1~5
(3±1.5)</v>
      </c>
      <c r="G90" s="812">
        <f t="shared" si="73"/>
        <v>4.25</v>
      </c>
      <c r="H90" s="812">
        <f t="shared" si="74"/>
        <v>0</v>
      </c>
      <c r="I90" s="817" t="str">
        <f t="shared" si="75"/>
        <v>kg</v>
      </c>
      <c r="J90" s="812">
        <f t="shared" si="76"/>
        <v>5.2500000000000018</v>
      </c>
      <c r="K90" s="812">
        <f t="shared" si="77"/>
        <v>0</v>
      </c>
      <c r="L90" s="817" t="str">
        <f t="shared" si="78"/>
        <v>kg</v>
      </c>
      <c r="M90" s="812">
        <f t="shared" si="79"/>
        <v>0</v>
      </c>
      <c r="N90" s="812">
        <f t="shared" si="80"/>
        <v>0</v>
      </c>
      <c r="O90" s="817">
        <f t="shared" si="81"/>
        <v>0</v>
      </c>
      <c r="P90" s="812">
        <f t="shared" si="82"/>
        <v>0</v>
      </c>
      <c r="Q90" s="812">
        <f t="shared" si="83"/>
        <v>0</v>
      </c>
      <c r="R90" s="817">
        <f t="shared" si="84"/>
        <v>0</v>
      </c>
      <c r="S90" s="812">
        <f t="shared" si="85"/>
        <v>0</v>
      </c>
      <c r="T90" s="805">
        <f t="shared" si="86"/>
        <v>0</v>
      </c>
      <c r="U90" s="806">
        <f t="shared" si="87"/>
        <v>0</v>
      </c>
      <c r="V90" s="812">
        <f t="shared" si="88"/>
        <v>0</v>
      </c>
      <c r="W90" s="805">
        <f t="shared" si="89"/>
        <v>0</v>
      </c>
      <c r="X90" s="806">
        <f t="shared" si="90"/>
        <v>0</v>
      </c>
      <c r="Z90" s="328" t="b">
        <f t="shared" si="92"/>
        <v>1</v>
      </c>
      <c r="AA90" s="328" t="b">
        <f t="shared" si="93"/>
        <v>1</v>
      </c>
      <c r="AB90" s="328" t="b">
        <f t="shared" si="94"/>
        <v>1</v>
      </c>
      <c r="AC90" s="328" t="b">
        <f t="shared" si="95"/>
        <v>1</v>
      </c>
      <c r="AD90" s="328" t="b">
        <f t="shared" si="96"/>
        <v>1</v>
      </c>
      <c r="AE90" s="328" t="b">
        <f t="shared" si="97"/>
        <v>1</v>
      </c>
      <c r="AF90" s="328" t="b">
        <f t="shared" si="98"/>
        <v>1</v>
      </c>
      <c r="AG90" s="328" t="b">
        <f t="shared" si="99"/>
        <v>1</v>
      </c>
      <c r="AH90" s="328" t="b">
        <f t="shared" si="100"/>
        <v>1</v>
      </c>
      <c r="AI90" s="328" t="b">
        <f t="shared" si="101"/>
        <v>1</v>
      </c>
      <c r="AJ90" s="328" t="b">
        <f t="shared" si="102"/>
        <v>1</v>
      </c>
      <c r="AK90" s="328" t="b">
        <f t="shared" si="103"/>
        <v>1</v>
      </c>
      <c r="AL90" s="838" t="str">
        <f t="shared" si="104"/>
        <v/>
      </c>
      <c r="AM90" s="839" t="str">
        <f t="shared" si="105"/>
        <v/>
      </c>
      <c r="AN90" s="839" t="str">
        <f t="shared" si="106"/>
        <v/>
      </c>
      <c r="AO90" s="839" t="str">
        <f t="shared" si="107"/>
        <v/>
      </c>
      <c r="AP90" s="839" t="str">
        <f t="shared" si="108"/>
        <v/>
      </c>
      <c r="AQ90" s="839" t="str">
        <f t="shared" si="109"/>
        <v/>
      </c>
      <c r="AR90" s="839" t="str">
        <f t="shared" si="110"/>
        <v/>
      </c>
      <c r="AS90" s="839" t="str">
        <f t="shared" si="111"/>
        <v/>
      </c>
      <c r="AT90" s="839" t="str">
        <f t="shared" si="112"/>
        <v/>
      </c>
      <c r="AU90" s="839" t="str">
        <f t="shared" si="113"/>
        <v/>
      </c>
      <c r="AV90" s="839" t="str">
        <f t="shared" si="114"/>
        <v/>
      </c>
      <c r="AW90" s="843" t="str">
        <f t="shared" si="114"/>
        <v/>
      </c>
    </row>
    <row r="91" spans="1:49">
      <c r="A91" s="823">
        <f t="shared" si="91"/>
        <v>0</v>
      </c>
      <c r="B91" s="327" t="s">
        <v>541</v>
      </c>
      <c r="C91" s="327" t="str">
        <f t="shared" si="115"/>
        <v>陽極處理槽  dương cực  H2SO4 (19)</v>
      </c>
      <c r="D91" s="327" t="str">
        <f t="shared" si="116"/>
        <v>DC-000A</v>
      </c>
      <c r="E91" s="327" t="str">
        <f t="shared" si="117"/>
        <v>g/L</v>
      </c>
      <c r="F91" s="327" t="str">
        <f t="shared" si="118"/>
        <v>120~150
(135±15)</v>
      </c>
      <c r="G91" s="812">
        <f t="shared" si="73"/>
        <v>140</v>
      </c>
      <c r="H91" s="812">
        <f t="shared" si="74"/>
        <v>0</v>
      </c>
      <c r="I91" s="817" t="str">
        <f t="shared" si="75"/>
        <v>kg</v>
      </c>
      <c r="J91" s="812">
        <f t="shared" si="76"/>
        <v>145</v>
      </c>
      <c r="K91" s="812">
        <f t="shared" si="77"/>
        <v>0</v>
      </c>
      <c r="L91" s="817" t="str">
        <f t="shared" si="78"/>
        <v>kg</v>
      </c>
      <c r="M91" s="812">
        <f t="shared" si="79"/>
        <v>0</v>
      </c>
      <c r="N91" s="812">
        <f t="shared" si="80"/>
        <v>0</v>
      </c>
      <c r="O91" s="817">
        <f t="shared" si="81"/>
        <v>0</v>
      </c>
      <c r="P91" s="812">
        <f t="shared" si="82"/>
        <v>0</v>
      </c>
      <c r="Q91" s="812">
        <f t="shared" si="83"/>
        <v>0</v>
      </c>
      <c r="R91" s="817">
        <f t="shared" si="84"/>
        <v>0</v>
      </c>
      <c r="S91" s="812">
        <f t="shared" si="85"/>
        <v>0</v>
      </c>
      <c r="T91" s="805">
        <f t="shared" si="86"/>
        <v>0</v>
      </c>
      <c r="U91" s="806">
        <f t="shared" si="87"/>
        <v>0</v>
      </c>
      <c r="V91" s="812">
        <f t="shared" si="88"/>
        <v>0</v>
      </c>
      <c r="W91" s="805">
        <f t="shared" si="89"/>
        <v>0</v>
      </c>
      <c r="X91" s="806">
        <f t="shared" si="90"/>
        <v>0</v>
      </c>
      <c r="Z91" s="328" t="b">
        <f t="shared" si="92"/>
        <v>1</v>
      </c>
      <c r="AA91" s="328" t="b">
        <f t="shared" si="93"/>
        <v>1</v>
      </c>
      <c r="AB91" s="328" t="b">
        <f t="shared" si="94"/>
        <v>1</v>
      </c>
      <c r="AC91" s="328" t="b">
        <f t="shared" si="95"/>
        <v>1</v>
      </c>
      <c r="AD91" s="328" t="b">
        <f t="shared" si="96"/>
        <v>1</v>
      </c>
      <c r="AE91" s="328" t="b">
        <f t="shared" si="97"/>
        <v>1</v>
      </c>
      <c r="AF91" s="328" t="b">
        <f t="shared" si="98"/>
        <v>1</v>
      </c>
      <c r="AG91" s="328" t="b">
        <f t="shared" si="99"/>
        <v>1</v>
      </c>
      <c r="AH91" s="328" t="b">
        <f t="shared" si="100"/>
        <v>1</v>
      </c>
      <c r="AI91" s="328" t="b">
        <f t="shared" si="101"/>
        <v>1</v>
      </c>
      <c r="AJ91" s="328" t="b">
        <f t="shared" si="102"/>
        <v>1</v>
      </c>
      <c r="AK91" s="328" t="b">
        <f t="shared" si="103"/>
        <v>1</v>
      </c>
      <c r="AL91" s="838" t="str">
        <f t="shared" si="104"/>
        <v/>
      </c>
      <c r="AM91" s="839" t="str">
        <f t="shared" si="105"/>
        <v/>
      </c>
      <c r="AN91" s="839" t="str">
        <f t="shared" si="106"/>
        <v/>
      </c>
      <c r="AO91" s="839" t="str">
        <f t="shared" si="107"/>
        <v/>
      </c>
      <c r="AP91" s="839" t="str">
        <f t="shared" si="108"/>
        <v/>
      </c>
      <c r="AQ91" s="839" t="str">
        <f t="shared" si="109"/>
        <v/>
      </c>
      <c r="AR91" s="839" t="str">
        <f t="shared" si="110"/>
        <v/>
      </c>
      <c r="AS91" s="839" t="str">
        <f t="shared" si="111"/>
        <v/>
      </c>
      <c r="AT91" s="839" t="str">
        <f t="shared" si="112"/>
        <v/>
      </c>
      <c r="AU91" s="839" t="str">
        <f t="shared" si="113"/>
        <v/>
      </c>
      <c r="AV91" s="839" t="str">
        <f t="shared" si="114"/>
        <v/>
      </c>
      <c r="AW91" s="843" t="str">
        <f t="shared" si="114"/>
        <v/>
      </c>
    </row>
    <row r="92" spans="1:49">
      <c r="A92" s="823">
        <f t="shared" si="91"/>
        <v>0</v>
      </c>
      <c r="B92" s="327" t="s">
        <v>542</v>
      </c>
      <c r="C92" s="327" t="str">
        <f t="shared" si="115"/>
        <v>陽極處理槽 dương cực Al3+ (19)</v>
      </c>
      <c r="D92" s="327" t="str">
        <f t="shared" si="116"/>
        <v>DC-000A</v>
      </c>
      <c r="E92" s="327" t="str">
        <f t="shared" si="117"/>
        <v>g/L</v>
      </c>
      <c r="F92" s="327" t="str">
        <f t="shared" si="118"/>
        <v>1~5
(3±1.5)</v>
      </c>
      <c r="G92" s="812">
        <f t="shared" si="73"/>
        <v>3.9999999999999991</v>
      </c>
      <c r="H92" s="812">
        <f t="shared" si="74"/>
        <v>0</v>
      </c>
      <c r="I92" s="817" t="str">
        <f t="shared" si="75"/>
        <v>kg</v>
      </c>
      <c r="J92" s="812">
        <f t="shared" si="76"/>
        <v>5</v>
      </c>
      <c r="K92" s="812">
        <f t="shared" si="77"/>
        <v>0</v>
      </c>
      <c r="L92" s="817" t="str">
        <f t="shared" si="78"/>
        <v>kg</v>
      </c>
      <c r="M92" s="812">
        <f t="shared" si="79"/>
        <v>0</v>
      </c>
      <c r="N92" s="812">
        <f t="shared" si="80"/>
        <v>0</v>
      </c>
      <c r="O92" s="817">
        <f t="shared" si="81"/>
        <v>0</v>
      </c>
      <c r="P92" s="812">
        <f t="shared" si="82"/>
        <v>0</v>
      </c>
      <c r="Q92" s="812">
        <f t="shared" si="83"/>
        <v>0</v>
      </c>
      <c r="R92" s="817">
        <f t="shared" si="84"/>
        <v>0</v>
      </c>
      <c r="S92" s="812">
        <f t="shared" si="85"/>
        <v>0</v>
      </c>
      <c r="T92" s="805">
        <f t="shared" si="86"/>
        <v>0</v>
      </c>
      <c r="U92" s="806">
        <f t="shared" si="87"/>
        <v>0</v>
      </c>
      <c r="V92" s="812">
        <f t="shared" si="88"/>
        <v>0</v>
      </c>
      <c r="W92" s="805">
        <f t="shared" si="89"/>
        <v>0</v>
      </c>
      <c r="X92" s="806">
        <f t="shared" si="90"/>
        <v>0</v>
      </c>
      <c r="Z92" s="328" t="b">
        <f t="shared" si="92"/>
        <v>1</v>
      </c>
      <c r="AA92" s="328" t="b">
        <f t="shared" si="93"/>
        <v>1</v>
      </c>
      <c r="AB92" s="328" t="b">
        <f t="shared" si="94"/>
        <v>1</v>
      </c>
      <c r="AC92" s="328" t="b">
        <f t="shared" si="95"/>
        <v>1</v>
      </c>
      <c r="AD92" s="328" t="b">
        <f t="shared" si="96"/>
        <v>1</v>
      </c>
      <c r="AE92" s="328" t="b">
        <f t="shared" si="97"/>
        <v>1</v>
      </c>
      <c r="AF92" s="328" t="b">
        <f t="shared" si="98"/>
        <v>1</v>
      </c>
      <c r="AG92" s="328" t="b">
        <f t="shared" si="99"/>
        <v>1</v>
      </c>
      <c r="AH92" s="328" t="b">
        <f t="shared" si="100"/>
        <v>1</v>
      </c>
      <c r="AI92" s="328" t="b">
        <f t="shared" si="101"/>
        <v>1</v>
      </c>
      <c r="AJ92" s="328" t="b">
        <f t="shared" si="102"/>
        <v>1</v>
      </c>
      <c r="AK92" s="328" t="b">
        <f t="shared" si="103"/>
        <v>1</v>
      </c>
      <c r="AL92" s="838" t="str">
        <f t="shared" si="104"/>
        <v/>
      </c>
      <c r="AM92" s="839" t="str">
        <f t="shared" si="105"/>
        <v/>
      </c>
      <c r="AN92" s="839" t="str">
        <f t="shared" si="106"/>
        <v/>
      </c>
      <c r="AO92" s="839" t="str">
        <f t="shared" si="107"/>
        <v/>
      </c>
      <c r="AP92" s="839" t="str">
        <f t="shared" si="108"/>
        <v/>
      </c>
      <c r="AQ92" s="839" t="str">
        <f t="shared" si="109"/>
        <v/>
      </c>
      <c r="AR92" s="839" t="str">
        <f t="shared" si="110"/>
        <v/>
      </c>
      <c r="AS92" s="839" t="str">
        <f t="shared" si="111"/>
        <v/>
      </c>
      <c r="AT92" s="839" t="str">
        <f t="shared" si="112"/>
        <v/>
      </c>
      <c r="AU92" s="839" t="str">
        <f t="shared" si="113"/>
        <v/>
      </c>
      <c r="AV92" s="839" t="str">
        <f t="shared" si="114"/>
        <v/>
      </c>
      <c r="AW92" s="843" t="str">
        <f t="shared" si="114"/>
        <v/>
      </c>
    </row>
    <row r="93" spans="1:49">
      <c r="A93" s="823">
        <f t="shared" si="91"/>
        <v>0</v>
      </c>
      <c r="B93" s="327" t="s">
        <v>543</v>
      </c>
      <c r="C93" s="327" t="str">
        <f t="shared" si="115"/>
        <v>陽極處理槽  dương cực  H2SO4 (20)</v>
      </c>
      <c r="D93" s="327" t="str">
        <f t="shared" si="116"/>
        <v>DC-000A</v>
      </c>
      <c r="E93" s="327" t="str">
        <f t="shared" si="117"/>
        <v>g/L</v>
      </c>
      <c r="F93" s="327" t="str">
        <f t="shared" si="118"/>
        <v>120~150
(135±15)</v>
      </c>
      <c r="G93" s="812">
        <f t="shared" si="73"/>
        <v>128.75</v>
      </c>
      <c r="H93" s="812">
        <f t="shared" si="74"/>
        <v>2.16</v>
      </c>
      <c r="I93" s="817" t="str">
        <f t="shared" si="75"/>
        <v>kg</v>
      </c>
      <c r="J93" s="812">
        <f t="shared" si="76"/>
        <v>131.25</v>
      </c>
      <c r="K93" s="812">
        <f t="shared" si="77"/>
        <v>0</v>
      </c>
      <c r="L93" s="817" t="str">
        <f t="shared" si="78"/>
        <v>kg</v>
      </c>
      <c r="M93" s="812">
        <f t="shared" si="79"/>
        <v>0</v>
      </c>
      <c r="N93" s="812">
        <f t="shared" si="80"/>
        <v>0</v>
      </c>
      <c r="O93" s="817">
        <f t="shared" si="81"/>
        <v>0</v>
      </c>
      <c r="P93" s="812">
        <f t="shared" si="82"/>
        <v>0</v>
      </c>
      <c r="Q93" s="812">
        <f t="shared" si="83"/>
        <v>0</v>
      </c>
      <c r="R93" s="817">
        <f t="shared" si="84"/>
        <v>0</v>
      </c>
      <c r="S93" s="812">
        <f t="shared" si="85"/>
        <v>0</v>
      </c>
      <c r="T93" s="805">
        <f t="shared" si="86"/>
        <v>0</v>
      </c>
      <c r="U93" s="806">
        <f t="shared" si="87"/>
        <v>0</v>
      </c>
      <c r="V93" s="812">
        <f t="shared" si="88"/>
        <v>0</v>
      </c>
      <c r="W93" s="805">
        <f t="shared" si="89"/>
        <v>0</v>
      </c>
      <c r="X93" s="806">
        <f t="shared" si="90"/>
        <v>0</v>
      </c>
      <c r="Z93" s="328" t="b">
        <f t="shared" si="92"/>
        <v>1</v>
      </c>
      <c r="AA93" s="328" t="b">
        <f t="shared" si="93"/>
        <v>1</v>
      </c>
      <c r="AB93" s="328" t="b">
        <f t="shared" si="94"/>
        <v>1</v>
      </c>
      <c r="AC93" s="328" t="b">
        <f t="shared" si="95"/>
        <v>1</v>
      </c>
      <c r="AD93" s="328" t="b">
        <f t="shared" si="96"/>
        <v>1</v>
      </c>
      <c r="AE93" s="328" t="b">
        <f t="shared" si="97"/>
        <v>1</v>
      </c>
      <c r="AF93" s="328" t="b">
        <f t="shared" si="98"/>
        <v>1</v>
      </c>
      <c r="AG93" s="328" t="b">
        <f t="shared" si="99"/>
        <v>1</v>
      </c>
      <c r="AH93" s="328" t="b">
        <f t="shared" si="100"/>
        <v>1</v>
      </c>
      <c r="AI93" s="328" t="b">
        <f t="shared" si="101"/>
        <v>1</v>
      </c>
      <c r="AJ93" s="328" t="b">
        <f t="shared" si="102"/>
        <v>1</v>
      </c>
      <c r="AK93" s="328" t="b">
        <f t="shared" si="103"/>
        <v>1</v>
      </c>
      <c r="AL93" s="838" t="str">
        <f t="shared" si="104"/>
        <v/>
      </c>
      <c r="AM93" s="839" t="str">
        <f t="shared" si="105"/>
        <v/>
      </c>
      <c r="AN93" s="839" t="str">
        <f t="shared" si="106"/>
        <v/>
      </c>
      <c r="AO93" s="839" t="str">
        <f t="shared" si="107"/>
        <v/>
      </c>
      <c r="AP93" s="839" t="str">
        <f t="shared" si="108"/>
        <v/>
      </c>
      <c r="AQ93" s="839" t="str">
        <f t="shared" si="109"/>
        <v/>
      </c>
      <c r="AR93" s="839" t="str">
        <f t="shared" si="110"/>
        <v/>
      </c>
      <c r="AS93" s="839" t="str">
        <f t="shared" si="111"/>
        <v/>
      </c>
      <c r="AT93" s="839" t="str">
        <f t="shared" si="112"/>
        <v/>
      </c>
      <c r="AU93" s="839" t="str">
        <f t="shared" si="113"/>
        <v/>
      </c>
      <c r="AV93" s="839" t="str">
        <f t="shared" si="114"/>
        <v/>
      </c>
      <c r="AW93" s="843" t="str">
        <f t="shared" si="114"/>
        <v/>
      </c>
    </row>
    <row r="94" spans="1:49">
      <c r="A94" s="823">
        <f t="shared" si="91"/>
        <v>0</v>
      </c>
      <c r="B94" s="327" t="s">
        <v>544</v>
      </c>
      <c r="C94" s="327" t="str">
        <f t="shared" si="115"/>
        <v>陽極處理槽 dương cực Al3+ (20)</v>
      </c>
      <c r="D94" s="327" t="str">
        <f t="shared" si="116"/>
        <v>DC-000A</v>
      </c>
      <c r="E94" s="327" t="str">
        <f t="shared" si="117"/>
        <v>g/L</v>
      </c>
      <c r="F94" s="327" t="str">
        <f t="shared" si="118"/>
        <v>1~5
(3±1.5)</v>
      </c>
      <c r="G94" s="812">
        <f t="shared" si="73"/>
        <v>4.875</v>
      </c>
      <c r="H94" s="812">
        <f t="shared" si="74"/>
        <v>0</v>
      </c>
      <c r="I94" s="817" t="str">
        <f t="shared" si="75"/>
        <v>kg</v>
      </c>
      <c r="J94" s="812">
        <f t="shared" si="76"/>
        <v>4.125</v>
      </c>
      <c r="K94" s="812">
        <f t="shared" si="77"/>
        <v>0</v>
      </c>
      <c r="L94" s="817" t="str">
        <f t="shared" si="78"/>
        <v>kg</v>
      </c>
      <c r="M94" s="812">
        <f t="shared" si="79"/>
        <v>0</v>
      </c>
      <c r="N94" s="812">
        <f t="shared" si="80"/>
        <v>0</v>
      </c>
      <c r="O94" s="817">
        <f t="shared" si="81"/>
        <v>0</v>
      </c>
      <c r="P94" s="812">
        <f t="shared" si="82"/>
        <v>0</v>
      </c>
      <c r="Q94" s="812">
        <f t="shared" si="83"/>
        <v>0</v>
      </c>
      <c r="R94" s="817">
        <f t="shared" si="84"/>
        <v>0</v>
      </c>
      <c r="S94" s="812">
        <f t="shared" si="85"/>
        <v>0</v>
      </c>
      <c r="T94" s="805">
        <f t="shared" si="86"/>
        <v>0</v>
      </c>
      <c r="U94" s="806">
        <f t="shared" si="87"/>
        <v>0</v>
      </c>
      <c r="V94" s="812">
        <f t="shared" si="88"/>
        <v>0</v>
      </c>
      <c r="W94" s="805">
        <f t="shared" si="89"/>
        <v>0</v>
      </c>
      <c r="X94" s="806">
        <f t="shared" si="90"/>
        <v>0</v>
      </c>
      <c r="Z94" s="328" t="b">
        <f t="shared" si="92"/>
        <v>1</v>
      </c>
      <c r="AA94" s="328" t="b">
        <f t="shared" si="93"/>
        <v>1</v>
      </c>
      <c r="AB94" s="328" t="b">
        <f t="shared" si="94"/>
        <v>1</v>
      </c>
      <c r="AC94" s="328" t="b">
        <f t="shared" si="95"/>
        <v>1</v>
      </c>
      <c r="AD94" s="328" t="b">
        <f t="shared" si="96"/>
        <v>1</v>
      </c>
      <c r="AE94" s="328" t="b">
        <f t="shared" si="97"/>
        <v>1</v>
      </c>
      <c r="AF94" s="328" t="b">
        <f t="shared" si="98"/>
        <v>1</v>
      </c>
      <c r="AG94" s="328" t="b">
        <f t="shared" si="99"/>
        <v>1</v>
      </c>
      <c r="AH94" s="328" t="b">
        <f t="shared" si="100"/>
        <v>1</v>
      </c>
      <c r="AI94" s="328" t="b">
        <f t="shared" si="101"/>
        <v>1</v>
      </c>
      <c r="AJ94" s="328" t="b">
        <f t="shared" si="102"/>
        <v>1</v>
      </c>
      <c r="AK94" s="328" t="b">
        <f t="shared" si="103"/>
        <v>1</v>
      </c>
      <c r="AL94" s="838" t="str">
        <f t="shared" si="104"/>
        <v/>
      </c>
      <c r="AM94" s="839" t="str">
        <f t="shared" si="105"/>
        <v/>
      </c>
      <c r="AN94" s="839" t="str">
        <f t="shared" si="106"/>
        <v/>
      </c>
      <c r="AO94" s="839" t="str">
        <f t="shared" si="107"/>
        <v/>
      </c>
      <c r="AP94" s="839" t="str">
        <f t="shared" si="108"/>
        <v/>
      </c>
      <c r="AQ94" s="839" t="str">
        <f t="shared" si="109"/>
        <v/>
      </c>
      <c r="AR94" s="839" t="str">
        <f t="shared" si="110"/>
        <v/>
      </c>
      <c r="AS94" s="839" t="str">
        <f t="shared" si="111"/>
        <v/>
      </c>
      <c r="AT94" s="839" t="str">
        <f t="shared" si="112"/>
        <v/>
      </c>
      <c r="AU94" s="839" t="str">
        <f t="shared" si="113"/>
        <v/>
      </c>
      <c r="AV94" s="839" t="str">
        <f t="shared" si="114"/>
        <v/>
      </c>
      <c r="AW94" s="843" t="str">
        <f t="shared" si="114"/>
        <v/>
      </c>
    </row>
    <row r="95" spans="1:49">
      <c r="A95" s="823">
        <f t="shared" si="91"/>
        <v>0</v>
      </c>
      <c r="B95" s="327" t="s">
        <v>545</v>
      </c>
      <c r="C95" s="327" t="str">
        <f t="shared" si="115"/>
        <v>封孔 Đóng lỗ  (HK-101A1)</v>
      </c>
      <c r="D95" s="327" t="str">
        <f t="shared" si="116"/>
        <v>DC-000A</v>
      </c>
      <c r="E95" s="327" t="str">
        <f t="shared" si="117"/>
        <v>g/L</v>
      </c>
      <c r="F95" s="327" t="str">
        <f t="shared" si="118"/>
        <v>8~12
(10±1)</v>
      </c>
      <c r="G95" s="812">
        <f t="shared" si="73"/>
        <v>10.607999999999999</v>
      </c>
      <c r="H95" s="812">
        <f t="shared" si="74"/>
        <v>0</v>
      </c>
      <c r="I95" s="817" t="str">
        <f t="shared" si="75"/>
        <v>kg</v>
      </c>
      <c r="J95" s="812">
        <f t="shared" si="76"/>
        <v>10.192000000000002</v>
      </c>
      <c r="K95" s="812">
        <f t="shared" si="77"/>
        <v>0</v>
      </c>
      <c r="L95" s="817" t="str">
        <f t="shared" si="78"/>
        <v>kg</v>
      </c>
      <c r="M95" s="812">
        <f t="shared" si="79"/>
        <v>0</v>
      </c>
      <c r="N95" s="812">
        <f t="shared" si="80"/>
        <v>0</v>
      </c>
      <c r="O95" s="817">
        <f t="shared" si="81"/>
        <v>0</v>
      </c>
      <c r="P95" s="812">
        <f t="shared" si="82"/>
        <v>0</v>
      </c>
      <c r="Q95" s="812">
        <f t="shared" si="83"/>
        <v>0</v>
      </c>
      <c r="R95" s="817">
        <f t="shared" si="84"/>
        <v>0</v>
      </c>
      <c r="S95" s="812">
        <f t="shared" si="85"/>
        <v>0</v>
      </c>
      <c r="T95" s="805">
        <f t="shared" si="86"/>
        <v>0</v>
      </c>
      <c r="U95" s="806">
        <f t="shared" si="87"/>
        <v>0</v>
      </c>
      <c r="V95" s="812">
        <f t="shared" si="88"/>
        <v>0</v>
      </c>
      <c r="W95" s="805">
        <f t="shared" si="89"/>
        <v>0</v>
      </c>
      <c r="X95" s="806">
        <f t="shared" si="90"/>
        <v>0</v>
      </c>
      <c r="Z95" s="328" t="b">
        <f t="shared" si="92"/>
        <v>1</v>
      </c>
      <c r="AA95" s="328" t="b">
        <f t="shared" si="93"/>
        <v>1</v>
      </c>
      <c r="AB95" s="328" t="b">
        <f t="shared" si="94"/>
        <v>1</v>
      </c>
      <c r="AC95" s="328" t="b">
        <f t="shared" si="95"/>
        <v>1</v>
      </c>
      <c r="AD95" s="328" t="b">
        <f t="shared" si="96"/>
        <v>1</v>
      </c>
      <c r="AE95" s="328" t="b">
        <f t="shared" si="97"/>
        <v>1</v>
      </c>
      <c r="AF95" s="328" t="b">
        <f t="shared" si="98"/>
        <v>1</v>
      </c>
      <c r="AG95" s="328" t="b">
        <f t="shared" si="99"/>
        <v>1</v>
      </c>
      <c r="AH95" s="328" t="b">
        <f t="shared" si="100"/>
        <v>1</v>
      </c>
      <c r="AI95" s="328" t="b">
        <f t="shared" si="101"/>
        <v>1</v>
      </c>
      <c r="AJ95" s="328" t="b">
        <f t="shared" si="102"/>
        <v>1</v>
      </c>
      <c r="AK95" s="328" t="b">
        <f t="shared" si="103"/>
        <v>1</v>
      </c>
      <c r="AL95" s="838" t="str">
        <f t="shared" si="104"/>
        <v/>
      </c>
      <c r="AM95" s="839" t="str">
        <f t="shared" si="105"/>
        <v/>
      </c>
      <c r="AN95" s="839" t="str">
        <f t="shared" si="106"/>
        <v/>
      </c>
      <c r="AO95" s="839" t="str">
        <f t="shared" si="107"/>
        <v/>
      </c>
      <c r="AP95" s="839" t="str">
        <f t="shared" si="108"/>
        <v/>
      </c>
      <c r="AQ95" s="839" t="str">
        <f t="shared" si="109"/>
        <v/>
      </c>
      <c r="AR95" s="839" t="str">
        <f t="shared" si="110"/>
        <v/>
      </c>
      <c r="AS95" s="839" t="str">
        <f t="shared" si="111"/>
        <v/>
      </c>
      <c r="AT95" s="839" t="str">
        <f t="shared" si="112"/>
        <v/>
      </c>
      <c r="AU95" s="839" t="str">
        <f t="shared" si="113"/>
        <v/>
      </c>
      <c r="AV95" s="839" t="str">
        <f t="shared" si="114"/>
        <v/>
      </c>
      <c r="AW95" s="843" t="str">
        <f t="shared" si="114"/>
        <v/>
      </c>
    </row>
    <row r="96" spans="1:49">
      <c r="A96" s="823">
        <f t="shared" si="91"/>
        <v>0</v>
      </c>
      <c r="B96" s="327" t="s">
        <v>548</v>
      </c>
      <c r="C96" s="327" t="str">
        <f t="shared" si="115"/>
        <v>pH</v>
      </c>
      <c r="D96" s="327" t="str">
        <f t="shared" si="116"/>
        <v>DC-000A</v>
      </c>
      <c r="E96" s="327" t="str">
        <f t="shared" si="117"/>
        <v>pH</v>
      </c>
      <c r="F96" s="327" t="str">
        <f t="shared" si="118"/>
        <v>6~8
(7±0.5)</v>
      </c>
      <c r="G96" s="812">
        <f t="shared" si="73"/>
        <v>6.2</v>
      </c>
      <c r="H96" s="812">
        <f t="shared" si="74"/>
        <v>0</v>
      </c>
      <c r="I96" s="817">
        <f t="shared" si="75"/>
        <v>0</v>
      </c>
      <c r="J96" s="812">
        <f t="shared" si="76"/>
        <v>6.3</v>
      </c>
      <c r="K96" s="812">
        <f t="shared" si="77"/>
        <v>0</v>
      </c>
      <c r="L96" s="817">
        <f t="shared" si="78"/>
        <v>0</v>
      </c>
      <c r="M96" s="812">
        <f t="shared" si="79"/>
        <v>0</v>
      </c>
      <c r="N96" s="812">
        <f t="shared" si="80"/>
        <v>0</v>
      </c>
      <c r="O96" s="817">
        <f t="shared" si="81"/>
        <v>0</v>
      </c>
      <c r="P96" s="812">
        <f t="shared" si="82"/>
        <v>0</v>
      </c>
      <c r="Q96" s="812">
        <f t="shared" si="83"/>
        <v>0</v>
      </c>
      <c r="R96" s="817">
        <f t="shared" si="84"/>
        <v>0</v>
      </c>
      <c r="S96" s="812">
        <f t="shared" si="85"/>
        <v>0</v>
      </c>
      <c r="T96" s="805">
        <f t="shared" si="86"/>
        <v>0</v>
      </c>
      <c r="U96" s="806">
        <f t="shared" si="87"/>
        <v>0</v>
      </c>
      <c r="V96" s="812">
        <f t="shared" si="88"/>
        <v>0</v>
      </c>
      <c r="W96" s="805">
        <f t="shared" si="89"/>
        <v>0</v>
      </c>
      <c r="X96" s="806">
        <f t="shared" si="90"/>
        <v>0</v>
      </c>
      <c r="Z96" s="328" t="b">
        <f t="shared" si="92"/>
        <v>1</v>
      </c>
      <c r="AA96" s="328" t="b">
        <f t="shared" si="93"/>
        <v>1</v>
      </c>
      <c r="AB96" s="328" t="b">
        <f t="shared" si="94"/>
        <v>1</v>
      </c>
      <c r="AC96" s="328" t="b">
        <f t="shared" si="95"/>
        <v>1</v>
      </c>
      <c r="AD96" s="328" t="b">
        <f t="shared" si="96"/>
        <v>1</v>
      </c>
      <c r="AE96" s="328" t="b">
        <f t="shared" si="97"/>
        <v>1</v>
      </c>
      <c r="AF96" s="328" t="b">
        <f t="shared" si="98"/>
        <v>1</v>
      </c>
      <c r="AG96" s="328" t="b">
        <f t="shared" si="99"/>
        <v>1</v>
      </c>
      <c r="AH96" s="328" t="b">
        <f t="shared" si="100"/>
        <v>1</v>
      </c>
      <c r="AI96" s="328" t="b">
        <f t="shared" si="101"/>
        <v>1</v>
      </c>
      <c r="AJ96" s="328" t="b">
        <f t="shared" si="102"/>
        <v>1</v>
      </c>
      <c r="AK96" s="328" t="b">
        <f t="shared" si="103"/>
        <v>1</v>
      </c>
      <c r="AL96" s="838" t="str">
        <f t="shared" si="104"/>
        <v/>
      </c>
      <c r="AM96" s="839" t="str">
        <f t="shared" si="105"/>
        <v/>
      </c>
      <c r="AN96" s="839" t="str">
        <f t="shared" si="106"/>
        <v/>
      </c>
      <c r="AO96" s="839" t="str">
        <f t="shared" si="107"/>
        <v/>
      </c>
      <c r="AP96" s="839" t="str">
        <f t="shared" si="108"/>
        <v/>
      </c>
      <c r="AQ96" s="839" t="str">
        <f t="shared" si="109"/>
        <v/>
      </c>
      <c r="AR96" s="839" t="str">
        <f t="shared" si="110"/>
        <v/>
      </c>
      <c r="AS96" s="839" t="str">
        <f t="shared" si="111"/>
        <v/>
      </c>
      <c r="AT96" s="839" t="str">
        <f t="shared" si="112"/>
        <v/>
      </c>
      <c r="AU96" s="839" t="str">
        <f t="shared" si="113"/>
        <v/>
      </c>
      <c r="AV96" s="839" t="str">
        <f t="shared" si="114"/>
        <v/>
      </c>
      <c r="AW96" s="843" t="str">
        <f t="shared" si="114"/>
        <v/>
      </c>
    </row>
    <row r="97" spans="1:49">
      <c r="A97" s="823">
        <f t="shared" si="91"/>
        <v>0</v>
      </c>
      <c r="B97" s="327" t="s">
        <v>550</v>
      </c>
      <c r="C97" s="327" t="str">
        <f t="shared" si="115"/>
        <v xml:space="preserve"> 染色Màu - Black-05</v>
      </c>
      <c r="D97" s="327" t="str">
        <f t="shared" si="116"/>
        <v>DC-000A</v>
      </c>
      <c r="E97" s="327" t="str">
        <f t="shared" si="117"/>
        <v>pH</v>
      </c>
      <c r="F97" s="327" t="str">
        <f t="shared" si="118"/>
        <v>5.5~6.0</v>
      </c>
      <c r="G97" s="812">
        <f t="shared" si="73"/>
        <v>0</v>
      </c>
      <c r="H97" s="812">
        <f t="shared" si="74"/>
        <v>0</v>
      </c>
      <c r="I97" s="817">
        <f t="shared" si="75"/>
        <v>0</v>
      </c>
      <c r="J97" s="812">
        <f t="shared" si="76"/>
        <v>0</v>
      </c>
      <c r="K97" s="812">
        <f t="shared" si="77"/>
        <v>0</v>
      </c>
      <c r="L97" s="817">
        <f t="shared" si="78"/>
        <v>0</v>
      </c>
      <c r="M97" s="812">
        <f t="shared" si="79"/>
        <v>0</v>
      </c>
      <c r="N97" s="812">
        <f t="shared" si="80"/>
        <v>0</v>
      </c>
      <c r="O97" s="817">
        <f t="shared" si="81"/>
        <v>0</v>
      </c>
      <c r="P97" s="812">
        <f t="shared" si="82"/>
        <v>0</v>
      </c>
      <c r="Q97" s="812">
        <f t="shared" si="83"/>
        <v>0</v>
      </c>
      <c r="R97" s="817">
        <f t="shared" si="84"/>
        <v>0</v>
      </c>
      <c r="S97" s="812">
        <f t="shared" si="85"/>
        <v>0</v>
      </c>
      <c r="T97" s="805">
        <f t="shared" si="86"/>
        <v>0</v>
      </c>
      <c r="U97" s="806">
        <f t="shared" si="87"/>
        <v>0</v>
      </c>
      <c r="V97" s="812">
        <f t="shared" si="88"/>
        <v>0</v>
      </c>
      <c r="W97" s="805">
        <f t="shared" si="89"/>
        <v>0</v>
      </c>
      <c r="X97" s="806">
        <f t="shared" si="90"/>
        <v>0</v>
      </c>
      <c r="Z97" s="328" t="b">
        <f t="shared" si="92"/>
        <v>1</v>
      </c>
      <c r="AA97" s="328" t="b">
        <f t="shared" si="93"/>
        <v>1</v>
      </c>
      <c r="AB97" s="328" t="b">
        <f t="shared" si="94"/>
        <v>1</v>
      </c>
      <c r="AC97" s="328" t="b">
        <f t="shared" si="95"/>
        <v>1</v>
      </c>
      <c r="AD97" s="328" t="b">
        <f t="shared" si="96"/>
        <v>1</v>
      </c>
      <c r="AE97" s="328" t="b">
        <f t="shared" si="97"/>
        <v>1</v>
      </c>
      <c r="AF97" s="328" t="b">
        <f t="shared" si="98"/>
        <v>1</v>
      </c>
      <c r="AG97" s="328" t="b">
        <f t="shared" si="99"/>
        <v>1</v>
      </c>
      <c r="AH97" s="328" t="b">
        <f t="shared" si="100"/>
        <v>1</v>
      </c>
      <c r="AI97" s="328" t="b">
        <f t="shared" si="101"/>
        <v>1</v>
      </c>
      <c r="AJ97" s="328" t="b">
        <f t="shared" si="102"/>
        <v>1</v>
      </c>
      <c r="AK97" s="328" t="b">
        <f t="shared" si="103"/>
        <v>1</v>
      </c>
      <c r="AL97" s="838" t="str">
        <f t="shared" si="104"/>
        <v/>
      </c>
      <c r="AM97" s="839" t="str">
        <f t="shared" si="105"/>
        <v/>
      </c>
      <c r="AN97" s="839" t="str">
        <f t="shared" si="106"/>
        <v/>
      </c>
      <c r="AO97" s="839" t="str">
        <f t="shared" si="107"/>
        <v/>
      </c>
      <c r="AP97" s="839" t="str">
        <f t="shared" si="108"/>
        <v/>
      </c>
      <c r="AQ97" s="839" t="str">
        <f t="shared" si="109"/>
        <v/>
      </c>
      <c r="AR97" s="839" t="str">
        <f t="shared" si="110"/>
        <v/>
      </c>
      <c r="AS97" s="839" t="str">
        <f t="shared" si="111"/>
        <v/>
      </c>
      <c r="AT97" s="839" t="str">
        <f t="shared" si="112"/>
        <v/>
      </c>
      <c r="AU97" s="839" t="str">
        <f t="shared" si="113"/>
        <v/>
      </c>
      <c r="AV97" s="839" t="str">
        <f t="shared" si="114"/>
        <v/>
      </c>
      <c r="AW97" s="843" t="str">
        <f t="shared" si="114"/>
        <v/>
      </c>
    </row>
    <row r="98" spans="1:49">
      <c r="A98" s="823">
        <f t="shared" si="91"/>
        <v>0</v>
      </c>
      <c r="B98" s="327" t="s">
        <v>552</v>
      </c>
      <c r="C98" s="327" t="str">
        <f t="shared" si="115"/>
        <v xml:space="preserve"> 染色Màu- Gey-07</v>
      </c>
      <c r="D98" s="327" t="str">
        <f t="shared" si="116"/>
        <v>DC-000A</v>
      </c>
      <c r="E98" s="327" t="str">
        <f t="shared" si="117"/>
        <v>pH</v>
      </c>
      <c r="F98" s="327" t="str">
        <f t="shared" si="118"/>
        <v>5.5~6.0</v>
      </c>
      <c r="G98" s="812">
        <f t="shared" si="73"/>
        <v>0</v>
      </c>
      <c r="H98" s="812">
        <f t="shared" si="74"/>
        <v>0</v>
      </c>
      <c r="I98" s="817">
        <f t="shared" si="75"/>
        <v>0</v>
      </c>
      <c r="J98" s="812">
        <f t="shared" si="76"/>
        <v>0</v>
      </c>
      <c r="K98" s="812">
        <f t="shared" si="77"/>
        <v>0</v>
      </c>
      <c r="L98" s="817">
        <f t="shared" si="78"/>
        <v>0</v>
      </c>
      <c r="M98" s="812">
        <f t="shared" si="79"/>
        <v>0</v>
      </c>
      <c r="N98" s="812">
        <f t="shared" si="80"/>
        <v>0</v>
      </c>
      <c r="O98" s="817">
        <f t="shared" si="81"/>
        <v>0</v>
      </c>
      <c r="P98" s="812">
        <f t="shared" si="82"/>
        <v>0</v>
      </c>
      <c r="Q98" s="812">
        <f t="shared" si="83"/>
        <v>0</v>
      </c>
      <c r="R98" s="817">
        <f t="shared" si="84"/>
        <v>0</v>
      </c>
      <c r="S98" s="812">
        <f t="shared" si="85"/>
        <v>0</v>
      </c>
      <c r="T98" s="805">
        <f t="shared" si="86"/>
        <v>0</v>
      </c>
      <c r="U98" s="806">
        <f t="shared" si="87"/>
        <v>0</v>
      </c>
      <c r="V98" s="812">
        <f t="shared" si="88"/>
        <v>0</v>
      </c>
      <c r="W98" s="805">
        <f t="shared" si="89"/>
        <v>0</v>
      </c>
      <c r="X98" s="806">
        <f t="shared" si="90"/>
        <v>0</v>
      </c>
      <c r="Z98" s="328" t="b">
        <f t="shared" si="92"/>
        <v>1</v>
      </c>
      <c r="AA98" s="328" t="b">
        <f t="shared" si="93"/>
        <v>1</v>
      </c>
      <c r="AB98" s="328" t="b">
        <f t="shared" si="94"/>
        <v>1</v>
      </c>
      <c r="AC98" s="328" t="b">
        <f t="shared" si="95"/>
        <v>1</v>
      </c>
      <c r="AD98" s="328" t="b">
        <f t="shared" si="96"/>
        <v>1</v>
      </c>
      <c r="AE98" s="328" t="b">
        <f t="shared" si="97"/>
        <v>1</v>
      </c>
      <c r="AF98" s="328" t="b">
        <f t="shared" si="98"/>
        <v>1</v>
      </c>
      <c r="AG98" s="328" t="b">
        <f t="shared" si="99"/>
        <v>1</v>
      </c>
      <c r="AH98" s="328" t="b">
        <f t="shared" si="100"/>
        <v>1</v>
      </c>
      <c r="AI98" s="328" t="b">
        <f t="shared" si="101"/>
        <v>1</v>
      </c>
      <c r="AJ98" s="328" t="b">
        <f t="shared" si="102"/>
        <v>1</v>
      </c>
      <c r="AK98" s="328" t="b">
        <f t="shared" si="103"/>
        <v>1</v>
      </c>
      <c r="AL98" s="838" t="str">
        <f t="shared" si="104"/>
        <v/>
      </c>
      <c r="AM98" s="839" t="str">
        <f t="shared" si="105"/>
        <v/>
      </c>
      <c r="AN98" s="839" t="str">
        <f t="shared" si="106"/>
        <v/>
      </c>
      <c r="AO98" s="839" t="str">
        <f t="shared" si="107"/>
        <v/>
      </c>
      <c r="AP98" s="839" t="str">
        <f t="shared" si="108"/>
        <v/>
      </c>
      <c r="AQ98" s="839" t="str">
        <f t="shared" si="109"/>
        <v/>
      </c>
      <c r="AR98" s="839" t="str">
        <f t="shared" si="110"/>
        <v/>
      </c>
      <c r="AS98" s="839" t="str">
        <f t="shared" si="111"/>
        <v/>
      </c>
      <c r="AT98" s="839" t="str">
        <f t="shared" si="112"/>
        <v/>
      </c>
      <c r="AU98" s="839" t="str">
        <f t="shared" si="113"/>
        <v/>
      </c>
      <c r="AV98" s="839" t="str">
        <f t="shared" si="114"/>
        <v/>
      </c>
      <c r="AW98" s="843" t="str">
        <f t="shared" si="114"/>
        <v/>
      </c>
    </row>
    <row r="99" spans="1:49">
      <c r="A99" s="823">
        <f t="shared" si="91"/>
        <v>0</v>
      </c>
      <c r="B99" s="327" t="s">
        <v>554</v>
      </c>
      <c r="C99" s="327" t="str">
        <f t="shared" si="115"/>
        <v xml:space="preserve"> 染色Màu- Black-08</v>
      </c>
      <c r="D99" s="327" t="str">
        <f t="shared" si="116"/>
        <v>DC-000A</v>
      </c>
      <c r="E99" s="327" t="str">
        <f t="shared" si="117"/>
        <v>pH</v>
      </c>
      <c r="F99" s="327" t="str">
        <f t="shared" si="118"/>
        <v>5.5~6.0</v>
      </c>
      <c r="G99" s="812">
        <f t="shared" si="73"/>
        <v>5.6</v>
      </c>
      <c r="H99" s="812">
        <f t="shared" si="74"/>
        <v>0</v>
      </c>
      <c r="I99" s="817">
        <f t="shared" si="75"/>
        <v>0</v>
      </c>
      <c r="J99" s="812">
        <f t="shared" si="76"/>
        <v>5.7</v>
      </c>
      <c r="K99" s="812">
        <f t="shared" si="77"/>
        <v>0</v>
      </c>
      <c r="L99" s="817">
        <f t="shared" si="78"/>
        <v>0</v>
      </c>
      <c r="M99" s="812">
        <f t="shared" si="79"/>
        <v>0</v>
      </c>
      <c r="N99" s="812">
        <f t="shared" si="80"/>
        <v>0</v>
      </c>
      <c r="O99" s="817">
        <f t="shared" si="81"/>
        <v>0</v>
      </c>
      <c r="P99" s="812">
        <f t="shared" si="82"/>
        <v>0</v>
      </c>
      <c r="Q99" s="812">
        <f t="shared" si="83"/>
        <v>0</v>
      </c>
      <c r="R99" s="817">
        <f t="shared" si="84"/>
        <v>0</v>
      </c>
      <c r="S99" s="812">
        <f t="shared" si="85"/>
        <v>0</v>
      </c>
      <c r="T99" s="805">
        <f t="shared" si="86"/>
        <v>0</v>
      </c>
      <c r="U99" s="806">
        <f t="shared" si="87"/>
        <v>0</v>
      </c>
      <c r="V99" s="812">
        <f t="shared" si="88"/>
        <v>0</v>
      </c>
      <c r="W99" s="805">
        <f t="shared" si="89"/>
        <v>0</v>
      </c>
      <c r="X99" s="806">
        <f t="shared" si="90"/>
        <v>0</v>
      </c>
      <c r="Z99" s="328" t="b">
        <f t="shared" si="92"/>
        <v>1</v>
      </c>
      <c r="AA99" s="328" t="b">
        <f t="shared" si="93"/>
        <v>1</v>
      </c>
      <c r="AB99" s="328" t="b">
        <f t="shared" si="94"/>
        <v>1</v>
      </c>
      <c r="AC99" s="328" t="b">
        <f t="shared" si="95"/>
        <v>1</v>
      </c>
      <c r="AD99" s="328" t="b">
        <f t="shared" si="96"/>
        <v>1</v>
      </c>
      <c r="AE99" s="328" t="b">
        <f t="shared" si="97"/>
        <v>1</v>
      </c>
      <c r="AF99" s="328" t="b">
        <f t="shared" si="98"/>
        <v>1</v>
      </c>
      <c r="AG99" s="328" t="b">
        <f t="shared" si="99"/>
        <v>1</v>
      </c>
      <c r="AH99" s="328" t="b">
        <f t="shared" si="100"/>
        <v>1</v>
      </c>
      <c r="AI99" s="328" t="b">
        <f t="shared" si="101"/>
        <v>1</v>
      </c>
      <c r="AJ99" s="328" t="b">
        <f t="shared" si="102"/>
        <v>1</v>
      </c>
      <c r="AK99" s="328" t="b">
        <f t="shared" si="103"/>
        <v>1</v>
      </c>
      <c r="AL99" s="840" t="str">
        <f t="shared" si="104"/>
        <v/>
      </c>
      <c r="AM99" s="841" t="str">
        <f t="shared" si="105"/>
        <v/>
      </c>
      <c r="AN99" s="841" t="str">
        <f t="shared" si="106"/>
        <v/>
      </c>
      <c r="AO99" s="841" t="str">
        <f t="shared" si="107"/>
        <v/>
      </c>
      <c r="AP99" s="841" t="str">
        <f t="shared" si="108"/>
        <v/>
      </c>
      <c r="AQ99" s="841" t="str">
        <f t="shared" si="109"/>
        <v/>
      </c>
      <c r="AR99" s="841" t="str">
        <f t="shared" si="110"/>
        <v/>
      </c>
      <c r="AS99" s="841" t="str">
        <f t="shared" si="111"/>
        <v/>
      </c>
      <c r="AT99" s="841" t="str">
        <f t="shared" si="112"/>
        <v/>
      </c>
      <c r="AU99" s="841" t="str">
        <f t="shared" si="113"/>
        <v/>
      </c>
      <c r="AV99" s="841" t="str">
        <f t="shared" si="114"/>
        <v/>
      </c>
      <c r="AW99" s="844" t="str">
        <f t="shared" si="114"/>
        <v/>
      </c>
    </row>
  </sheetData>
  <phoneticPr fontId="7" type="noConversion"/>
  <pageMargins left="0.7" right="0.7" top="0.75" bottom="0.75" header="0.3" footer="0.3"/>
  <pageSetup paperSize="9" orientation="portrait" verticalDpi="0" r:id="rId1"/>
  <drawing r:id="rId2"/>
</worksheet>
</file>

<file path=xl/worksheets/sheet51.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24" customWidth="1"/>
    <col min="2" max="2" width="13" style="324" customWidth="1"/>
    <col min="3" max="3" width="37" style="324" customWidth="1"/>
    <col min="4" max="5" width="12.625" style="324" customWidth="1"/>
    <col min="6" max="6" width="19.125" style="324" customWidth="1"/>
    <col min="7" max="7" width="12.5" style="325" bestFit="1" customWidth="1"/>
    <col min="8" max="8" width="12.5" style="325" customWidth="1"/>
    <col min="9" max="9" width="13.375" style="325" bestFit="1" customWidth="1"/>
    <col min="10" max="10" width="13.375" style="325" customWidth="1"/>
    <col min="11" max="11" width="13.375" style="325" bestFit="1" customWidth="1"/>
    <col min="12" max="12" width="13.375" style="325" customWidth="1"/>
    <col min="13" max="13" width="15.125" style="325" customWidth="1"/>
    <col min="14" max="14" width="11.75" style="325" customWidth="1"/>
    <col min="15" max="15" width="10.125" style="325" bestFit="1" customWidth="1"/>
    <col min="16" max="16" width="10.125" style="325" customWidth="1"/>
    <col min="17" max="17" width="10.125" style="325" bestFit="1" customWidth="1"/>
    <col min="18" max="18" width="10.125" style="325" customWidth="1"/>
    <col min="19" max="19" width="9" style="321"/>
    <col min="20" max="31" width="0" style="813" hidden="1" customWidth="1"/>
    <col min="32" max="16384" width="9" style="321"/>
  </cols>
  <sheetData>
    <row r="1" spans="1:43" ht="71.45" customHeight="1">
      <c r="A1" s="803" t="s">
        <v>808</v>
      </c>
      <c r="B1" s="796"/>
      <c r="C1" s="796"/>
      <c r="D1" s="796"/>
      <c r="E1" s="796"/>
      <c r="F1" s="796"/>
      <c r="G1" s="796"/>
      <c r="H1" s="796"/>
      <c r="I1" s="796"/>
      <c r="J1" s="796"/>
      <c r="K1" s="796"/>
      <c r="L1" s="796"/>
      <c r="M1" s="796"/>
      <c r="N1" s="796"/>
      <c r="O1" s="796"/>
      <c r="P1" s="796"/>
      <c r="Q1" s="796"/>
      <c r="R1" s="797"/>
    </row>
    <row r="2" spans="1:43" s="800" customFormat="1">
      <c r="A2" s="799" t="s">
        <v>791</v>
      </c>
      <c r="B2" s="799" t="s">
        <v>792</v>
      </c>
      <c r="C2" s="799" t="s">
        <v>322</v>
      </c>
      <c r="D2" s="799" t="s">
        <v>323</v>
      </c>
      <c r="E2" s="799" t="s">
        <v>324</v>
      </c>
      <c r="F2" s="799" t="s">
        <v>325</v>
      </c>
      <c r="G2" s="799" t="s">
        <v>793</v>
      </c>
      <c r="H2" s="799" t="s">
        <v>794</v>
      </c>
      <c r="I2" s="799" t="s">
        <v>795</v>
      </c>
      <c r="J2" s="799" t="s">
        <v>796</v>
      </c>
      <c r="K2" s="799" t="s">
        <v>797</v>
      </c>
      <c r="L2" s="799" t="s">
        <v>798</v>
      </c>
      <c r="M2" s="799" t="s">
        <v>799</v>
      </c>
      <c r="N2" s="799" t="s">
        <v>800</v>
      </c>
      <c r="O2" s="799" t="s">
        <v>801</v>
      </c>
      <c r="P2" s="799" t="s">
        <v>802</v>
      </c>
      <c r="Q2" s="799" t="s">
        <v>803</v>
      </c>
      <c r="R2" s="799" t="s">
        <v>804</v>
      </c>
      <c r="T2" s="809">
        <v>1</v>
      </c>
      <c r="U2" s="809" t="s">
        <v>832</v>
      </c>
      <c r="V2" s="809">
        <v>2</v>
      </c>
      <c r="W2" s="809" t="s">
        <v>832</v>
      </c>
      <c r="X2" s="809">
        <v>3</v>
      </c>
      <c r="Y2" s="809" t="s">
        <v>832</v>
      </c>
      <c r="Z2" s="809">
        <v>4</v>
      </c>
      <c r="AA2" s="809" t="s">
        <v>832</v>
      </c>
      <c r="AB2" s="809">
        <v>5</v>
      </c>
      <c r="AC2" s="809" t="s">
        <v>832</v>
      </c>
      <c r="AD2" s="809">
        <v>6</v>
      </c>
      <c r="AE2" s="809" t="s">
        <v>832</v>
      </c>
      <c r="AF2" s="826">
        <v>1</v>
      </c>
      <c r="AG2" s="826" t="s">
        <v>832</v>
      </c>
      <c r="AH2" s="826">
        <v>2</v>
      </c>
      <c r="AI2" s="826" t="s">
        <v>832</v>
      </c>
      <c r="AJ2" s="826">
        <v>3</v>
      </c>
      <c r="AK2" s="826" t="s">
        <v>832</v>
      </c>
      <c r="AL2" s="826">
        <v>4</v>
      </c>
      <c r="AM2" s="826" t="s">
        <v>832</v>
      </c>
      <c r="AN2" s="826">
        <v>5</v>
      </c>
      <c r="AO2" s="826" t="s">
        <v>832</v>
      </c>
      <c r="AP2" s="826">
        <v>6</v>
      </c>
      <c r="AQ2" s="826" t="s">
        <v>832</v>
      </c>
    </row>
    <row r="3" spans="1:43" s="800" customFormat="1">
      <c r="A3" s="799" t="s">
        <v>791</v>
      </c>
      <c r="B3" s="801" t="s">
        <v>345</v>
      </c>
      <c r="C3" s="801" t="s">
        <v>805</v>
      </c>
      <c r="D3" s="801" t="s">
        <v>347</v>
      </c>
      <c r="E3" s="802" t="s">
        <v>348</v>
      </c>
      <c r="F3" s="802" t="s">
        <v>349</v>
      </c>
      <c r="G3" s="801" t="s">
        <v>806</v>
      </c>
      <c r="H3" s="801" t="s">
        <v>807</v>
      </c>
      <c r="I3" s="801" t="s">
        <v>806</v>
      </c>
      <c r="J3" s="801" t="s">
        <v>807</v>
      </c>
      <c r="K3" s="801" t="s">
        <v>806</v>
      </c>
      <c r="L3" s="801" t="s">
        <v>807</v>
      </c>
      <c r="M3" s="801" t="s">
        <v>806</v>
      </c>
      <c r="N3" s="801" t="s">
        <v>807</v>
      </c>
      <c r="O3" s="801" t="s">
        <v>806</v>
      </c>
      <c r="P3" s="801" t="s">
        <v>807</v>
      </c>
      <c r="Q3" s="801" t="s">
        <v>806</v>
      </c>
      <c r="R3" s="801" t="s">
        <v>807</v>
      </c>
      <c r="T3" s="326"/>
      <c r="U3" s="326"/>
      <c r="V3" s="326"/>
      <c r="W3" s="326"/>
      <c r="X3" s="326"/>
      <c r="Y3" s="326"/>
      <c r="Z3" s="326"/>
      <c r="AA3" s="326"/>
      <c r="AB3" s="326"/>
      <c r="AC3" s="326"/>
      <c r="AD3" s="326"/>
      <c r="AE3" s="326"/>
    </row>
    <row r="4" spans="1:43" s="328" customFormat="1">
      <c r="A4" s="823">
        <f>'IT.NONG DO'!A4</f>
        <v>0</v>
      </c>
      <c r="B4" s="327" t="s">
        <v>254</v>
      </c>
      <c r="C4" s="327" t="str">
        <f t="shared" ref="C4:C27" si="0">IFERROR(VLOOKUP($B4,_XM_XT_THUCTE,3,0),"")</f>
        <v>Nhiệt  độ xà bông nóng (1)
 熱脫脂溫度(1)</v>
      </c>
      <c r="D4" s="327" t="str">
        <f t="shared" ref="D4:D27" si="1">IFERROR(VLOOKUP($B4,_XM_XT_THUCTE,2,0),"")</f>
        <v>XL-001E</v>
      </c>
      <c r="E4" s="327" t="str">
        <f t="shared" ref="E4:E27" si="2">IFERROR(VLOOKUP($B4,_XM_XT_THUCTE,4,0),"")</f>
        <v>0C</v>
      </c>
      <c r="F4" s="327" t="str">
        <f t="shared" ref="F4:F27" si="3">IFERROR(VLOOKUP($B4,_XM_XT_THUCTE,5,0),"")</f>
        <v>50~70</v>
      </c>
      <c r="G4" s="806">
        <f>IFERROR(VLOOKUP($B4,_XM_XT_THUCTE,8,0),"")</f>
        <v>0</v>
      </c>
      <c r="H4" s="806">
        <f t="shared" ref="H4:H27" si="4">IFERROR(VLOOKUP($B4,_XM_XT_THUCTE,11,0),"")</f>
        <v>0</v>
      </c>
      <c r="I4" s="806">
        <f t="shared" ref="I4:I27" si="5">IFERROR(VLOOKUP($B4,_XM_XT_THUCTE,14,0),"")</f>
        <v>0</v>
      </c>
      <c r="J4" s="806">
        <f t="shared" ref="J4:J27" si="6">IFERROR(VLOOKUP($B4,_XM_XT_THUCTE,17,0),"")</f>
        <v>0</v>
      </c>
      <c r="K4" s="806">
        <f t="shared" ref="K4:K27" si="7">IFERROR(VLOOKUP($B4,_XM_XT_THUCTE,20,0),"")</f>
        <v>0</v>
      </c>
      <c r="L4" s="806">
        <f t="shared" ref="L4:L27" si="8">IFERROR(VLOOKUP($B4,_XM_XT_THUCTE,23,0),"")</f>
        <v>0</v>
      </c>
      <c r="M4" s="806">
        <f t="shared" ref="M4:M27" si="9">IFERROR(VLOOKUP($B4,_XM_XT_THUCTE,26,0),"")</f>
        <v>0</v>
      </c>
      <c r="N4" s="806">
        <f t="shared" ref="N4:N27" si="10">IFERROR(VLOOKUP($B4,_XM_XT_THUCTE,29,0),"")</f>
        <v>0</v>
      </c>
      <c r="O4" s="806">
        <f t="shared" ref="O4:O27" si="11">IFERROR(VLOOKUP($B4,_XM_XT_THUCTE,32,0),"")</f>
        <v>0</v>
      </c>
      <c r="P4" s="806">
        <f t="shared" ref="P4:P27" si="12">IFERROR(VLOOKUP($B4,_XM_XT_THUCTE,35,0),"")</f>
        <v>0</v>
      </c>
      <c r="Q4" s="806">
        <f t="shared" ref="Q4:Q27" si="13">IFERROR(VLOOKUP($B4,_XM_XT_THUCTE,38,0),"")</f>
        <v>0</v>
      </c>
      <c r="R4" s="806">
        <f t="shared" ref="R4:R27" si="14">IFERROR(VLOOKUP($B4,_XM_XT_THUCTE,41,0),"")</f>
        <v>0</v>
      </c>
      <c r="T4" s="813" t="b">
        <f>ISNUMBER(G4)</f>
        <v>1</v>
      </c>
      <c r="U4" s="813" t="b">
        <f t="shared" ref="U4:AE19" si="15">ISNUMBER(H4)</f>
        <v>1</v>
      </c>
      <c r="V4" s="813" t="b">
        <f t="shared" si="15"/>
        <v>1</v>
      </c>
      <c r="W4" s="813" t="b">
        <f t="shared" si="15"/>
        <v>1</v>
      </c>
      <c r="X4" s="813" t="b">
        <f t="shared" si="15"/>
        <v>1</v>
      </c>
      <c r="Y4" s="813" t="b">
        <f t="shared" si="15"/>
        <v>1</v>
      </c>
      <c r="Z4" s="813" t="b">
        <f t="shared" si="15"/>
        <v>1</v>
      </c>
      <c r="AA4" s="813" t="b">
        <f t="shared" si="15"/>
        <v>1</v>
      </c>
      <c r="AB4" s="813" t="b">
        <f t="shared" si="15"/>
        <v>1</v>
      </c>
      <c r="AC4" s="813" t="b">
        <f t="shared" si="15"/>
        <v>1</v>
      </c>
      <c r="AD4" s="813" t="b">
        <f t="shared" si="15"/>
        <v>1</v>
      </c>
      <c r="AE4" s="813" t="b">
        <f t="shared" si="15"/>
        <v>1</v>
      </c>
      <c r="AF4" s="827" t="str">
        <f>IF(T4=TRUE,"",1)</f>
        <v/>
      </c>
      <c r="AG4" s="828" t="str">
        <f t="shared" ref="AG4:AQ4" si="16">IF(U4=TRUE,"",1)</f>
        <v/>
      </c>
      <c r="AH4" s="828" t="str">
        <f t="shared" si="16"/>
        <v/>
      </c>
      <c r="AI4" s="828" t="str">
        <f t="shared" si="16"/>
        <v/>
      </c>
      <c r="AJ4" s="828" t="str">
        <f t="shared" si="16"/>
        <v/>
      </c>
      <c r="AK4" s="828" t="str">
        <f t="shared" si="16"/>
        <v/>
      </c>
      <c r="AL4" s="828" t="str">
        <f t="shared" si="16"/>
        <v/>
      </c>
      <c r="AM4" s="828" t="str">
        <f t="shared" si="16"/>
        <v/>
      </c>
      <c r="AN4" s="828" t="str">
        <f t="shared" si="16"/>
        <v/>
      </c>
      <c r="AO4" s="828" t="str">
        <f t="shared" si="16"/>
        <v/>
      </c>
      <c r="AP4" s="828" t="str">
        <f t="shared" si="16"/>
        <v/>
      </c>
      <c r="AQ4" s="829" t="str">
        <f t="shared" si="16"/>
        <v/>
      </c>
    </row>
    <row r="5" spans="1:43" s="328" customFormat="1">
      <c r="A5" s="823">
        <f>IF(B5="","",$A$4)</f>
        <v>0</v>
      </c>
      <c r="B5" s="327" t="s">
        <v>255</v>
      </c>
      <c r="C5" s="327" t="str">
        <f t="shared" si="0"/>
        <v>Nhiệt  độ xà bông nóng (2)
 熱脫脂溫度(2)</v>
      </c>
      <c r="D5" s="327" t="str">
        <f t="shared" si="1"/>
        <v>XL-001E</v>
      </c>
      <c r="E5" s="327" t="str">
        <f t="shared" si="2"/>
        <v>0C</v>
      </c>
      <c r="F5" s="327" t="str">
        <f t="shared" si="3"/>
        <v>50~70</v>
      </c>
      <c r="G5" s="806">
        <f t="shared" ref="G5:G27" si="17">IFERROR(VLOOKUP($B5,_XM_XT_THUCTE,8,0),"")</f>
        <v>0</v>
      </c>
      <c r="H5" s="806">
        <f t="shared" si="4"/>
        <v>0</v>
      </c>
      <c r="I5" s="806">
        <f t="shared" si="5"/>
        <v>0</v>
      </c>
      <c r="J5" s="806">
        <f t="shared" si="6"/>
        <v>0</v>
      </c>
      <c r="K5" s="806">
        <f t="shared" si="7"/>
        <v>0</v>
      </c>
      <c r="L5" s="806">
        <f t="shared" si="8"/>
        <v>0</v>
      </c>
      <c r="M5" s="806">
        <f t="shared" si="9"/>
        <v>0</v>
      </c>
      <c r="N5" s="806">
        <f t="shared" si="10"/>
        <v>0</v>
      </c>
      <c r="O5" s="806">
        <f t="shared" si="11"/>
        <v>0</v>
      </c>
      <c r="P5" s="806">
        <f t="shared" si="12"/>
        <v>0</v>
      </c>
      <c r="Q5" s="806">
        <f t="shared" si="13"/>
        <v>0</v>
      </c>
      <c r="R5" s="806">
        <f t="shared" si="14"/>
        <v>0</v>
      </c>
      <c r="T5" s="813" t="b">
        <f t="shared" ref="T5:AE39" si="18">ISNUMBER(G5)</f>
        <v>1</v>
      </c>
      <c r="U5" s="813" t="b">
        <f t="shared" si="15"/>
        <v>1</v>
      </c>
      <c r="V5" s="813" t="b">
        <f t="shared" si="15"/>
        <v>1</v>
      </c>
      <c r="W5" s="813" t="b">
        <f t="shared" si="15"/>
        <v>1</v>
      </c>
      <c r="X5" s="813" t="b">
        <f t="shared" si="15"/>
        <v>1</v>
      </c>
      <c r="Y5" s="813" t="b">
        <f t="shared" si="15"/>
        <v>1</v>
      </c>
      <c r="Z5" s="813" t="b">
        <f t="shared" si="15"/>
        <v>1</v>
      </c>
      <c r="AA5" s="813" t="b">
        <f t="shared" si="15"/>
        <v>1</v>
      </c>
      <c r="AB5" s="813" t="b">
        <f t="shared" si="15"/>
        <v>1</v>
      </c>
      <c r="AC5" s="813" t="b">
        <f t="shared" si="15"/>
        <v>1</v>
      </c>
      <c r="AD5" s="813" t="b">
        <f t="shared" si="15"/>
        <v>1</v>
      </c>
      <c r="AE5" s="813" t="b">
        <f t="shared" si="15"/>
        <v>1</v>
      </c>
      <c r="AF5" s="830" t="str">
        <f t="shared" ref="AF5:AF51" si="19">IF(T5=TRUE,"",1)</f>
        <v/>
      </c>
      <c r="AG5" s="831" t="str">
        <f t="shared" ref="AG5:AG51" si="20">IF(U5=TRUE,"",1)</f>
        <v/>
      </c>
      <c r="AH5" s="831" t="str">
        <f t="shared" ref="AH5:AH51" si="21">IF(V5=TRUE,"",1)</f>
        <v/>
      </c>
      <c r="AI5" s="831" t="str">
        <f t="shared" ref="AI5:AI51" si="22">IF(W5=TRUE,"",1)</f>
        <v/>
      </c>
      <c r="AJ5" s="831" t="str">
        <f t="shared" ref="AJ5:AJ51" si="23">IF(X5=TRUE,"",1)</f>
        <v/>
      </c>
      <c r="AK5" s="831" t="str">
        <f t="shared" ref="AK5:AK51" si="24">IF(Y5=TRUE,"",1)</f>
        <v/>
      </c>
      <c r="AL5" s="831" t="str">
        <f t="shared" ref="AL5:AL51" si="25">IF(Z5=TRUE,"",1)</f>
        <v/>
      </c>
      <c r="AM5" s="831" t="str">
        <f t="shared" ref="AM5:AM51" si="26">IF(AA5=TRUE,"",1)</f>
        <v/>
      </c>
      <c r="AN5" s="831" t="str">
        <f t="shared" ref="AN5:AN51" si="27">IF(AB5=TRUE,"",1)</f>
        <v/>
      </c>
      <c r="AO5" s="831" t="str">
        <f t="shared" ref="AO5:AO51" si="28">IF(AC5=TRUE,"",1)</f>
        <v/>
      </c>
      <c r="AP5" s="831" t="str">
        <f t="shared" ref="AP5:AP51" si="29">IF(AD5=TRUE,"",1)</f>
        <v/>
      </c>
      <c r="AQ5" s="832" t="str">
        <f t="shared" ref="AQ5:AQ51" si="30">IF(AE5=TRUE,"",1)</f>
        <v/>
      </c>
    </row>
    <row r="6" spans="1:43" s="328" customFormat="1">
      <c r="A6" s="823">
        <f t="shared" ref="A6:A40" si="31">IF(B6="","",$A$4)</f>
        <v>0</v>
      </c>
      <c r="B6" s="327" t="s">
        <v>256</v>
      </c>
      <c r="C6" s="327" t="str">
        <f t="shared" si="0"/>
        <v>Nhiệt độ điện giải (1) 
電解1 溫度</v>
      </c>
      <c r="D6" s="327" t="str">
        <f t="shared" si="1"/>
        <v>XL-001E</v>
      </c>
      <c r="E6" s="327" t="str">
        <f t="shared" si="2"/>
        <v>0C</v>
      </c>
      <c r="F6" s="327" t="str">
        <f t="shared" si="3"/>
        <v>40~60</v>
      </c>
      <c r="G6" s="806">
        <f t="shared" si="17"/>
        <v>0</v>
      </c>
      <c r="H6" s="806">
        <f t="shared" si="4"/>
        <v>0</v>
      </c>
      <c r="I6" s="806">
        <f t="shared" si="5"/>
        <v>0</v>
      </c>
      <c r="J6" s="806">
        <f t="shared" si="6"/>
        <v>0</v>
      </c>
      <c r="K6" s="806">
        <f t="shared" si="7"/>
        <v>0</v>
      </c>
      <c r="L6" s="806">
        <f t="shared" si="8"/>
        <v>0</v>
      </c>
      <c r="M6" s="806">
        <f t="shared" si="9"/>
        <v>0</v>
      </c>
      <c r="N6" s="806">
        <f t="shared" si="10"/>
        <v>0</v>
      </c>
      <c r="O6" s="806">
        <f t="shared" si="11"/>
        <v>0</v>
      </c>
      <c r="P6" s="806">
        <f t="shared" si="12"/>
        <v>0</v>
      </c>
      <c r="Q6" s="806">
        <f t="shared" si="13"/>
        <v>0</v>
      </c>
      <c r="R6" s="806">
        <f t="shared" si="14"/>
        <v>0</v>
      </c>
      <c r="T6" s="813" t="b">
        <f t="shared" si="18"/>
        <v>1</v>
      </c>
      <c r="U6" s="813" t="b">
        <f t="shared" si="15"/>
        <v>1</v>
      </c>
      <c r="V6" s="813" t="b">
        <f t="shared" si="15"/>
        <v>1</v>
      </c>
      <c r="W6" s="813" t="b">
        <f t="shared" si="15"/>
        <v>1</v>
      </c>
      <c r="X6" s="813" t="b">
        <f t="shared" si="15"/>
        <v>1</v>
      </c>
      <c r="Y6" s="813" t="b">
        <f t="shared" si="15"/>
        <v>1</v>
      </c>
      <c r="Z6" s="813" t="b">
        <f t="shared" si="15"/>
        <v>1</v>
      </c>
      <c r="AA6" s="813" t="b">
        <f t="shared" si="15"/>
        <v>1</v>
      </c>
      <c r="AB6" s="813" t="b">
        <f t="shared" si="15"/>
        <v>1</v>
      </c>
      <c r="AC6" s="813" t="b">
        <f t="shared" si="15"/>
        <v>1</v>
      </c>
      <c r="AD6" s="813" t="b">
        <f t="shared" si="15"/>
        <v>1</v>
      </c>
      <c r="AE6" s="813" t="b">
        <f t="shared" si="15"/>
        <v>1</v>
      </c>
      <c r="AF6" s="830" t="str">
        <f t="shared" si="19"/>
        <v/>
      </c>
      <c r="AG6" s="831" t="str">
        <f t="shared" si="20"/>
        <v/>
      </c>
      <c r="AH6" s="831" t="str">
        <f t="shared" si="21"/>
        <v/>
      </c>
      <c r="AI6" s="831" t="str">
        <f t="shared" si="22"/>
        <v/>
      </c>
      <c r="AJ6" s="831" t="str">
        <f t="shared" si="23"/>
        <v/>
      </c>
      <c r="AK6" s="831" t="str">
        <f t="shared" si="24"/>
        <v/>
      </c>
      <c r="AL6" s="831" t="str">
        <f t="shared" si="25"/>
        <v/>
      </c>
      <c r="AM6" s="831" t="str">
        <f t="shared" si="26"/>
        <v/>
      </c>
      <c r="AN6" s="831" t="str">
        <f t="shared" si="27"/>
        <v/>
      </c>
      <c r="AO6" s="831" t="str">
        <f t="shared" si="28"/>
        <v/>
      </c>
      <c r="AP6" s="831" t="str">
        <f t="shared" si="29"/>
        <v/>
      </c>
      <c r="AQ6" s="832" t="str">
        <f t="shared" si="30"/>
        <v/>
      </c>
    </row>
    <row r="7" spans="1:43" s="328" customFormat="1">
      <c r="A7" s="823">
        <f t="shared" si="31"/>
        <v>0</v>
      </c>
      <c r="B7" s="327" t="s">
        <v>257</v>
      </c>
      <c r="C7" s="327" t="str">
        <f t="shared" si="0"/>
        <v>Nhiệt độ điện giải (2)
電解 2 溫度</v>
      </c>
      <c r="D7" s="327" t="str">
        <f t="shared" si="1"/>
        <v>XL-001E</v>
      </c>
      <c r="E7" s="327" t="str">
        <f t="shared" si="2"/>
        <v>0C</v>
      </c>
      <c r="F7" s="327" t="str">
        <f t="shared" si="3"/>
        <v>40~60</v>
      </c>
      <c r="G7" s="806">
        <f t="shared" si="17"/>
        <v>0</v>
      </c>
      <c r="H7" s="806">
        <f t="shared" si="4"/>
        <v>0</v>
      </c>
      <c r="I7" s="806">
        <f t="shared" si="5"/>
        <v>0</v>
      </c>
      <c r="J7" s="806">
        <f t="shared" si="6"/>
        <v>0</v>
      </c>
      <c r="K7" s="806">
        <f t="shared" si="7"/>
        <v>0</v>
      </c>
      <c r="L7" s="806">
        <f t="shared" si="8"/>
        <v>0</v>
      </c>
      <c r="M7" s="806">
        <f t="shared" si="9"/>
        <v>0</v>
      </c>
      <c r="N7" s="806">
        <f t="shared" si="10"/>
        <v>0</v>
      </c>
      <c r="O7" s="806">
        <f t="shared" si="11"/>
        <v>0</v>
      </c>
      <c r="P7" s="806">
        <f t="shared" si="12"/>
        <v>0</v>
      </c>
      <c r="Q7" s="806">
        <f t="shared" si="13"/>
        <v>0</v>
      </c>
      <c r="R7" s="806">
        <f t="shared" si="14"/>
        <v>0</v>
      </c>
      <c r="T7" s="813" t="b">
        <f t="shared" si="18"/>
        <v>1</v>
      </c>
      <c r="U7" s="813" t="b">
        <f t="shared" si="15"/>
        <v>1</v>
      </c>
      <c r="V7" s="813" t="b">
        <f t="shared" si="15"/>
        <v>1</v>
      </c>
      <c r="W7" s="813" t="b">
        <f t="shared" si="15"/>
        <v>1</v>
      </c>
      <c r="X7" s="813" t="b">
        <f t="shared" si="15"/>
        <v>1</v>
      </c>
      <c r="Y7" s="813" t="b">
        <f t="shared" si="15"/>
        <v>1</v>
      </c>
      <c r="Z7" s="813" t="b">
        <f t="shared" si="15"/>
        <v>1</v>
      </c>
      <c r="AA7" s="813" t="b">
        <f t="shared" si="15"/>
        <v>1</v>
      </c>
      <c r="AB7" s="813" t="b">
        <f t="shared" si="15"/>
        <v>1</v>
      </c>
      <c r="AC7" s="813" t="b">
        <f t="shared" si="15"/>
        <v>1</v>
      </c>
      <c r="AD7" s="813" t="b">
        <f t="shared" si="15"/>
        <v>1</v>
      </c>
      <c r="AE7" s="813" t="b">
        <f t="shared" si="15"/>
        <v>1</v>
      </c>
      <c r="AF7" s="830" t="str">
        <f t="shared" si="19"/>
        <v/>
      </c>
      <c r="AG7" s="831" t="str">
        <f t="shared" si="20"/>
        <v/>
      </c>
      <c r="AH7" s="831" t="str">
        <f t="shared" si="21"/>
        <v/>
      </c>
      <c r="AI7" s="831" t="str">
        <f t="shared" si="22"/>
        <v/>
      </c>
      <c r="AJ7" s="831" t="str">
        <f t="shared" si="23"/>
        <v/>
      </c>
      <c r="AK7" s="831" t="str">
        <f t="shared" si="24"/>
        <v/>
      </c>
      <c r="AL7" s="831" t="str">
        <f t="shared" si="25"/>
        <v/>
      </c>
      <c r="AM7" s="831" t="str">
        <f t="shared" si="26"/>
        <v/>
      </c>
      <c r="AN7" s="831" t="str">
        <f t="shared" si="27"/>
        <v/>
      </c>
      <c r="AO7" s="831" t="str">
        <f t="shared" si="28"/>
        <v/>
      </c>
      <c r="AP7" s="831" t="str">
        <f t="shared" si="29"/>
        <v/>
      </c>
      <c r="AQ7" s="832" t="str">
        <f t="shared" si="30"/>
        <v/>
      </c>
    </row>
    <row r="8" spans="1:43" s="328" customFormat="1">
      <c r="A8" s="823">
        <f t="shared" si="31"/>
        <v>0</v>
      </c>
      <c r="B8" s="327" t="s">
        <v>315</v>
      </c>
      <c r="C8" s="327" t="str">
        <f t="shared" si="0"/>
        <v>Nhiệt độ bồn xi
鍍鋅槽溫度</v>
      </c>
      <c r="D8" s="327" t="str">
        <f t="shared" si="1"/>
        <v>XL-001E</v>
      </c>
      <c r="E8" s="327" t="str">
        <f t="shared" si="2"/>
        <v>0C</v>
      </c>
      <c r="F8" s="327" t="str">
        <f t="shared" si="3"/>
        <v>20~35</v>
      </c>
      <c r="G8" s="806">
        <f t="shared" si="17"/>
        <v>0</v>
      </c>
      <c r="H8" s="806">
        <f t="shared" si="4"/>
        <v>0</v>
      </c>
      <c r="I8" s="806">
        <f t="shared" si="5"/>
        <v>0</v>
      </c>
      <c r="J8" s="806">
        <f t="shared" si="6"/>
        <v>0</v>
      </c>
      <c r="K8" s="806">
        <f t="shared" si="7"/>
        <v>0</v>
      </c>
      <c r="L8" s="806">
        <f t="shared" si="8"/>
        <v>0</v>
      </c>
      <c r="M8" s="806">
        <f t="shared" si="9"/>
        <v>0</v>
      </c>
      <c r="N8" s="806">
        <f t="shared" si="10"/>
        <v>0</v>
      </c>
      <c r="O8" s="806">
        <f t="shared" si="11"/>
        <v>0</v>
      </c>
      <c r="P8" s="806">
        <f t="shared" si="12"/>
        <v>0</v>
      </c>
      <c r="Q8" s="806">
        <f t="shared" si="13"/>
        <v>0</v>
      </c>
      <c r="R8" s="806">
        <f t="shared" si="14"/>
        <v>0</v>
      </c>
      <c r="T8" s="813" t="b">
        <f t="shared" si="18"/>
        <v>1</v>
      </c>
      <c r="U8" s="813" t="b">
        <f t="shared" si="15"/>
        <v>1</v>
      </c>
      <c r="V8" s="813" t="b">
        <f t="shared" si="15"/>
        <v>1</v>
      </c>
      <c r="W8" s="813" t="b">
        <f t="shared" si="15"/>
        <v>1</v>
      </c>
      <c r="X8" s="813" t="b">
        <f t="shared" si="15"/>
        <v>1</v>
      </c>
      <c r="Y8" s="813" t="b">
        <f t="shared" si="15"/>
        <v>1</v>
      </c>
      <c r="Z8" s="813" t="b">
        <f t="shared" si="15"/>
        <v>1</v>
      </c>
      <c r="AA8" s="813" t="b">
        <f t="shared" si="15"/>
        <v>1</v>
      </c>
      <c r="AB8" s="813" t="b">
        <f t="shared" si="15"/>
        <v>1</v>
      </c>
      <c r="AC8" s="813" t="b">
        <f t="shared" si="15"/>
        <v>1</v>
      </c>
      <c r="AD8" s="813" t="b">
        <f t="shared" si="15"/>
        <v>1</v>
      </c>
      <c r="AE8" s="813" t="b">
        <f t="shared" si="15"/>
        <v>1</v>
      </c>
      <c r="AF8" s="830" t="str">
        <f t="shared" si="19"/>
        <v/>
      </c>
      <c r="AG8" s="831" t="str">
        <f t="shared" si="20"/>
        <v/>
      </c>
      <c r="AH8" s="831" t="str">
        <f t="shared" si="21"/>
        <v/>
      </c>
      <c r="AI8" s="831" t="str">
        <f t="shared" si="22"/>
        <v/>
      </c>
      <c r="AJ8" s="831" t="str">
        <f t="shared" si="23"/>
        <v/>
      </c>
      <c r="AK8" s="831" t="str">
        <f t="shared" si="24"/>
        <v/>
      </c>
      <c r="AL8" s="831" t="str">
        <f t="shared" si="25"/>
        <v/>
      </c>
      <c r="AM8" s="831" t="str">
        <f t="shared" si="26"/>
        <v/>
      </c>
      <c r="AN8" s="831" t="str">
        <f t="shared" si="27"/>
        <v/>
      </c>
      <c r="AO8" s="831" t="str">
        <f t="shared" si="28"/>
        <v/>
      </c>
      <c r="AP8" s="831" t="str">
        <f t="shared" si="29"/>
        <v/>
      </c>
      <c r="AQ8" s="832" t="str">
        <f t="shared" si="30"/>
        <v/>
      </c>
    </row>
    <row r="9" spans="1:43" s="328" customFormat="1">
      <c r="A9" s="823">
        <f t="shared" si="31"/>
        <v>0</v>
      </c>
      <c r="B9" s="327" t="s">
        <v>258</v>
      </c>
      <c r="C9" s="327" t="str">
        <f t="shared" si="0"/>
        <v>Nhiệt độ bồn màu Cr2O3
三價鉻 溫度</v>
      </c>
      <c r="D9" s="327" t="str">
        <f t="shared" si="1"/>
        <v>XL-001E</v>
      </c>
      <c r="E9" s="327" t="str">
        <f t="shared" si="2"/>
        <v>0C</v>
      </c>
      <c r="F9" s="327" t="str">
        <f t="shared" si="3"/>
        <v>30~40</v>
      </c>
      <c r="G9" s="806">
        <f t="shared" si="17"/>
        <v>0</v>
      </c>
      <c r="H9" s="806">
        <f t="shared" si="4"/>
        <v>0</v>
      </c>
      <c r="I9" s="806">
        <f t="shared" si="5"/>
        <v>0</v>
      </c>
      <c r="J9" s="806">
        <f t="shared" si="6"/>
        <v>0</v>
      </c>
      <c r="K9" s="806">
        <f t="shared" si="7"/>
        <v>0</v>
      </c>
      <c r="L9" s="806">
        <f t="shared" si="8"/>
        <v>0</v>
      </c>
      <c r="M9" s="806">
        <f t="shared" si="9"/>
        <v>0</v>
      </c>
      <c r="N9" s="806">
        <f t="shared" si="10"/>
        <v>0</v>
      </c>
      <c r="O9" s="806">
        <f t="shared" si="11"/>
        <v>0</v>
      </c>
      <c r="P9" s="806">
        <f t="shared" si="12"/>
        <v>0</v>
      </c>
      <c r="Q9" s="806">
        <f t="shared" si="13"/>
        <v>0</v>
      </c>
      <c r="R9" s="806">
        <f t="shared" si="14"/>
        <v>0</v>
      </c>
      <c r="T9" s="813" t="b">
        <f t="shared" si="18"/>
        <v>1</v>
      </c>
      <c r="U9" s="813" t="b">
        <f t="shared" si="15"/>
        <v>1</v>
      </c>
      <c r="V9" s="813" t="b">
        <f t="shared" si="15"/>
        <v>1</v>
      </c>
      <c r="W9" s="813" t="b">
        <f t="shared" si="15"/>
        <v>1</v>
      </c>
      <c r="X9" s="813" t="b">
        <f t="shared" si="15"/>
        <v>1</v>
      </c>
      <c r="Y9" s="813" t="b">
        <f t="shared" si="15"/>
        <v>1</v>
      </c>
      <c r="Z9" s="813" t="b">
        <f t="shared" si="15"/>
        <v>1</v>
      </c>
      <c r="AA9" s="813" t="b">
        <f t="shared" si="15"/>
        <v>1</v>
      </c>
      <c r="AB9" s="813" t="b">
        <f t="shared" si="15"/>
        <v>1</v>
      </c>
      <c r="AC9" s="813" t="b">
        <f t="shared" si="15"/>
        <v>1</v>
      </c>
      <c r="AD9" s="813" t="b">
        <f t="shared" si="15"/>
        <v>1</v>
      </c>
      <c r="AE9" s="813" t="b">
        <f t="shared" si="15"/>
        <v>1</v>
      </c>
      <c r="AF9" s="830" t="str">
        <f t="shared" si="19"/>
        <v/>
      </c>
      <c r="AG9" s="831" t="str">
        <f t="shared" si="20"/>
        <v/>
      </c>
      <c r="AH9" s="831" t="str">
        <f t="shared" si="21"/>
        <v/>
      </c>
      <c r="AI9" s="831" t="str">
        <f t="shared" si="22"/>
        <v/>
      </c>
      <c r="AJ9" s="831" t="str">
        <f t="shared" si="23"/>
        <v/>
      </c>
      <c r="AK9" s="831" t="str">
        <f t="shared" si="24"/>
        <v/>
      </c>
      <c r="AL9" s="831" t="str">
        <f t="shared" si="25"/>
        <v/>
      </c>
      <c r="AM9" s="831" t="str">
        <f t="shared" si="26"/>
        <v/>
      </c>
      <c r="AN9" s="831" t="str">
        <f t="shared" si="27"/>
        <v/>
      </c>
      <c r="AO9" s="831" t="str">
        <f t="shared" si="28"/>
        <v/>
      </c>
      <c r="AP9" s="831" t="str">
        <f t="shared" si="29"/>
        <v/>
      </c>
      <c r="AQ9" s="832" t="str">
        <f t="shared" si="30"/>
        <v/>
      </c>
    </row>
    <row r="10" spans="1:43" s="328" customFormat="1">
      <c r="A10" s="823">
        <f t="shared" si="31"/>
        <v>0</v>
      </c>
      <c r="B10" s="327" t="s">
        <v>259</v>
      </c>
      <c r="C10" s="327" t="str">
        <f t="shared" si="0"/>
        <v xml:space="preserve">Nhiệt độ bồn nước nóng
熱水溫度 </v>
      </c>
      <c r="D10" s="327" t="str">
        <f t="shared" si="1"/>
        <v>XL-001E</v>
      </c>
      <c r="E10" s="327" t="str">
        <f t="shared" si="2"/>
        <v>0C</v>
      </c>
      <c r="F10" s="327" t="str">
        <f t="shared" si="3"/>
        <v>50~70</v>
      </c>
      <c r="G10" s="806">
        <f t="shared" si="17"/>
        <v>0</v>
      </c>
      <c r="H10" s="806">
        <f t="shared" si="4"/>
        <v>0</v>
      </c>
      <c r="I10" s="806">
        <f t="shared" si="5"/>
        <v>0</v>
      </c>
      <c r="J10" s="806">
        <f t="shared" si="6"/>
        <v>0</v>
      </c>
      <c r="K10" s="806">
        <f t="shared" si="7"/>
        <v>0</v>
      </c>
      <c r="L10" s="806">
        <f t="shared" si="8"/>
        <v>0</v>
      </c>
      <c r="M10" s="806">
        <f t="shared" si="9"/>
        <v>0</v>
      </c>
      <c r="N10" s="806">
        <f t="shared" si="10"/>
        <v>0</v>
      </c>
      <c r="O10" s="806">
        <f t="shared" si="11"/>
        <v>0</v>
      </c>
      <c r="P10" s="806">
        <f t="shared" si="12"/>
        <v>0</v>
      </c>
      <c r="Q10" s="806">
        <f t="shared" si="13"/>
        <v>0</v>
      </c>
      <c r="R10" s="806">
        <f t="shared" si="14"/>
        <v>0</v>
      </c>
      <c r="T10" s="813" t="b">
        <f t="shared" si="18"/>
        <v>1</v>
      </c>
      <c r="U10" s="813" t="b">
        <f t="shared" si="15"/>
        <v>1</v>
      </c>
      <c r="V10" s="813" t="b">
        <f t="shared" si="15"/>
        <v>1</v>
      </c>
      <c r="W10" s="813" t="b">
        <f t="shared" si="15"/>
        <v>1</v>
      </c>
      <c r="X10" s="813" t="b">
        <f t="shared" si="15"/>
        <v>1</v>
      </c>
      <c r="Y10" s="813" t="b">
        <f t="shared" si="15"/>
        <v>1</v>
      </c>
      <c r="Z10" s="813" t="b">
        <f t="shared" si="15"/>
        <v>1</v>
      </c>
      <c r="AA10" s="813" t="b">
        <f t="shared" si="15"/>
        <v>1</v>
      </c>
      <c r="AB10" s="813" t="b">
        <f t="shared" si="15"/>
        <v>1</v>
      </c>
      <c r="AC10" s="813" t="b">
        <f t="shared" si="15"/>
        <v>1</v>
      </c>
      <c r="AD10" s="813" t="b">
        <f t="shared" si="15"/>
        <v>1</v>
      </c>
      <c r="AE10" s="813" t="b">
        <f t="shared" si="15"/>
        <v>1</v>
      </c>
      <c r="AF10" s="830" t="str">
        <f t="shared" si="19"/>
        <v/>
      </c>
      <c r="AG10" s="831" t="str">
        <f t="shared" si="20"/>
        <v/>
      </c>
      <c r="AH10" s="831" t="str">
        <f t="shared" si="21"/>
        <v/>
      </c>
      <c r="AI10" s="831" t="str">
        <f t="shared" si="22"/>
        <v/>
      </c>
      <c r="AJ10" s="831" t="str">
        <f t="shared" si="23"/>
        <v/>
      </c>
      <c r="AK10" s="831" t="str">
        <f t="shared" si="24"/>
        <v/>
      </c>
      <c r="AL10" s="831" t="str">
        <f t="shared" si="25"/>
        <v/>
      </c>
      <c r="AM10" s="831" t="str">
        <f t="shared" si="26"/>
        <v/>
      </c>
      <c r="AN10" s="831" t="str">
        <f t="shared" si="27"/>
        <v/>
      </c>
      <c r="AO10" s="831" t="str">
        <f t="shared" si="28"/>
        <v/>
      </c>
      <c r="AP10" s="831" t="str">
        <f t="shared" si="29"/>
        <v/>
      </c>
      <c r="AQ10" s="832" t="str">
        <f t="shared" si="30"/>
        <v/>
      </c>
    </row>
    <row r="11" spans="1:43" s="328" customFormat="1">
      <c r="A11" s="823">
        <f t="shared" si="31"/>
        <v>0</v>
      </c>
      <c r="B11" s="327" t="s">
        <v>260</v>
      </c>
      <c r="C11" s="327" t="str">
        <f t="shared" si="0"/>
        <v>Sấy khô
烘乾</v>
      </c>
      <c r="D11" s="327" t="str">
        <f t="shared" si="1"/>
        <v>XL-001E</v>
      </c>
      <c r="E11" s="327" t="str">
        <f t="shared" si="2"/>
        <v>0C</v>
      </c>
      <c r="F11" s="327" t="str">
        <f t="shared" si="3"/>
        <v>80~100</v>
      </c>
      <c r="G11" s="806">
        <f t="shared" si="17"/>
        <v>0</v>
      </c>
      <c r="H11" s="806">
        <f t="shared" si="4"/>
        <v>0</v>
      </c>
      <c r="I11" s="806">
        <f t="shared" si="5"/>
        <v>0</v>
      </c>
      <c r="J11" s="806">
        <f t="shared" si="6"/>
        <v>0</v>
      </c>
      <c r="K11" s="806">
        <f t="shared" si="7"/>
        <v>0</v>
      </c>
      <c r="L11" s="806">
        <f t="shared" si="8"/>
        <v>0</v>
      </c>
      <c r="M11" s="806">
        <f t="shared" si="9"/>
        <v>0</v>
      </c>
      <c r="N11" s="806">
        <f t="shared" si="10"/>
        <v>0</v>
      </c>
      <c r="O11" s="806">
        <f t="shared" si="11"/>
        <v>0</v>
      </c>
      <c r="P11" s="806">
        <f t="shared" si="12"/>
        <v>0</v>
      </c>
      <c r="Q11" s="806">
        <f t="shared" si="13"/>
        <v>0</v>
      </c>
      <c r="R11" s="806">
        <f t="shared" si="14"/>
        <v>0</v>
      </c>
      <c r="T11" s="813" t="b">
        <f t="shared" si="18"/>
        <v>1</v>
      </c>
      <c r="U11" s="813" t="b">
        <f t="shared" si="15"/>
        <v>1</v>
      </c>
      <c r="V11" s="813" t="b">
        <f t="shared" si="15"/>
        <v>1</v>
      </c>
      <c r="W11" s="813" t="b">
        <f t="shared" si="15"/>
        <v>1</v>
      </c>
      <c r="X11" s="813" t="b">
        <f t="shared" si="15"/>
        <v>1</v>
      </c>
      <c r="Y11" s="813" t="b">
        <f t="shared" si="15"/>
        <v>1</v>
      </c>
      <c r="Z11" s="813" t="b">
        <f t="shared" si="15"/>
        <v>1</v>
      </c>
      <c r="AA11" s="813" t="b">
        <f t="shared" si="15"/>
        <v>1</v>
      </c>
      <c r="AB11" s="813" t="b">
        <f t="shared" si="15"/>
        <v>1</v>
      </c>
      <c r="AC11" s="813" t="b">
        <f t="shared" si="15"/>
        <v>1</v>
      </c>
      <c r="AD11" s="813" t="b">
        <f t="shared" si="15"/>
        <v>1</v>
      </c>
      <c r="AE11" s="813" t="b">
        <f t="shared" si="15"/>
        <v>1</v>
      </c>
      <c r="AF11" s="830" t="str">
        <f t="shared" si="19"/>
        <v/>
      </c>
      <c r="AG11" s="831" t="str">
        <f t="shared" si="20"/>
        <v/>
      </c>
      <c r="AH11" s="831" t="str">
        <f t="shared" si="21"/>
        <v/>
      </c>
      <c r="AI11" s="831" t="str">
        <f t="shared" si="22"/>
        <v/>
      </c>
      <c r="AJ11" s="831" t="str">
        <f t="shared" si="23"/>
        <v/>
      </c>
      <c r="AK11" s="831" t="str">
        <f t="shared" si="24"/>
        <v/>
      </c>
      <c r="AL11" s="831" t="str">
        <f t="shared" si="25"/>
        <v/>
      </c>
      <c r="AM11" s="831" t="str">
        <f t="shared" si="26"/>
        <v/>
      </c>
      <c r="AN11" s="831" t="str">
        <f t="shared" si="27"/>
        <v/>
      </c>
      <c r="AO11" s="831" t="str">
        <f t="shared" si="28"/>
        <v/>
      </c>
      <c r="AP11" s="831" t="str">
        <f t="shared" si="29"/>
        <v/>
      </c>
      <c r="AQ11" s="832" t="str">
        <f t="shared" si="30"/>
        <v/>
      </c>
    </row>
    <row r="12" spans="1:43" s="328" customFormat="1">
      <c r="A12" s="823">
        <f t="shared" si="31"/>
        <v>0</v>
      </c>
      <c r="B12" s="327" t="s">
        <v>277</v>
      </c>
      <c r="C12" s="327" t="str">
        <f t="shared" si="0"/>
        <v>Nhiệt  độ xà bông nóng (1)
 熱脫脂溫度(1)</v>
      </c>
      <c r="D12" s="327" t="str">
        <f t="shared" si="1"/>
        <v>XL-001F</v>
      </c>
      <c r="E12" s="327" t="str">
        <f t="shared" si="2"/>
        <v>0C</v>
      </c>
      <c r="F12" s="327" t="str">
        <f t="shared" si="3"/>
        <v>50~70</v>
      </c>
      <c r="G12" s="806">
        <f t="shared" si="17"/>
        <v>0</v>
      </c>
      <c r="H12" s="806">
        <f t="shared" si="4"/>
        <v>0</v>
      </c>
      <c r="I12" s="806">
        <f t="shared" si="5"/>
        <v>0</v>
      </c>
      <c r="J12" s="806">
        <f t="shared" si="6"/>
        <v>0</v>
      </c>
      <c r="K12" s="806">
        <f t="shared" si="7"/>
        <v>0</v>
      </c>
      <c r="L12" s="806">
        <f t="shared" si="8"/>
        <v>54</v>
      </c>
      <c r="M12" s="806">
        <f t="shared" si="9"/>
        <v>53</v>
      </c>
      <c r="N12" s="806">
        <f t="shared" si="10"/>
        <v>0</v>
      </c>
      <c r="O12" s="806">
        <f t="shared" si="11"/>
        <v>0</v>
      </c>
      <c r="P12" s="806">
        <f t="shared" si="12"/>
        <v>0</v>
      </c>
      <c r="Q12" s="806">
        <f t="shared" si="13"/>
        <v>0</v>
      </c>
      <c r="R12" s="806">
        <f t="shared" si="14"/>
        <v>0</v>
      </c>
      <c r="T12" s="813" t="b">
        <f t="shared" si="18"/>
        <v>1</v>
      </c>
      <c r="U12" s="813" t="b">
        <f t="shared" si="15"/>
        <v>1</v>
      </c>
      <c r="V12" s="813" t="b">
        <f t="shared" si="15"/>
        <v>1</v>
      </c>
      <c r="W12" s="813" t="b">
        <f t="shared" si="15"/>
        <v>1</v>
      </c>
      <c r="X12" s="813" t="b">
        <f t="shared" si="15"/>
        <v>1</v>
      </c>
      <c r="Y12" s="813" t="b">
        <f t="shared" si="15"/>
        <v>1</v>
      </c>
      <c r="Z12" s="813" t="b">
        <f t="shared" si="15"/>
        <v>1</v>
      </c>
      <c r="AA12" s="813" t="b">
        <f t="shared" si="15"/>
        <v>1</v>
      </c>
      <c r="AB12" s="813" t="b">
        <f t="shared" si="15"/>
        <v>1</v>
      </c>
      <c r="AC12" s="813" t="b">
        <f t="shared" si="15"/>
        <v>1</v>
      </c>
      <c r="AD12" s="813" t="b">
        <f t="shared" si="15"/>
        <v>1</v>
      </c>
      <c r="AE12" s="813" t="b">
        <f t="shared" si="15"/>
        <v>1</v>
      </c>
      <c r="AF12" s="830" t="str">
        <f t="shared" si="19"/>
        <v/>
      </c>
      <c r="AG12" s="831" t="str">
        <f t="shared" si="20"/>
        <v/>
      </c>
      <c r="AH12" s="831" t="str">
        <f t="shared" si="21"/>
        <v/>
      </c>
      <c r="AI12" s="831" t="str">
        <f t="shared" si="22"/>
        <v/>
      </c>
      <c r="AJ12" s="831" t="str">
        <f t="shared" si="23"/>
        <v/>
      </c>
      <c r="AK12" s="831" t="str">
        <f t="shared" si="24"/>
        <v/>
      </c>
      <c r="AL12" s="831" t="str">
        <f t="shared" si="25"/>
        <v/>
      </c>
      <c r="AM12" s="831" t="str">
        <f t="shared" si="26"/>
        <v/>
      </c>
      <c r="AN12" s="831" t="str">
        <f t="shared" si="27"/>
        <v/>
      </c>
      <c r="AO12" s="831" t="str">
        <f t="shared" si="28"/>
        <v/>
      </c>
      <c r="AP12" s="831" t="str">
        <f t="shared" si="29"/>
        <v/>
      </c>
      <c r="AQ12" s="832" t="str">
        <f t="shared" si="30"/>
        <v/>
      </c>
    </row>
    <row r="13" spans="1:43" s="328" customFormat="1">
      <c r="A13" s="823">
        <f t="shared" si="31"/>
        <v>0</v>
      </c>
      <c r="B13" s="327" t="s">
        <v>278</v>
      </c>
      <c r="C13" s="327" t="str">
        <f t="shared" si="0"/>
        <v>Nhiệt  độ xà bông nóng (2)
 熱脫脂溫度(2)</v>
      </c>
      <c r="D13" s="327" t="str">
        <f t="shared" si="1"/>
        <v>XL-001F</v>
      </c>
      <c r="E13" s="327" t="str">
        <f t="shared" si="2"/>
        <v>0C</v>
      </c>
      <c r="F13" s="327" t="str">
        <f t="shared" si="3"/>
        <v>50~70</v>
      </c>
      <c r="G13" s="806">
        <f t="shared" si="17"/>
        <v>0</v>
      </c>
      <c r="H13" s="806">
        <f t="shared" si="4"/>
        <v>0</v>
      </c>
      <c r="I13" s="806">
        <f t="shared" si="5"/>
        <v>0</v>
      </c>
      <c r="J13" s="806">
        <f t="shared" si="6"/>
        <v>0</v>
      </c>
      <c r="K13" s="806">
        <f t="shared" si="7"/>
        <v>0</v>
      </c>
      <c r="L13" s="806">
        <f t="shared" si="8"/>
        <v>59</v>
      </c>
      <c r="M13" s="806">
        <f t="shared" si="9"/>
        <v>60</v>
      </c>
      <c r="N13" s="806">
        <f t="shared" si="10"/>
        <v>0</v>
      </c>
      <c r="O13" s="806">
        <f t="shared" si="11"/>
        <v>0</v>
      </c>
      <c r="P13" s="806">
        <f t="shared" si="12"/>
        <v>0</v>
      </c>
      <c r="Q13" s="806">
        <f t="shared" si="13"/>
        <v>0</v>
      </c>
      <c r="R13" s="806">
        <f t="shared" si="14"/>
        <v>0</v>
      </c>
      <c r="T13" s="813" t="b">
        <f t="shared" si="18"/>
        <v>1</v>
      </c>
      <c r="U13" s="813" t="b">
        <f t="shared" si="15"/>
        <v>1</v>
      </c>
      <c r="V13" s="813" t="b">
        <f t="shared" si="15"/>
        <v>1</v>
      </c>
      <c r="W13" s="813" t="b">
        <f t="shared" si="15"/>
        <v>1</v>
      </c>
      <c r="X13" s="813" t="b">
        <f t="shared" si="15"/>
        <v>1</v>
      </c>
      <c r="Y13" s="813" t="b">
        <f t="shared" si="15"/>
        <v>1</v>
      </c>
      <c r="Z13" s="813" t="b">
        <f t="shared" si="15"/>
        <v>1</v>
      </c>
      <c r="AA13" s="813" t="b">
        <f t="shared" si="15"/>
        <v>1</v>
      </c>
      <c r="AB13" s="813" t="b">
        <f t="shared" si="15"/>
        <v>1</v>
      </c>
      <c r="AC13" s="813" t="b">
        <f t="shared" si="15"/>
        <v>1</v>
      </c>
      <c r="AD13" s="813" t="b">
        <f t="shared" si="15"/>
        <v>1</v>
      </c>
      <c r="AE13" s="813" t="b">
        <f t="shared" si="15"/>
        <v>1</v>
      </c>
      <c r="AF13" s="830" t="str">
        <f t="shared" si="19"/>
        <v/>
      </c>
      <c r="AG13" s="831" t="str">
        <f t="shared" si="20"/>
        <v/>
      </c>
      <c r="AH13" s="831" t="str">
        <f t="shared" si="21"/>
        <v/>
      </c>
      <c r="AI13" s="831" t="str">
        <f t="shared" si="22"/>
        <v/>
      </c>
      <c r="AJ13" s="831" t="str">
        <f t="shared" si="23"/>
        <v/>
      </c>
      <c r="AK13" s="831" t="str">
        <f t="shared" si="24"/>
        <v/>
      </c>
      <c r="AL13" s="831" t="str">
        <f t="shared" si="25"/>
        <v/>
      </c>
      <c r="AM13" s="831" t="str">
        <f t="shared" si="26"/>
        <v/>
      </c>
      <c r="AN13" s="831" t="str">
        <f t="shared" si="27"/>
        <v/>
      </c>
      <c r="AO13" s="831" t="str">
        <f t="shared" si="28"/>
        <v/>
      </c>
      <c r="AP13" s="831" t="str">
        <f t="shared" si="29"/>
        <v/>
      </c>
      <c r="AQ13" s="832" t="str">
        <f t="shared" si="30"/>
        <v/>
      </c>
    </row>
    <row r="14" spans="1:43" s="328" customFormat="1">
      <c r="A14" s="823">
        <f t="shared" si="31"/>
        <v>0</v>
      </c>
      <c r="B14" s="327" t="s">
        <v>279</v>
      </c>
      <c r="C14" s="327" t="str">
        <f t="shared" si="0"/>
        <v>Nhiệt độ điện giải (1) 
電解1 溫度</v>
      </c>
      <c r="D14" s="327" t="str">
        <f t="shared" si="1"/>
        <v>XL-001F</v>
      </c>
      <c r="E14" s="327" t="str">
        <f t="shared" si="2"/>
        <v>0C</v>
      </c>
      <c r="F14" s="327" t="str">
        <f t="shared" si="3"/>
        <v>40~60</v>
      </c>
      <c r="G14" s="806">
        <f t="shared" si="17"/>
        <v>0</v>
      </c>
      <c r="H14" s="806">
        <f t="shared" si="4"/>
        <v>0</v>
      </c>
      <c r="I14" s="806">
        <f t="shared" si="5"/>
        <v>0</v>
      </c>
      <c r="J14" s="806">
        <f t="shared" si="6"/>
        <v>0</v>
      </c>
      <c r="K14" s="806">
        <f t="shared" si="7"/>
        <v>0</v>
      </c>
      <c r="L14" s="806">
        <f t="shared" si="8"/>
        <v>54</v>
      </c>
      <c r="M14" s="806">
        <f t="shared" si="9"/>
        <v>52</v>
      </c>
      <c r="N14" s="806">
        <f t="shared" si="10"/>
        <v>0</v>
      </c>
      <c r="O14" s="806">
        <f t="shared" si="11"/>
        <v>0</v>
      </c>
      <c r="P14" s="806">
        <f t="shared" si="12"/>
        <v>0</v>
      </c>
      <c r="Q14" s="806">
        <f t="shared" si="13"/>
        <v>0</v>
      </c>
      <c r="R14" s="806">
        <f t="shared" si="14"/>
        <v>0</v>
      </c>
      <c r="T14" s="813" t="b">
        <f t="shared" si="18"/>
        <v>1</v>
      </c>
      <c r="U14" s="813" t="b">
        <f t="shared" si="15"/>
        <v>1</v>
      </c>
      <c r="V14" s="813" t="b">
        <f t="shared" si="15"/>
        <v>1</v>
      </c>
      <c r="W14" s="813" t="b">
        <f t="shared" si="15"/>
        <v>1</v>
      </c>
      <c r="X14" s="813" t="b">
        <f t="shared" si="15"/>
        <v>1</v>
      </c>
      <c r="Y14" s="813" t="b">
        <f t="shared" si="15"/>
        <v>1</v>
      </c>
      <c r="Z14" s="813" t="b">
        <f t="shared" si="15"/>
        <v>1</v>
      </c>
      <c r="AA14" s="813" t="b">
        <f t="shared" si="15"/>
        <v>1</v>
      </c>
      <c r="AB14" s="813" t="b">
        <f t="shared" si="15"/>
        <v>1</v>
      </c>
      <c r="AC14" s="813" t="b">
        <f t="shared" si="15"/>
        <v>1</v>
      </c>
      <c r="AD14" s="813" t="b">
        <f t="shared" si="15"/>
        <v>1</v>
      </c>
      <c r="AE14" s="813" t="b">
        <f t="shared" si="15"/>
        <v>1</v>
      </c>
      <c r="AF14" s="830" t="str">
        <f t="shared" si="19"/>
        <v/>
      </c>
      <c r="AG14" s="831" t="str">
        <f t="shared" si="20"/>
        <v/>
      </c>
      <c r="AH14" s="831" t="str">
        <f t="shared" si="21"/>
        <v/>
      </c>
      <c r="AI14" s="831" t="str">
        <f t="shared" si="22"/>
        <v/>
      </c>
      <c r="AJ14" s="831" t="str">
        <f t="shared" si="23"/>
        <v/>
      </c>
      <c r="AK14" s="831" t="str">
        <f t="shared" si="24"/>
        <v/>
      </c>
      <c r="AL14" s="831" t="str">
        <f t="shared" si="25"/>
        <v/>
      </c>
      <c r="AM14" s="831" t="str">
        <f t="shared" si="26"/>
        <v/>
      </c>
      <c r="AN14" s="831" t="str">
        <f t="shared" si="27"/>
        <v/>
      </c>
      <c r="AO14" s="831" t="str">
        <f t="shared" si="28"/>
        <v/>
      </c>
      <c r="AP14" s="831" t="str">
        <f t="shared" si="29"/>
        <v/>
      </c>
      <c r="AQ14" s="832" t="str">
        <f t="shared" si="30"/>
        <v/>
      </c>
    </row>
    <row r="15" spans="1:43" s="328" customFormat="1">
      <c r="A15" s="823">
        <f t="shared" si="31"/>
        <v>0</v>
      </c>
      <c r="B15" s="327" t="s">
        <v>280</v>
      </c>
      <c r="C15" s="327" t="str">
        <f t="shared" si="0"/>
        <v>Nhiệt độ điện giải (2)
電解 2 溫度</v>
      </c>
      <c r="D15" s="327" t="str">
        <f t="shared" si="1"/>
        <v>XL-001F</v>
      </c>
      <c r="E15" s="327" t="str">
        <f t="shared" si="2"/>
        <v>0C</v>
      </c>
      <c r="F15" s="327" t="str">
        <f t="shared" si="3"/>
        <v>40~60</v>
      </c>
      <c r="G15" s="806">
        <f t="shared" si="17"/>
        <v>0</v>
      </c>
      <c r="H15" s="806">
        <f t="shared" si="4"/>
        <v>0</v>
      </c>
      <c r="I15" s="806">
        <f t="shared" si="5"/>
        <v>0</v>
      </c>
      <c r="J15" s="806">
        <f t="shared" si="6"/>
        <v>0</v>
      </c>
      <c r="K15" s="806">
        <f t="shared" si="7"/>
        <v>0</v>
      </c>
      <c r="L15" s="806">
        <f t="shared" si="8"/>
        <v>54</v>
      </c>
      <c r="M15" s="806">
        <f t="shared" si="9"/>
        <v>52</v>
      </c>
      <c r="N15" s="806">
        <f t="shared" si="10"/>
        <v>0</v>
      </c>
      <c r="O15" s="806">
        <f t="shared" si="11"/>
        <v>0</v>
      </c>
      <c r="P15" s="806">
        <f t="shared" si="12"/>
        <v>0</v>
      </c>
      <c r="Q15" s="806">
        <f t="shared" si="13"/>
        <v>0</v>
      </c>
      <c r="R15" s="806">
        <f t="shared" si="14"/>
        <v>0</v>
      </c>
      <c r="T15" s="813" t="b">
        <f t="shared" si="18"/>
        <v>1</v>
      </c>
      <c r="U15" s="813" t="b">
        <f t="shared" si="15"/>
        <v>1</v>
      </c>
      <c r="V15" s="813" t="b">
        <f t="shared" si="15"/>
        <v>1</v>
      </c>
      <c r="W15" s="813" t="b">
        <f t="shared" si="15"/>
        <v>1</v>
      </c>
      <c r="X15" s="813" t="b">
        <f t="shared" si="15"/>
        <v>1</v>
      </c>
      <c r="Y15" s="813" t="b">
        <f t="shared" si="15"/>
        <v>1</v>
      </c>
      <c r="Z15" s="813" t="b">
        <f t="shared" si="15"/>
        <v>1</v>
      </c>
      <c r="AA15" s="813" t="b">
        <f t="shared" si="15"/>
        <v>1</v>
      </c>
      <c r="AB15" s="813" t="b">
        <f t="shared" si="15"/>
        <v>1</v>
      </c>
      <c r="AC15" s="813" t="b">
        <f t="shared" si="15"/>
        <v>1</v>
      </c>
      <c r="AD15" s="813" t="b">
        <f t="shared" si="15"/>
        <v>1</v>
      </c>
      <c r="AE15" s="813" t="b">
        <f t="shared" si="15"/>
        <v>1</v>
      </c>
      <c r="AF15" s="830" t="str">
        <f t="shared" si="19"/>
        <v/>
      </c>
      <c r="AG15" s="831" t="str">
        <f t="shared" si="20"/>
        <v/>
      </c>
      <c r="AH15" s="831" t="str">
        <f t="shared" si="21"/>
        <v/>
      </c>
      <c r="AI15" s="831" t="str">
        <f t="shared" si="22"/>
        <v/>
      </c>
      <c r="AJ15" s="831" t="str">
        <f t="shared" si="23"/>
        <v/>
      </c>
      <c r="AK15" s="831" t="str">
        <f t="shared" si="24"/>
        <v/>
      </c>
      <c r="AL15" s="831" t="str">
        <f t="shared" si="25"/>
        <v/>
      </c>
      <c r="AM15" s="831" t="str">
        <f t="shared" si="26"/>
        <v/>
      </c>
      <c r="AN15" s="831" t="str">
        <f t="shared" si="27"/>
        <v/>
      </c>
      <c r="AO15" s="831" t="str">
        <f t="shared" si="28"/>
        <v/>
      </c>
      <c r="AP15" s="831" t="str">
        <f t="shared" si="29"/>
        <v/>
      </c>
      <c r="AQ15" s="832" t="str">
        <f t="shared" si="30"/>
        <v/>
      </c>
    </row>
    <row r="16" spans="1:43" s="328" customFormat="1">
      <c r="A16" s="823">
        <f t="shared" si="31"/>
        <v>0</v>
      </c>
      <c r="B16" s="327" t="s">
        <v>316</v>
      </c>
      <c r="C16" s="327" t="str">
        <f t="shared" si="0"/>
        <v>Nhiệt độ bồn xi
鍍鋅槽溫度</v>
      </c>
      <c r="D16" s="327" t="str">
        <f t="shared" si="1"/>
        <v>XL-001F</v>
      </c>
      <c r="E16" s="327" t="str">
        <f t="shared" si="2"/>
        <v>0C</v>
      </c>
      <c r="F16" s="327" t="str">
        <f t="shared" si="3"/>
        <v>22~35</v>
      </c>
      <c r="G16" s="806">
        <f t="shared" si="17"/>
        <v>0</v>
      </c>
      <c r="H16" s="806">
        <f t="shared" si="4"/>
        <v>0</v>
      </c>
      <c r="I16" s="806">
        <f t="shared" si="5"/>
        <v>0</v>
      </c>
      <c r="J16" s="806">
        <f t="shared" si="6"/>
        <v>0</v>
      </c>
      <c r="K16" s="806">
        <f t="shared" si="7"/>
        <v>0</v>
      </c>
      <c r="L16" s="806">
        <f t="shared" si="8"/>
        <v>29</v>
      </c>
      <c r="M16" s="806">
        <f t="shared" si="9"/>
        <v>29</v>
      </c>
      <c r="N16" s="806">
        <f t="shared" si="10"/>
        <v>0</v>
      </c>
      <c r="O16" s="806">
        <f t="shared" si="11"/>
        <v>0</v>
      </c>
      <c r="P16" s="806">
        <f t="shared" si="12"/>
        <v>0</v>
      </c>
      <c r="Q16" s="806">
        <f t="shared" si="13"/>
        <v>0</v>
      </c>
      <c r="R16" s="806">
        <f t="shared" si="14"/>
        <v>0</v>
      </c>
      <c r="T16" s="813" t="b">
        <f t="shared" si="18"/>
        <v>1</v>
      </c>
      <c r="U16" s="813" t="b">
        <f t="shared" si="15"/>
        <v>1</v>
      </c>
      <c r="V16" s="813" t="b">
        <f t="shared" si="15"/>
        <v>1</v>
      </c>
      <c r="W16" s="813" t="b">
        <f t="shared" si="15"/>
        <v>1</v>
      </c>
      <c r="X16" s="813" t="b">
        <f t="shared" si="15"/>
        <v>1</v>
      </c>
      <c r="Y16" s="813" t="b">
        <f t="shared" si="15"/>
        <v>1</v>
      </c>
      <c r="Z16" s="813" t="b">
        <f t="shared" si="15"/>
        <v>1</v>
      </c>
      <c r="AA16" s="813" t="b">
        <f t="shared" si="15"/>
        <v>1</v>
      </c>
      <c r="AB16" s="813" t="b">
        <f t="shared" si="15"/>
        <v>1</v>
      </c>
      <c r="AC16" s="813" t="b">
        <f t="shared" si="15"/>
        <v>1</v>
      </c>
      <c r="AD16" s="813" t="b">
        <f t="shared" si="15"/>
        <v>1</v>
      </c>
      <c r="AE16" s="813" t="b">
        <f t="shared" si="15"/>
        <v>1</v>
      </c>
      <c r="AF16" s="830" t="str">
        <f t="shared" si="19"/>
        <v/>
      </c>
      <c r="AG16" s="831" t="str">
        <f t="shared" si="20"/>
        <v/>
      </c>
      <c r="AH16" s="831" t="str">
        <f t="shared" si="21"/>
        <v/>
      </c>
      <c r="AI16" s="831" t="str">
        <f t="shared" si="22"/>
        <v/>
      </c>
      <c r="AJ16" s="831" t="str">
        <f t="shared" si="23"/>
        <v/>
      </c>
      <c r="AK16" s="831" t="str">
        <f t="shared" si="24"/>
        <v/>
      </c>
      <c r="AL16" s="831" t="str">
        <f t="shared" si="25"/>
        <v/>
      </c>
      <c r="AM16" s="831" t="str">
        <f t="shared" si="26"/>
        <v/>
      </c>
      <c r="AN16" s="831" t="str">
        <f t="shared" si="27"/>
        <v/>
      </c>
      <c r="AO16" s="831" t="str">
        <f t="shared" si="28"/>
        <v/>
      </c>
      <c r="AP16" s="831" t="str">
        <f t="shared" si="29"/>
        <v/>
      </c>
      <c r="AQ16" s="832" t="str">
        <f t="shared" si="30"/>
        <v/>
      </c>
    </row>
    <row r="17" spans="1:43">
      <c r="A17" s="823">
        <f t="shared" si="31"/>
        <v>0</v>
      </c>
      <c r="B17" s="327" t="s">
        <v>281</v>
      </c>
      <c r="C17" s="327" t="str">
        <f t="shared" si="0"/>
        <v>Nhiệt độ bồn màu Cr2O3
三價鉻 溫度</v>
      </c>
      <c r="D17" s="327" t="str">
        <f t="shared" si="1"/>
        <v>XL-001F</v>
      </c>
      <c r="E17" s="327" t="str">
        <f t="shared" si="2"/>
        <v>0C</v>
      </c>
      <c r="F17" s="327" t="str">
        <f t="shared" si="3"/>
        <v>30-38</v>
      </c>
      <c r="G17" s="806">
        <f t="shared" si="17"/>
        <v>0</v>
      </c>
      <c r="H17" s="806">
        <f t="shared" si="4"/>
        <v>0</v>
      </c>
      <c r="I17" s="806">
        <f t="shared" si="5"/>
        <v>0</v>
      </c>
      <c r="J17" s="806">
        <f t="shared" si="6"/>
        <v>0</v>
      </c>
      <c r="K17" s="806">
        <f t="shared" si="7"/>
        <v>0</v>
      </c>
      <c r="L17" s="806">
        <f t="shared" si="8"/>
        <v>34</v>
      </c>
      <c r="M17" s="806">
        <f t="shared" si="9"/>
        <v>33</v>
      </c>
      <c r="N17" s="806">
        <f t="shared" si="10"/>
        <v>0</v>
      </c>
      <c r="O17" s="806">
        <f t="shared" si="11"/>
        <v>0</v>
      </c>
      <c r="P17" s="806">
        <f t="shared" si="12"/>
        <v>0</v>
      </c>
      <c r="Q17" s="806">
        <f t="shared" si="13"/>
        <v>0</v>
      </c>
      <c r="R17" s="806">
        <f t="shared" si="14"/>
        <v>0</v>
      </c>
      <c r="T17" s="813" t="b">
        <f t="shared" si="18"/>
        <v>1</v>
      </c>
      <c r="U17" s="813" t="b">
        <f t="shared" si="15"/>
        <v>1</v>
      </c>
      <c r="V17" s="813" t="b">
        <f t="shared" si="15"/>
        <v>1</v>
      </c>
      <c r="W17" s="813" t="b">
        <f t="shared" si="15"/>
        <v>1</v>
      </c>
      <c r="X17" s="813" t="b">
        <f t="shared" si="15"/>
        <v>1</v>
      </c>
      <c r="Y17" s="813" t="b">
        <f t="shared" si="15"/>
        <v>1</v>
      </c>
      <c r="Z17" s="813" t="b">
        <f t="shared" si="15"/>
        <v>1</v>
      </c>
      <c r="AA17" s="813" t="b">
        <f t="shared" si="15"/>
        <v>1</v>
      </c>
      <c r="AB17" s="813" t="b">
        <f t="shared" si="15"/>
        <v>1</v>
      </c>
      <c r="AC17" s="813" t="b">
        <f t="shared" si="15"/>
        <v>1</v>
      </c>
      <c r="AD17" s="813" t="b">
        <f t="shared" si="15"/>
        <v>1</v>
      </c>
      <c r="AE17" s="813" t="b">
        <f t="shared" si="15"/>
        <v>1</v>
      </c>
      <c r="AF17" s="830" t="str">
        <f t="shared" si="19"/>
        <v/>
      </c>
      <c r="AG17" s="831" t="str">
        <f t="shared" si="20"/>
        <v/>
      </c>
      <c r="AH17" s="831" t="str">
        <f t="shared" si="21"/>
        <v/>
      </c>
      <c r="AI17" s="831" t="str">
        <f t="shared" si="22"/>
        <v/>
      </c>
      <c r="AJ17" s="831" t="str">
        <f t="shared" si="23"/>
        <v/>
      </c>
      <c r="AK17" s="831" t="str">
        <f t="shared" si="24"/>
        <v/>
      </c>
      <c r="AL17" s="831" t="str">
        <f t="shared" si="25"/>
        <v/>
      </c>
      <c r="AM17" s="831" t="str">
        <f t="shared" si="26"/>
        <v/>
      </c>
      <c r="AN17" s="831" t="str">
        <f t="shared" si="27"/>
        <v/>
      </c>
      <c r="AO17" s="831" t="str">
        <f t="shared" si="28"/>
        <v/>
      </c>
      <c r="AP17" s="831" t="str">
        <f t="shared" si="29"/>
        <v/>
      </c>
      <c r="AQ17" s="832" t="str">
        <f t="shared" si="30"/>
        <v/>
      </c>
    </row>
    <row r="18" spans="1:43" s="328" customFormat="1">
      <c r="A18" s="823">
        <f t="shared" si="31"/>
        <v>0</v>
      </c>
      <c r="B18" s="327" t="s">
        <v>282</v>
      </c>
      <c r="C18" s="327" t="str">
        <f t="shared" si="0"/>
        <v xml:space="preserve">Nhiệt độ bồn nước nóng
熱水溫度 </v>
      </c>
      <c r="D18" s="327" t="str">
        <f t="shared" si="1"/>
        <v>XL-001F</v>
      </c>
      <c r="E18" s="327" t="str">
        <f t="shared" si="2"/>
        <v>0C</v>
      </c>
      <c r="F18" s="327" t="str">
        <f t="shared" si="3"/>
        <v>50~70</v>
      </c>
      <c r="G18" s="806">
        <f t="shared" si="17"/>
        <v>0</v>
      </c>
      <c r="H18" s="806">
        <f t="shared" si="4"/>
        <v>0</v>
      </c>
      <c r="I18" s="806">
        <f t="shared" si="5"/>
        <v>0</v>
      </c>
      <c r="J18" s="806">
        <f t="shared" si="6"/>
        <v>0</v>
      </c>
      <c r="K18" s="806">
        <f t="shared" si="7"/>
        <v>0</v>
      </c>
      <c r="L18" s="806">
        <f t="shared" si="8"/>
        <v>57</v>
      </c>
      <c r="M18" s="806">
        <f t="shared" si="9"/>
        <v>58</v>
      </c>
      <c r="N18" s="806">
        <f t="shared" si="10"/>
        <v>0</v>
      </c>
      <c r="O18" s="806">
        <f t="shared" si="11"/>
        <v>0</v>
      </c>
      <c r="P18" s="806">
        <f t="shared" si="12"/>
        <v>0</v>
      </c>
      <c r="Q18" s="806">
        <f t="shared" si="13"/>
        <v>0</v>
      </c>
      <c r="R18" s="806">
        <f t="shared" si="14"/>
        <v>0</v>
      </c>
      <c r="T18" s="813" t="b">
        <f t="shared" si="18"/>
        <v>1</v>
      </c>
      <c r="U18" s="813" t="b">
        <f t="shared" si="15"/>
        <v>1</v>
      </c>
      <c r="V18" s="813" t="b">
        <f t="shared" si="15"/>
        <v>1</v>
      </c>
      <c r="W18" s="813" t="b">
        <f t="shared" si="15"/>
        <v>1</v>
      </c>
      <c r="X18" s="813" t="b">
        <f t="shared" si="15"/>
        <v>1</v>
      </c>
      <c r="Y18" s="813" t="b">
        <f t="shared" si="15"/>
        <v>1</v>
      </c>
      <c r="Z18" s="813" t="b">
        <f t="shared" si="15"/>
        <v>1</v>
      </c>
      <c r="AA18" s="813" t="b">
        <f t="shared" si="15"/>
        <v>1</v>
      </c>
      <c r="AB18" s="813" t="b">
        <f t="shared" si="15"/>
        <v>1</v>
      </c>
      <c r="AC18" s="813" t="b">
        <f t="shared" si="15"/>
        <v>1</v>
      </c>
      <c r="AD18" s="813" t="b">
        <f t="shared" si="15"/>
        <v>1</v>
      </c>
      <c r="AE18" s="813" t="b">
        <f t="shared" si="15"/>
        <v>1</v>
      </c>
      <c r="AF18" s="830" t="str">
        <f t="shared" si="19"/>
        <v/>
      </c>
      <c r="AG18" s="831" t="str">
        <f t="shared" si="20"/>
        <v/>
      </c>
      <c r="AH18" s="831" t="str">
        <f t="shared" si="21"/>
        <v/>
      </c>
      <c r="AI18" s="831" t="str">
        <f t="shared" si="22"/>
        <v/>
      </c>
      <c r="AJ18" s="831" t="str">
        <f t="shared" si="23"/>
        <v/>
      </c>
      <c r="AK18" s="831" t="str">
        <f t="shared" si="24"/>
        <v/>
      </c>
      <c r="AL18" s="831" t="str">
        <f t="shared" si="25"/>
        <v/>
      </c>
      <c r="AM18" s="831" t="str">
        <f t="shared" si="26"/>
        <v/>
      </c>
      <c r="AN18" s="831" t="str">
        <f t="shared" si="27"/>
        <v/>
      </c>
      <c r="AO18" s="831" t="str">
        <f t="shared" si="28"/>
        <v/>
      </c>
      <c r="AP18" s="831" t="str">
        <f t="shared" si="29"/>
        <v/>
      </c>
      <c r="AQ18" s="832" t="str">
        <f t="shared" si="30"/>
        <v/>
      </c>
    </row>
    <row r="19" spans="1:43" s="328" customFormat="1">
      <c r="A19" s="823">
        <f t="shared" si="31"/>
        <v>0</v>
      </c>
      <c r="B19" s="327" t="s">
        <v>283</v>
      </c>
      <c r="C19" s="327" t="str">
        <f t="shared" si="0"/>
        <v>Sấy khô
烘乾</v>
      </c>
      <c r="D19" s="327" t="str">
        <f t="shared" si="1"/>
        <v>XL-001F</v>
      </c>
      <c r="E19" s="327" t="str">
        <f t="shared" si="2"/>
        <v>0C</v>
      </c>
      <c r="F19" s="327" t="str">
        <f t="shared" si="3"/>
        <v>80~100</v>
      </c>
      <c r="G19" s="806">
        <f t="shared" si="17"/>
        <v>0</v>
      </c>
      <c r="H19" s="806">
        <f t="shared" si="4"/>
        <v>0</v>
      </c>
      <c r="I19" s="806">
        <f t="shared" si="5"/>
        <v>0</v>
      </c>
      <c r="J19" s="806">
        <f t="shared" si="6"/>
        <v>0</v>
      </c>
      <c r="K19" s="806">
        <f t="shared" si="7"/>
        <v>0</v>
      </c>
      <c r="L19" s="806">
        <f t="shared" si="8"/>
        <v>0</v>
      </c>
      <c r="M19" s="806">
        <f t="shared" si="9"/>
        <v>93</v>
      </c>
      <c r="N19" s="806">
        <f t="shared" si="10"/>
        <v>0</v>
      </c>
      <c r="O19" s="806">
        <f t="shared" si="11"/>
        <v>0</v>
      </c>
      <c r="P19" s="806">
        <f t="shared" si="12"/>
        <v>0</v>
      </c>
      <c r="Q19" s="806">
        <f t="shared" si="13"/>
        <v>0</v>
      </c>
      <c r="R19" s="806">
        <f t="shared" si="14"/>
        <v>0</v>
      </c>
      <c r="T19" s="813" t="b">
        <f t="shared" si="18"/>
        <v>1</v>
      </c>
      <c r="U19" s="813" t="b">
        <f t="shared" si="15"/>
        <v>1</v>
      </c>
      <c r="V19" s="813" t="b">
        <f t="shared" si="15"/>
        <v>1</v>
      </c>
      <c r="W19" s="813" t="b">
        <f t="shared" si="15"/>
        <v>1</v>
      </c>
      <c r="X19" s="813" t="b">
        <f t="shared" si="15"/>
        <v>1</v>
      </c>
      <c r="Y19" s="813" t="b">
        <f t="shared" si="15"/>
        <v>1</v>
      </c>
      <c r="Z19" s="813" t="b">
        <f t="shared" si="15"/>
        <v>1</v>
      </c>
      <c r="AA19" s="813" t="b">
        <f t="shared" si="15"/>
        <v>1</v>
      </c>
      <c r="AB19" s="813" t="b">
        <f t="shared" si="15"/>
        <v>1</v>
      </c>
      <c r="AC19" s="813" t="b">
        <f t="shared" si="15"/>
        <v>1</v>
      </c>
      <c r="AD19" s="813" t="b">
        <f t="shared" si="15"/>
        <v>1</v>
      </c>
      <c r="AE19" s="813" t="b">
        <f t="shared" si="15"/>
        <v>1</v>
      </c>
      <c r="AF19" s="830" t="str">
        <f t="shared" si="19"/>
        <v/>
      </c>
      <c r="AG19" s="831" t="str">
        <f t="shared" si="20"/>
        <v/>
      </c>
      <c r="AH19" s="831" t="str">
        <f t="shared" si="21"/>
        <v/>
      </c>
      <c r="AI19" s="831" t="str">
        <f t="shared" si="22"/>
        <v/>
      </c>
      <c r="AJ19" s="831" t="str">
        <f t="shared" si="23"/>
        <v/>
      </c>
      <c r="AK19" s="831" t="str">
        <f t="shared" si="24"/>
        <v/>
      </c>
      <c r="AL19" s="831" t="str">
        <f t="shared" si="25"/>
        <v/>
      </c>
      <c r="AM19" s="831" t="str">
        <f t="shared" si="26"/>
        <v/>
      </c>
      <c r="AN19" s="831" t="str">
        <f t="shared" si="27"/>
        <v/>
      </c>
      <c r="AO19" s="831" t="str">
        <f t="shared" si="28"/>
        <v/>
      </c>
      <c r="AP19" s="831" t="str">
        <f t="shared" si="29"/>
        <v/>
      </c>
      <c r="AQ19" s="832" t="str">
        <f t="shared" si="30"/>
        <v/>
      </c>
    </row>
    <row r="20" spans="1:43" s="328" customFormat="1">
      <c r="A20" s="823">
        <f t="shared" si="31"/>
        <v>0</v>
      </c>
      <c r="B20" s="327" t="s">
        <v>300</v>
      </c>
      <c r="C20" s="327" t="str">
        <f t="shared" si="0"/>
        <v>Nhiệt  độ xà bông nóng (1)
 熱脫脂溫度(1)</v>
      </c>
      <c r="D20" s="327" t="str">
        <f t="shared" si="1"/>
        <v>XT-000C</v>
      </c>
      <c r="E20" s="327" t="str">
        <f t="shared" si="2"/>
        <v>0C</v>
      </c>
      <c r="F20" s="327" t="str">
        <f t="shared" si="3"/>
        <v>50~70</v>
      </c>
      <c r="G20" s="806">
        <f t="shared" si="17"/>
        <v>0</v>
      </c>
      <c r="H20" s="806">
        <f t="shared" si="4"/>
        <v>0</v>
      </c>
      <c r="I20" s="806">
        <f t="shared" si="5"/>
        <v>0</v>
      </c>
      <c r="J20" s="806">
        <f t="shared" si="6"/>
        <v>0</v>
      </c>
      <c r="K20" s="806">
        <f t="shared" si="7"/>
        <v>0</v>
      </c>
      <c r="L20" s="806">
        <f t="shared" si="8"/>
        <v>60</v>
      </c>
      <c r="M20" s="806">
        <f t="shared" si="9"/>
        <v>60</v>
      </c>
      <c r="N20" s="806">
        <f t="shared" si="10"/>
        <v>0</v>
      </c>
      <c r="O20" s="806">
        <f t="shared" si="11"/>
        <v>0</v>
      </c>
      <c r="P20" s="806">
        <f t="shared" si="12"/>
        <v>0</v>
      </c>
      <c r="Q20" s="806">
        <f t="shared" si="13"/>
        <v>0</v>
      </c>
      <c r="R20" s="806">
        <f t="shared" si="14"/>
        <v>0</v>
      </c>
      <c r="T20" s="813" t="b">
        <f t="shared" si="18"/>
        <v>1</v>
      </c>
      <c r="U20" s="813" t="b">
        <f t="shared" si="18"/>
        <v>1</v>
      </c>
      <c r="V20" s="813" t="b">
        <f t="shared" si="18"/>
        <v>1</v>
      </c>
      <c r="W20" s="813" t="b">
        <f t="shared" si="18"/>
        <v>1</v>
      </c>
      <c r="X20" s="813" t="b">
        <f t="shared" si="18"/>
        <v>1</v>
      </c>
      <c r="Y20" s="813" t="b">
        <f t="shared" si="18"/>
        <v>1</v>
      </c>
      <c r="Z20" s="813" t="b">
        <f t="shared" si="18"/>
        <v>1</v>
      </c>
      <c r="AA20" s="813" t="b">
        <f t="shared" si="18"/>
        <v>1</v>
      </c>
      <c r="AB20" s="813" t="b">
        <f t="shared" si="18"/>
        <v>1</v>
      </c>
      <c r="AC20" s="813" t="b">
        <f t="shared" si="18"/>
        <v>1</v>
      </c>
      <c r="AD20" s="813" t="b">
        <f t="shared" si="18"/>
        <v>1</v>
      </c>
      <c r="AE20" s="813" t="b">
        <f t="shared" si="18"/>
        <v>1</v>
      </c>
      <c r="AF20" s="830" t="str">
        <f t="shared" si="19"/>
        <v/>
      </c>
      <c r="AG20" s="831" t="str">
        <f t="shared" si="20"/>
        <v/>
      </c>
      <c r="AH20" s="831" t="str">
        <f t="shared" si="21"/>
        <v/>
      </c>
      <c r="AI20" s="831" t="str">
        <f t="shared" si="22"/>
        <v/>
      </c>
      <c r="AJ20" s="831" t="str">
        <f t="shared" si="23"/>
        <v/>
      </c>
      <c r="AK20" s="831" t="str">
        <f t="shared" si="24"/>
        <v/>
      </c>
      <c r="AL20" s="831" t="str">
        <f t="shared" si="25"/>
        <v/>
      </c>
      <c r="AM20" s="831" t="str">
        <f t="shared" si="26"/>
        <v/>
      </c>
      <c r="AN20" s="831" t="str">
        <f t="shared" si="27"/>
        <v/>
      </c>
      <c r="AO20" s="831" t="str">
        <f t="shared" si="28"/>
        <v/>
      </c>
      <c r="AP20" s="831" t="str">
        <f t="shared" si="29"/>
        <v/>
      </c>
      <c r="AQ20" s="832" t="str">
        <f t="shared" si="30"/>
        <v/>
      </c>
    </row>
    <row r="21" spans="1:43" s="328" customFormat="1">
      <c r="A21" s="823">
        <f t="shared" si="31"/>
        <v>0</v>
      </c>
      <c r="B21" s="327" t="s">
        <v>301</v>
      </c>
      <c r="C21" s="327" t="str">
        <f t="shared" si="0"/>
        <v>Nhiệt  độ xà bông nóng (2)
 熱脫脂溫度(2)</v>
      </c>
      <c r="D21" s="327" t="str">
        <f t="shared" si="1"/>
        <v>XT-000C</v>
      </c>
      <c r="E21" s="327" t="str">
        <f t="shared" si="2"/>
        <v>0C</v>
      </c>
      <c r="F21" s="327" t="str">
        <f t="shared" si="3"/>
        <v>50~70</v>
      </c>
      <c r="G21" s="806">
        <f t="shared" si="17"/>
        <v>0</v>
      </c>
      <c r="H21" s="806">
        <f t="shared" si="4"/>
        <v>0</v>
      </c>
      <c r="I21" s="806">
        <f t="shared" si="5"/>
        <v>0</v>
      </c>
      <c r="J21" s="806">
        <f t="shared" si="6"/>
        <v>0</v>
      </c>
      <c r="K21" s="806">
        <f t="shared" si="7"/>
        <v>0</v>
      </c>
      <c r="L21" s="806">
        <f t="shared" si="8"/>
        <v>61</v>
      </c>
      <c r="M21" s="806">
        <f t="shared" si="9"/>
        <v>60</v>
      </c>
      <c r="N21" s="806">
        <f t="shared" si="10"/>
        <v>0</v>
      </c>
      <c r="O21" s="806">
        <f t="shared" si="11"/>
        <v>0</v>
      </c>
      <c r="P21" s="806">
        <f t="shared" si="12"/>
        <v>0</v>
      </c>
      <c r="Q21" s="806">
        <f t="shared" si="13"/>
        <v>0</v>
      </c>
      <c r="R21" s="806">
        <f t="shared" si="14"/>
        <v>0</v>
      </c>
      <c r="T21" s="813" t="b">
        <f t="shared" si="18"/>
        <v>1</v>
      </c>
      <c r="U21" s="813" t="b">
        <f t="shared" si="18"/>
        <v>1</v>
      </c>
      <c r="V21" s="813" t="b">
        <f t="shared" si="18"/>
        <v>1</v>
      </c>
      <c r="W21" s="813" t="b">
        <f t="shared" si="18"/>
        <v>1</v>
      </c>
      <c r="X21" s="813" t="b">
        <f t="shared" si="18"/>
        <v>1</v>
      </c>
      <c r="Y21" s="813" t="b">
        <f t="shared" si="18"/>
        <v>1</v>
      </c>
      <c r="Z21" s="813" t="b">
        <f t="shared" si="18"/>
        <v>1</v>
      </c>
      <c r="AA21" s="813" t="b">
        <f t="shared" si="18"/>
        <v>1</v>
      </c>
      <c r="AB21" s="813" t="b">
        <f t="shared" si="18"/>
        <v>1</v>
      </c>
      <c r="AC21" s="813" t="b">
        <f t="shared" si="18"/>
        <v>1</v>
      </c>
      <c r="AD21" s="813" t="b">
        <f t="shared" si="18"/>
        <v>1</v>
      </c>
      <c r="AE21" s="813" t="b">
        <f t="shared" si="18"/>
        <v>1</v>
      </c>
      <c r="AF21" s="830" t="str">
        <f t="shared" si="19"/>
        <v/>
      </c>
      <c r="AG21" s="831" t="str">
        <f t="shared" si="20"/>
        <v/>
      </c>
      <c r="AH21" s="831" t="str">
        <f t="shared" si="21"/>
        <v/>
      </c>
      <c r="AI21" s="831" t="str">
        <f t="shared" si="22"/>
        <v/>
      </c>
      <c r="AJ21" s="831" t="str">
        <f t="shared" si="23"/>
        <v/>
      </c>
      <c r="AK21" s="831" t="str">
        <f t="shared" si="24"/>
        <v/>
      </c>
      <c r="AL21" s="831" t="str">
        <f t="shared" si="25"/>
        <v/>
      </c>
      <c r="AM21" s="831" t="str">
        <f t="shared" si="26"/>
        <v/>
      </c>
      <c r="AN21" s="831" t="str">
        <f t="shared" si="27"/>
        <v/>
      </c>
      <c r="AO21" s="831" t="str">
        <f t="shared" si="28"/>
        <v/>
      </c>
      <c r="AP21" s="831" t="str">
        <f t="shared" si="29"/>
        <v/>
      </c>
      <c r="AQ21" s="832" t="str">
        <f t="shared" si="30"/>
        <v/>
      </c>
    </row>
    <row r="22" spans="1:43" s="328" customFormat="1">
      <c r="A22" s="823">
        <f t="shared" si="31"/>
        <v>0</v>
      </c>
      <c r="B22" s="327" t="s">
        <v>302</v>
      </c>
      <c r="C22" s="327" t="str">
        <f t="shared" si="0"/>
        <v>Nhiệt độ điện giải (1) 
電解1 溫度</v>
      </c>
      <c r="D22" s="327" t="str">
        <f t="shared" si="1"/>
        <v>XT-000C</v>
      </c>
      <c r="E22" s="327" t="str">
        <f t="shared" si="2"/>
        <v>0C</v>
      </c>
      <c r="F22" s="327" t="str">
        <f t="shared" si="3"/>
        <v>50~70</v>
      </c>
      <c r="G22" s="806">
        <f t="shared" si="17"/>
        <v>0</v>
      </c>
      <c r="H22" s="806">
        <f t="shared" si="4"/>
        <v>0</v>
      </c>
      <c r="I22" s="806">
        <f t="shared" si="5"/>
        <v>0</v>
      </c>
      <c r="J22" s="806">
        <f t="shared" si="6"/>
        <v>0</v>
      </c>
      <c r="K22" s="806">
        <f t="shared" si="7"/>
        <v>0</v>
      </c>
      <c r="L22" s="806">
        <f t="shared" si="8"/>
        <v>59</v>
      </c>
      <c r="M22" s="806">
        <f t="shared" si="9"/>
        <v>58</v>
      </c>
      <c r="N22" s="806">
        <f t="shared" si="10"/>
        <v>0</v>
      </c>
      <c r="O22" s="806">
        <f t="shared" si="11"/>
        <v>0</v>
      </c>
      <c r="P22" s="806">
        <f t="shared" si="12"/>
        <v>0</v>
      </c>
      <c r="Q22" s="806">
        <f t="shared" si="13"/>
        <v>0</v>
      </c>
      <c r="R22" s="806">
        <f t="shared" si="14"/>
        <v>0</v>
      </c>
      <c r="T22" s="813" t="b">
        <f t="shared" si="18"/>
        <v>1</v>
      </c>
      <c r="U22" s="813" t="b">
        <f t="shared" si="18"/>
        <v>1</v>
      </c>
      <c r="V22" s="813" t="b">
        <f t="shared" si="18"/>
        <v>1</v>
      </c>
      <c r="W22" s="813" t="b">
        <f t="shared" si="18"/>
        <v>1</v>
      </c>
      <c r="X22" s="813" t="b">
        <f t="shared" si="18"/>
        <v>1</v>
      </c>
      <c r="Y22" s="813" t="b">
        <f t="shared" si="18"/>
        <v>1</v>
      </c>
      <c r="Z22" s="813" t="b">
        <f t="shared" si="18"/>
        <v>1</v>
      </c>
      <c r="AA22" s="813" t="b">
        <f t="shared" si="18"/>
        <v>1</v>
      </c>
      <c r="AB22" s="813" t="b">
        <f t="shared" si="18"/>
        <v>1</v>
      </c>
      <c r="AC22" s="813" t="b">
        <f t="shared" si="18"/>
        <v>1</v>
      </c>
      <c r="AD22" s="813" t="b">
        <f t="shared" si="18"/>
        <v>1</v>
      </c>
      <c r="AE22" s="813" t="b">
        <f t="shared" si="18"/>
        <v>1</v>
      </c>
      <c r="AF22" s="830" t="str">
        <f t="shared" si="19"/>
        <v/>
      </c>
      <c r="AG22" s="831" t="str">
        <f t="shared" si="20"/>
        <v/>
      </c>
      <c r="AH22" s="831" t="str">
        <f t="shared" si="21"/>
        <v/>
      </c>
      <c r="AI22" s="831" t="str">
        <f t="shared" si="22"/>
        <v/>
      </c>
      <c r="AJ22" s="831" t="str">
        <f t="shared" si="23"/>
        <v/>
      </c>
      <c r="AK22" s="831" t="str">
        <f t="shared" si="24"/>
        <v/>
      </c>
      <c r="AL22" s="831" t="str">
        <f t="shared" si="25"/>
        <v/>
      </c>
      <c r="AM22" s="831" t="str">
        <f t="shared" si="26"/>
        <v/>
      </c>
      <c r="AN22" s="831" t="str">
        <f t="shared" si="27"/>
        <v/>
      </c>
      <c r="AO22" s="831" t="str">
        <f t="shared" si="28"/>
        <v/>
      </c>
      <c r="AP22" s="831" t="str">
        <f t="shared" si="29"/>
        <v/>
      </c>
      <c r="AQ22" s="832" t="str">
        <f t="shared" si="30"/>
        <v/>
      </c>
    </row>
    <row r="23" spans="1:43" s="328" customFormat="1">
      <c r="A23" s="823">
        <f t="shared" si="31"/>
        <v>0</v>
      </c>
      <c r="B23" s="327" t="s">
        <v>303</v>
      </c>
      <c r="C23" s="327" t="str">
        <f t="shared" si="0"/>
        <v>Nhiệt độ điện giải (2)
電解 2 溫度</v>
      </c>
      <c r="D23" s="327" t="str">
        <f t="shared" si="1"/>
        <v>XT-000C</v>
      </c>
      <c r="E23" s="327" t="str">
        <f t="shared" si="2"/>
        <v>0C</v>
      </c>
      <c r="F23" s="327" t="str">
        <f t="shared" si="3"/>
        <v>50~70</v>
      </c>
      <c r="G23" s="806">
        <f t="shared" si="17"/>
        <v>0</v>
      </c>
      <c r="H23" s="806">
        <f t="shared" si="4"/>
        <v>0</v>
      </c>
      <c r="I23" s="806">
        <f t="shared" si="5"/>
        <v>0</v>
      </c>
      <c r="J23" s="806">
        <f t="shared" si="6"/>
        <v>0</v>
      </c>
      <c r="K23" s="806">
        <f t="shared" si="7"/>
        <v>0</v>
      </c>
      <c r="L23" s="806">
        <f t="shared" si="8"/>
        <v>63</v>
      </c>
      <c r="M23" s="806">
        <f t="shared" si="9"/>
        <v>63</v>
      </c>
      <c r="N23" s="806">
        <f t="shared" si="10"/>
        <v>0</v>
      </c>
      <c r="O23" s="806">
        <f t="shared" si="11"/>
        <v>0</v>
      </c>
      <c r="P23" s="806">
        <f t="shared" si="12"/>
        <v>0</v>
      </c>
      <c r="Q23" s="806">
        <f t="shared" si="13"/>
        <v>0</v>
      </c>
      <c r="R23" s="806">
        <f t="shared" si="14"/>
        <v>0</v>
      </c>
      <c r="T23" s="813" t="b">
        <f t="shared" si="18"/>
        <v>1</v>
      </c>
      <c r="U23" s="813" t="b">
        <f t="shared" si="18"/>
        <v>1</v>
      </c>
      <c r="V23" s="813" t="b">
        <f t="shared" si="18"/>
        <v>1</v>
      </c>
      <c r="W23" s="813" t="b">
        <f t="shared" si="18"/>
        <v>1</v>
      </c>
      <c r="X23" s="813" t="b">
        <f t="shared" si="18"/>
        <v>1</v>
      </c>
      <c r="Y23" s="813" t="b">
        <f t="shared" si="18"/>
        <v>1</v>
      </c>
      <c r="Z23" s="813" t="b">
        <f t="shared" si="18"/>
        <v>1</v>
      </c>
      <c r="AA23" s="813" t="b">
        <f t="shared" si="18"/>
        <v>1</v>
      </c>
      <c r="AB23" s="813" t="b">
        <f t="shared" si="18"/>
        <v>1</v>
      </c>
      <c r="AC23" s="813" t="b">
        <f t="shared" si="18"/>
        <v>1</v>
      </c>
      <c r="AD23" s="813" t="b">
        <f t="shared" si="18"/>
        <v>1</v>
      </c>
      <c r="AE23" s="813" t="b">
        <f t="shared" si="18"/>
        <v>1</v>
      </c>
      <c r="AF23" s="830" t="str">
        <f t="shared" si="19"/>
        <v/>
      </c>
      <c r="AG23" s="831" t="str">
        <f t="shared" si="20"/>
        <v/>
      </c>
      <c r="AH23" s="831" t="str">
        <f t="shared" si="21"/>
        <v/>
      </c>
      <c r="AI23" s="831" t="str">
        <f t="shared" si="22"/>
        <v/>
      </c>
      <c r="AJ23" s="831" t="str">
        <f t="shared" si="23"/>
        <v/>
      </c>
      <c r="AK23" s="831" t="str">
        <f t="shared" si="24"/>
        <v/>
      </c>
      <c r="AL23" s="831" t="str">
        <f t="shared" si="25"/>
        <v/>
      </c>
      <c r="AM23" s="831" t="str">
        <f t="shared" si="26"/>
        <v/>
      </c>
      <c r="AN23" s="831" t="str">
        <f t="shared" si="27"/>
        <v/>
      </c>
      <c r="AO23" s="831" t="str">
        <f t="shared" si="28"/>
        <v/>
      </c>
      <c r="AP23" s="831" t="str">
        <f t="shared" si="29"/>
        <v/>
      </c>
      <c r="AQ23" s="832" t="str">
        <f t="shared" si="30"/>
        <v/>
      </c>
    </row>
    <row r="24" spans="1:43" s="328" customFormat="1">
      <c r="A24" s="823">
        <f t="shared" si="31"/>
        <v>0</v>
      </c>
      <c r="B24" s="327" t="s">
        <v>314</v>
      </c>
      <c r="C24" s="327" t="str">
        <f t="shared" si="0"/>
        <v>Nhiệt độ bồn xi
鍍鋅槽溫度</v>
      </c>
      <c r="D24" s="327" t="str">
        <f t="shared" si="1"/>
        <v>XT-000C</v>
      </c>
      <c r="E24" s="327" t="str">
        <f t="shared" si="2"/>
        <v>0C</v>
      </c>
      <c r="F24" s="327" t="str">
        <f t="shared" si="3"/>
        <v>22~28</v>
      </c>
      <c r="G24" s="806">
        <f t="shared" si="17"/>
        <v>0</v>
      </c>
      <c r="H24" s="806">
        <f t="shared" si="4"/>
        <v>0</v>
      </c>
      <c r="I24" s="806">
        <f t="shared" si="5"/>
        <v>0</v>
      </c>
      <c r="J24" s="806">
        <f t="shared" si="6"/>
        <v>0</v>
      </c>
      <c r="K24" s="806">
        <f t="shared" si="7"/>
        <v>0</v>
      </c>
      <c r="L24" s="806">
        <f t="shared" si="8"/>
        <v>25</v>
      </c>
      <c r="M24" s="806">
        <f t="shared" si="9"/>
        <v>24</v>
      </c>
      <c r="N24" s="806">
        <f t="shared" si="10"/>
        <v>0</v>
      </c>
      <c r="O24" s="806">
        <f t="shared" si="11"/>
        <v>0</v>
      </c>
      <c r="P24" s="806">
        <f t="shared" si="12"/>
        <v>0</v>
      </c>
      <c r="Q24" s="806">
        <f t="shared" si="13"/>
        <v>0</v>
      </c>
      <c r="R24" s="806">
        <f t="shared" si="14"/>
        <v>0</v>
      </c>
      <c r="T24" s="813" t="b">
        <f t="shared" si="18"/>
        <v>1</v>
      </c>
      <c r="U24" s="813" t="b">
        <f t="shared" si="18"/>
        <v>1</v>
      </c>
      <c r="V24" s="813" t="b">
        <f t="shared" si="18"/>
        <v>1</v>
      </c>
      <c r="W24" s="813" t="b">
        <f t="shared" si="18"/>
        <v>1</v>
      </c>
      <c r="X24" s="813" t="b">
        <f t="shared" si="18"/>
        <v>1</v>
      </c>
      <c r="Y24" s="813" t="b">
        <f t="shared" si="18"/>
        <v>1</v>
      </c>
      <c r="Z24" s="813" t="b">
        <f t="shared" si="18"/>
        <v>1</v>
      </c>
      <c r="AA24" s="813" t="b">
        <f t="shared" si="18"/>
        <v>1</v>
      </c>
      <c r="AB24" s="813" t="b">
        <f t="shared" si="18"/>
        <v>1</v>
      </c>
      <c r="AC24" s="813" t="b">
        <f t="shared" si="18"/>
        <v>1</v>
      </c>
      <c r="AD24" s="813" t="b">
        <f t="shared" si="18"/>
        <v>1</v>
      </c>
      <c r="AE24" s="813" t="b">
        <f t="shared" si="18"/>
        <v>1</v>
      </c>
      <c r="AF24" s="830" t="str">
        <f t="shared" si="19"/>
        <v/>
      </c>
      <c r="AG24" s="831" t="str">
        <f t="shared" si="20"/>
        <v/>
      </c>
      <c r="AH24" s="831" t="str">
        <f t="shared" si="21"/>
        <v/>
      </c>
      <c r="AI24" s="831" t="str">
        <f t="shared" si="22"/>
        <v/>
      </c>
      <c r="AJ24" s="831" t="str">
        <f t="shared" si="23"/>
        <v/>
      </c>
      <c r="AK24" s="831" t="str">
        <f t="shared" si="24"/>
        <v/>
      </c>
      <c r="AL24" s="831" t="str">
        <f t="shared" si="25"/>
        <v/>
      </c>
      <c r="AM24" s="831" t="str">
        <f t="shared" si="26"/>
        <v/>
      </c>
      <c r="AN24" s="831" t="str">
        <f t="shared" si="27"/>
        <v/>
      </c>
      <c r="AO24" s="831" t="str">
        <f t="shared" si="28"/>
        <v/>
      </c>
      <c r="AP24" s="831" t="str">
        <f t="shared" si="29"/>
        <v/>
      </c>
      <c r="AQ24" s="832" t="str">
        <f t="shared" si="30"/>
        <v/>
      </c>
    </row>
    <row r="25" spans="1:43" s="328" customFormat="1">
      <c r="A25" s="823">
        <f t="shared" si="31"/>
        <v>0</v>
      </c>
      <c r="B25" s="327" t="s">
        <v>304</v>
      </c>
      <c r="C25" s="327" t="str">
        <f t="shared" si="0"/>
        <v>Nhiệt độ bồn màu Cr2O3 (I)
三價鉻 溫度  HALO</v>
      </c>
      <c r="D25" s="327" t="str">
        <f t="shared" si="1"/>
        <v>XT-000C</v>
      </c>
      <c r="E25" s="327" t="str">
        <f t="shared" si="2"/>
        <v>0C</v>
      </c>
      <c r="F25" s="327" t="str">
        <f t="shared" si="3"/>
        <v>30~40</v>
      </c>
      <c r="G25" s="806">
        <f t="shared" si="17"/>
        <v>0</v>
      </c>
      <c r="H25" s="806">
        <f t="shared" si="4"/>
        <v>0</v>
      </c>
      <c r="I25" s="806">
        <f t="shared" si="5"/>
        <v>0</v>
      </c>
      <c r="J25" s="806">
        <f t="shared" si="6"/>
        <v>0</v>
      </c>
      <c r="K25" s="806">
        <f t="shared" si="7"/>
        <v>0</v>
      </c>
      <c r="L25" s="806">
        <f t="shared" si="8"/>
        <v>34</v>
      </c>
      <c r="M25" s="806">
        <f t="shared" si="9"/>
        <v>33</v>
      </c>
      <c r="N25" s="806">
        <f t="shared" si="10"/>
        <v>0</v>
      </c>
      <c r="O25" s="806">
        <f t="shared" si="11"/>
        <v>0</v>
      </c>
      <c r="P25" s="806">
        <f t="shared" si="12"/>
        <v>0</v>
      </c>
      <c r="Q25" s="806">
        <f t="shared" si="13"/>
        <v>0</v>
      </c>
      <c r="R25" s="806">
        <f t="shared" si="14"/>
        <v>0</v>
      </c>
      <c r="T25" s="813" t="b">
        <f t="shared" si="18"/>
        <v>1</v>
      </c>
      <c r="U25" s="813" t="b">
        <f t="shared" si="18"/>
        <v>1</v>
      </c>
      <c r="V25" s="813" t="b">
        <f t="shared" si="18"/>
        <v>1</v>
      </c>
      <c r="W25" s="813" t="b">
        <f t="shared" si="18"/>
        <v>1</v>
      </c>
      <c r="X25" s="813" t="b">
        <f t="shared" si="18"/>
        <v>1</v>
      </c>
      <c r="Y25" s="813" t="b">
        <f t="shared" si="18"/>
        <v>1</v>
      </c>
      <c r="Z25" s="813" t="b">
        <f t="shared" si="18"/>
        <v>1</v>
      </c>
      <c r="AA25" s="813" t="b">
        <f t="shared" si="18"/>
        <v>1</v>
      </c>
      <c r="AB25" s="813" t="b">
        <f t="shared" si="18"/>
        <v>1</v>
      </c>
      <c r="AC25" s="813" t="b">
        <f t="shared" si="18"/>
        <v>1</v>
      </c>
      <c r="AD25" s="813" t="b">
        <f t="shared" si="18"/>
        <v>1</v>
      </c>
      <c r="AE25" s="813" t="b">
        <f t="shared" si="18"/>
        <v>1</v>
      </c>
      <c r="AF25" s="830" t="str">
        <f t="shared" si="19"/>
        <v/>
      </c>
      <c r="AG25" s="831" t="str">
        <f t="shared" si="20"/>
        <v/>
      </c>
      <c r="AH25" s="831" t="str">
        <f t="shared" si="21"/>
        <v/>
      </c>
      <c r="AI25" s="831" t="str">
        <f t="shared" si="22"/>
        <v/>
      </c>
      <c r="AJ25" s="831" t="str">
        <f t="shared" si="23"/>
        <v/>
      </c>
      <c r="AK25" s="831" t="str">
        <f t="shared" si="24"/>
        <v/>
      </c>
      <c r="AL25" s="831" t="str">
        <f t="shared" si="25"/>
        <v/>
      </c>
      <c r="AM25" s="831" t="str">
        <f t="shared" si="26"/>
        <v/>
      </c>
      <c r="AN25" s="831" t="str">
        <f t="shared" si="27"/>
        <v/>
      </c>
      <c r="AO25" s="831" t="str">
        <f t="shared" si="28"/>
        <v/>
      </c>
      <c r="AP25" s="831" t="str">
        <f t="shared" si="29"/>
        <v/>
      </c>
      <c r="AQ25" s="832" t="str">
        <f t="shared" si="30"/>
        <v/>
      </c>
    </row>
    <row r="26" spans="1:43" s="328" customFormat="1">
      <c r="A26" s="823">
        <f t="shared" si="31"/>
        <v>0</v>
      </c>
      <c r="B26" s="327" t="s">
        <v>305</v>
      </c>
      <c r="C26" s="327" t="str">
        <f t="shared" si="0"/>
        <v xml:space="preserve">Nhiệt độ bồn nước nóng
熱水溫度 </v>
      </c>
      <c r="D26" s="327" t="str">
        <f t="shared" si="1"/>
        <v>XT-000C</v>
      </c>
      <c r="E26" s="327" t="str">
        <f t="shared" si="2"/>
        <v>0C</v>
      </c>
      <c r="F26" s="327" t="str">
        <f t="shared" si="3"/>
        <v>55~65</v>
      </c>
      <c r="G26" s="806">
        <f t="shared" si="17"/>
        <v>0</v>
      </c>
      <c r="H26" s="806">
        <f t="shared" si="4"/>
        <v>0</v>
      </c>
      <c r="I26" s="806">
        <f t="shared" si="5"/>
        <v>0</v>
      </c>
      <c r="J26" s="806">
        <f t="shared" si="6"/>
        <v>0</v>
      </c>
      <c r="K26" s="806">
        <f t="shared" si="7"/>
        <v>0</v>
      </c>
      <c r="L26" s="806">
        <f t="shared" si="8"/>
        <v>58</v>
      </c>
      <c r="M26" s="806">
        <f t="shared" si="9"/>
        <v>57</v>
      </c>
      <c r="N26" s="806">
        <f t="shared" si="10"/>
        <v>0</v>
      </c>
      <c r="O26" s="806">
        <f t="shared" si="11"/>
        <v>0</v>
      </c>
      <c r="P26" s="806">
        <f t="shared" si="12"/>
        <v>0</v>
      </c>
      <c r="Q26" s="806">
        <f t="shared" si="13"/>
        <v>0</v>
      </c>
      <c r="R26" s="806">
        <f t="shared" si="14"/>
        <v>0</v>
      </c>
      <c r="T26" s="813" t="b">
        <f t="shared" si="18"/>
        <v>1</v>
      </c>
      <c r="U26" s="813" t="b">
        <f t="shared" si="18"/>
        <v>1</v>
      </c>
      <c r="V26" s="813" t="b">
        <f t="shared" si="18"/>
        <v>1</v>
      </c>
      <c r="W26" s="813" t="b">
        <f t="shared" si="18"/>
        <v>1</v>
      </c>
      <c r="X26" s="813" t="b">
        <f t="shared" si="18"/>
        <v>1</v>
      </c>
      <c r="Y26" s="813" t="b">
        <f t="shared" si="18"/>
        <v>1</v>
      </c>
      <c r="Z26" s="813" t="b">
        <f t="shared" si="18"/>
        <v>1</v>
      </c>
      <c r="AA26" s="813" t="b">
        <f t="shared" si="18"/>
        <v>1</v>
      </c>
      <c r="AB26" s="813" t="b">
        <f t="shared" si="18"/>
        <v>1</v>
      </c>
      <c r="AC26" s="813" t="b">
        <f t="shared" si="18"/>
        <v>1</v>
      </c>
      <c r="AD26" s="813" t="b">
        <f t="shared" si="18"/>
        <v>1</v>
      </c>
      <c r="AE26" s="813" t="b">
        <f t="shared" si="18"/>
        <v>1</v>
      </c>
      <c r="AF26" s="830" t="str">
        <f t="shared" si="19"/>
        <v/>
      </c>
      <c r="AG26" s="831" t="str">
        <f t="shared" si="20"/>
        <v/>
      </c>
      <c r="AH26" s="831" t="str">
        <f t="shared" si="21"/>
        <v/>
      </c>
      <c r="AI26" s="831" t="str">
        <f t="shared" si="22"/>
        <v/>
      </c>
      <c r="AJ26" s="831" t="str">
        <f t="shared" si="23"/>
        <v/>
      </c>
      <c r="AK26" s="831" t="str">
        <f t="shared" si="24"/>
        <v/>
      </c>
      <c r="AL26" s="831" t="str">
        <f t="shared" si="25"/>
        <v/>
      </c>
      <c r="AM26" s="831" t="str">
        <f t="shared" si="26"/>
        <v/>
      </c>
      <c r="AN26" s="831" t="str">
        <f t="shared" si="27"/>
        <v/>
      </c>
      <c r="AO26" s="831" t="str">
        <f t="shared" si="28"/>
        <v/>
      </c>
      <c r="AP26" s="831" t="str">
        <f t="shared" si="29"/>
        <v/>
      </c>
      <c r="AQ26" s="832" t="str">
        <f t="shared" si="30"/>
        <v/>
      </c>
    </row>
    <row r="27" spans="1:43" s="328" customFormat="1">
      <c r="A27" s="823">
        <f t="shared" si="31"/>
        <v>0</v>
      </c>
      <c r="B27" s="327" t="s">
        <v>306</v>
      </c>
      <c r="C27" s="327" t="str">
        <f t="shared" si="0"/>
        <v>Sấy khô
烘乾</v>
      </c>
      <c r="D27" s="327" t="str">
        <f t="shared" si="1"/>
        <v>XT-000C</v>
      </c>
      <c r="E27" s="327" t="str">
        <f t="shared" si="2"/>
        <v>0C</v>
      </c>
      <c r="F27" s="327" t="str">
        <f t="shared" si="3"/>
        <v>80~100</v>
      </c>
      <c r="G27" s="806">
        <f t="shared" si="17"/>
        <v>0</v>
      </c>
      <c r="H27" s="806">
        <f t="shared" si="4"/>
        <v>0</v>
      </c>
      <c r="I27" s="806">
        <f t="shared" si="5"/>
        <v>0</v>
      </c>
      <c r="J27" s="806">
        <f t="shared" si="6"/>
        <v>0</v>
      </c>
      <c r="K27" s="806">
        <f t="shared" si="7"/>
        <v>0</v>
      </c>
      <c r="L27" s="806" t="str">
        <f t="shared" si="8"/>
        <v>\</v>
      </c>
      <c r="M27" s="806">
        <f t="shared" si="9"/>
        <v>94</v>
      </c>
      <c r="N27" s="806">
        <f t="shared" si="10"/>
        <v>0</v>
      </c>
      <c r="O27" s="806">
        <f t="shared" si="11"/>
        <v>0</v>
      </c>
      <c r="P27" s="806">
        <f t="shared" si="12"/>
        <v>0</v>
      </c>
      <c r="Q27" s="806">
        <f t="shared" si="13"/>
        <v>0</v>
      </c>
      <c r="R27" s="806">
        <f t="shared" si="14"/>
        <v>0</v>
      </c>
      <c r="T27" s="813" t="b">
        <f t="shared" si="18"/>
        <v>1</v>
      </c>
      <c r="U27" s="813" t="b">
        <f t="shared" si="18"/>
        <v>1</v>
      </c>
      <c r="V27" s="813" t="b">
        <f t="shared" si="18"/>
        <v>1</v>
      </c>
      <c r="W27" s="813" t="b">
        <f t="shared" si="18"/>
        <v>1</v>
      </c>
      <c r="X27" s="813" t="b">
        <f t="shared" si="18"/>
        <v>1</v>
      </c>
      <c r="Y27" s="813" t="b">
        <f t="shared" si="18"/>
        <v>0</v>
      </c>
      <c r="Z27" s="813" t="b">
        <f t="shared" si="18"/>
        <v>1</v>
      </c>
      <c r="AA27" s="813" t="b">
        <f t="shared" si="18"/>
        <v>1</v>
      </c>
      <c r="AB27" s="813" t="b">
        <f t="shared" si="18"/>
        <v>1</v>
      </c>
      <c r="AC27" s="813" t="b">
        <f t="shared" si="18"/>
        <v>1</v>
      </c>
      <c r="AD27" s="813" t="b">
        <f t="shared" si="18"/>
        <v>1</v>
      </c>
      <c r="AE27" s="813" t="b">
        <f t="shared" si="18"/>
        <v>1</v>
      </c>
      <c r="AF27" s="830" t="str">
        <f t="shared" si="19"/>
        <v/>
      </c>
      <c r="AG27" s="831" t="str">
        <f t="shared" si="20"/>
        <v/>
      </c>
      <c r="AH27" s="831" t="str">
        <f t="shared" si="21"/>
        <v/>
      </c>
      <c r="AI27" s="831" t="str">
        <f t="shared" si="22"/>
        <v/>
      </c>
      <c r="AJ27" s="831" t="str">
        <f t="shared" si="23"/>
        <v/>
      </c>
      <c r="AK27" s="831">
        <f t="shared" si="24"/>
        <v>1</v>
      </c>
      <c r="AL27" s="831" t="str">
        <f t="shared" si="25"/>
        <v/>
      </c>
      <c r="AM27" s="831" t="str">
        <f t="shared" si="26"/>
        <v/>
      </c>
      <c r="AN27" s="831" t="str">
        <f t="shared" si="27"/>
        <v/>
      </c>
      <c r="AO27" s="831" t="str">
        <f t="shared" si="28"/>
        <v/>
      </c>
      <c r="AP27" s="831" t="str">
        <f t="shared" si="29"/>
        <v/>
      </c>
      <c r="AQ27" s="832" t="str">
        <f t="shared" si="30"/>
        <v/>
      </c>
    </row>
    <row r="28" spans="1:43" s="804" customFormat="1">
      <c r="A28" s="823">
        <f t="shared" si="31"/>
        <v>0</v>
      </c>
      <c r="B28" s="783" t="s">
        <v>445</v>
      </c>
      <c r="C28" s="783" t="str">
        <f t="shared" ref="C28:C51" si="32">IFERROR(VLOOKUP($B28,RLMLXD,2,0),"")</f>
        <v>Muối axit Phosphoric (1)
磷酸鹽</v>
      </c>
      <c r="D28" s="783" t="str">
        <f t="shared" ref="D28:D51" si="33">IFERROR(VLOOKUP($B28,RLMLXD,43,0),"")</f>
        <v>CR-000E</v>
      </c>
      <c r="E28" s="783" t="str">
        <f t="shared" ref="E28:E51" si="34">IFERROR(VLOOKUP($B28,RLMLXD,4,0),"")</f>
        <v>0C</v>
      </c>
      <c r="F28" s="783" t="str">
        <f t="shared" ref="F28:F51" si="35">IFERROR(VLOOKUP($B28,RLMLXD,5,0),"")</f>
        <v>65~85OC</v>
      </c>
      <c r="G28" s="808">
        <f t="shared" ref="G28:G51" si="36">IFERROR(VLOOKUP($B28,RLMLXD,8,0),"")</f>
        <v>0</v>
      </c>
      <c r="H28" s="808">
        <f t="shared" ref="H28:H51" si="37">IFERROR(VLOOKUP($B28,RLMLXD,11,0),"")</f>
        <v>0</v>
      </c>
      <c r="I28" s="808">
        <f t="shared" ref="I28:I51" si="38">IFERROR(VLOOKUP($B28,RLMLXD,14,0),"")</f>
        <v>0</v>
      </c>
      <c r="J28" s="808">
        <f t="shared" ref="J28:J51" si="39">IFERROR(VLOOKUP($B28,RLMLXD,17,0),"")</f>
        <v>0</v>
      </c>
      <c r="K28" s="808">
        <f t="shared" ref="K28:K51" si="40">IFERROR(VLOOKUP($B28,RLMLXD,20,0),"")</f>
        <v>0</v>
      </c>
      <c r="L28" s="808">
        <f t="shared" ref="L28:L51" si="41">IFERROR(VLOOKUP($B28,RLMLXD,23,0),"")</f>
        <v>0</v>
      </c>
      <c r="M28" s="808">
        <f t="shared" ref="M28:M51" si="42">IFERROR(VLOOKUP($B28,RLMLXD,26,0),"")</f>
        <v>0</v>
      </c>
      <c r="N28" s="808">
        <f t="shared" ref="N28:N51" si="43">IFERROR(VLOOKUP($B28,RLMLXD,29,0),"")</f>
        <v>0</v>
      </c>
      <c r="O28" s="808">
        <f t="shared" ref="O28:O51" si="44">IFERROR(VLOOKUP($B28,RLMLXD,32,0),"")</f>
        <v>0</v>
      </c>
      <c r="P28" s="808">
        <f t="shared" ref="P28:P51" si="45">IFERROR(VLOOKUP($B28,RLMLXD,35,0),"")</f>
        <v>0</v>
      </c>
      <c r="Q28" s="808">
        <f t="shared" ref="Q28:Q51" si="46">IFERROR(VLOOKUP($B28,RLMLXD,38,0),"")</f>
        <v>0</v>
      </c>
      <c r="R28" s="808">
        <f t="shared" ref="R28:R51" si="47">IFERROR(VLOOKUP($B28,RLMLXD,41,0),"")</f>
        <v>0</v>
      </c>
      <c r="T28" s="813" t="b">
        <f t="shared" si="18"/>
        <v>1</v>
      </c>
      <c r="U28" s="813" t="b">
        <f t="shared" si="18"/>
        <v>1</v>
      </c>
      <c r="V28" s="813" t="b">
        <f t="shared" si="18"/>
        <v>1</v>
      </c>
      <c r="W28" s="813" t="b">
        <f t="shared" si="18"/>
        <v>1</v>
      </c>
      <c r="X28" s="813" t="b">
        <f t="shared" si="18"/>
        <v>1</v>
      </c>
      <c r="Y28" s="813" t="b">
        <f t="shared" si="18"/>
        <v>1</v>
      </c>
      <c r="Z28" s="813" t="b">
        <f t="shared" si="18"/>
        <v>1</v>
      </c>
      <c r="AA28" s="813" t="b">
        <f t="shared" si="18"/>
        <v>1</v>
      </c>
      <c r="AB28" s="813" t="b">
        <f t="shared" si="18"/>
        <v>1</v>
      </c>
      <c r="AC28" s="813" t="b">
        <f t="shared" si="18"/>
        <v>1</v>
      </c>
      <c r="AD28" s="813" t="b">
        <f t="shared" si="18"/>
        <v>1</v>
      </c>
      <c r="AE28" s="813" t="b">
        <f t="shared" si="18"/>
        <v>1</v>
      </c>
      <c r="AF28" s="830" t="str">
        <f t="shared" si="19"/>
        <v/>
      </c>
      <c r="AG28" s="831" t="str">
        <f t="shared" si="20"/>
        <v/>
      </c>
      <c r="AH28" s="831" t="str">
        <f t="shared" si="21"/>
        <v/>
      </c>
      <c r="AI28" s="831" t="str">
        <f t="shared" si="22"/>
        <v/>
      </c>
      <c r="AJ28" s="831" t="str">
        <f t="shared" si="23"/>
        <v/>
      </c>
      <c r="AK28" s="831" t="str">
        <f t="shared" si="24"/>
        <v/>
      </c>
      <c r="AL28" s="831" t="str">
        <f t="shared" si="25"/>
        <v/>
      </c>
      <c r="AM28" s="831" t="str">
        <f t="shared" si="26"/>
        <v/>
      </c>
      <c r="AN28" s="831" t="str">
        <f t="shared" si="27"/>
        <v/>
      </c>
      <c r="AO28" s="831" t="str">
        <f t="shared" si="28"/>
        <v/>
      </c>
      <c r="AP28" s="831" t="str">
        <f t="shared" si="29"/>
        <v/>
      </c>
      <c r="AQ28" s="832" t="str">
        <f t="shared" si="30"/>
        <v/>
      </c>
    </row>
    <row r="29" spans="1:43">
      <c r="A29" s="823">
        <f t="shared" si="31"/>
        <v>0</v>
      </c>
      <c r="B29" s="327" t="s">
        <v>447</v>
      </c>
      <c r="C29" s="327" t="str">
        <f t="shared" si="32"/>
        <v>Muối axit Phosphoric (2)
磷酸鹽</v>
      </c>
      <c r="D29" s="327" t="str">
        <f t="shared" si="33"/>
        <v>CR-000E</v>
      </c>
      <c r="E29" s="327" t="str">
        <f t="shared" si="34"/>
        <v>0C</v>
      </c>
      <c r="F29" s="327" t="str">
        <f t="shared" si="35"/>
        <v>65~85OC</v>
      </c>
      <c r="G29" s="806">
        <f t="shared" si="36"/>
        <v>0</v>
      </c>
      <c r="H29" s="806">
        <f t="shared" si="37"/>
        <v>0</v>
      </c>
      <c r="I29" s="806">
        <f t="shared" si="38"/>
        <v>0</v>
      </c>
      <c r="J29" s="806">
        <f t="shared" si="39"/>
        <v>0</v>
      </c>
      <c r="K29" s="806">
        <f t="shared" si="40"/>
        <v>0</v>
      </c>
      <c r="L29" s="806">
        <f t="shared" si="41"/>
        <v>0</v>
      </c>
      <c r="M29" s="806">
        <f t="shared" si="42"/>
        <v>0</v>
      </c>
      <c r="N29" s="806">
        <f t="shared" si="43"/>
        <v>0</v>
      </c>
      <c r="O29" s="806">
        <f t="shared" si="44"/>
        <v>0</v>
      </c>
      <c r="P29" s="806">
        <f t="shared" si="45"/>
        <v>0</v>
      </c>
      <c r="Q29" s="806">
        <f t="shared" si="46"/>
        <v>0</v>
      </c>
      <c r="R29" s="806">
        <f t="shared" si="47"/>
        <v>0</v>
      </c>
      <c r="T29" s="813" t="b">
        <f t="shared" si="18"/>
        <v>1</v>
      </c>
      <c r="U29" s="813" t="b">
        <f t="shared" si="18"/>
        <v>1</v>
      </c>
      <c r="V29" s="813" t="b">
        <f t="shared" si="18"/>
        <v>1</v>
      </c>
      <c r="W29" s="813" t="b">
        <f t="shared" si="18"/>
        <v>1</v>
      </c>
      <c r="X29" s="813" t="b">
        <f t="shared" si="18"/>
        <v>1</v>
      </c>
      <c r="Y29" s="813" t="b">
        <f t="shared" si="18"/>
        <v>1</v>
      </c>
      <c r="Z29" s="813" t="b">
        <f t="shared" si="18"/>
        <v>1</v>
      </c>
      <c r="AA29" s="813" t="b">
        <f t="shared" si="18"/>
        <v>1</v>
      </c>
      <c r="AB29" s="813" t="b">
        <f t="shared" si="18"/>
        <v>1</v>
      </c>
      <c r="AC29" s="813" t="b">
        <f t="shared" si="18"/>
        <v>1</v>
      </c>
      <c r="AD29" s="813" t="b">
        <f t="shared" si="18"/>
        <v>1</v>
      </c>
      <c r="AE29" s="813" t="b">
        <f t="shared" si="18"/>
        <v>1</v>
      </c>
      <c r="AF29" s="830" t="str">
        <f t="shared" si="19"/>
        <v/>
      </c>
      <c r="AG29" s="831" t="str">
        <f t="shared" si="20"/>
        <v/>
      </c>
      <c r="AH29" s="831" t="str">
        <f t="shared" si="21"/>
        <v/>
      </c>
      <c r="AI29" s="831" t="str">
        <f t="shared" si="22"/>
        <v/>
      </c>
      <c r="AJ29" s="831" t="str">
        <f t="shared" si="23"/>
        <v/>
      </c>
      <c r="AK29" s="831" t="str">
        <f t="shared" si="24"/>
        <v/>
      </c>
      <c r="AL29" s="831" t="str">
        <f t="shared" si="25"/>
        <v/>
      </c>
      <c r="AM29" s="831" t="str">
        <f t="shared" si="26"/>
        <v/>
      </c>
      <c r="AN29" s="831" t="str">
        <f t="shared" si="27"/>
        <v/>
      </c>
      <c r="AO29" s="831" t="str">
        <f t="shared" si="28"/>
        <v/>
      </c>
      <c r="AP29" s="831" t="str">
        <f t="shared" si="29"/>
        <v/>
      </c>
      <c r="AQ29" s="832" t="str">
        <f t="shared" si="30"/>
        <v/>
      </c>
    </row>
    <row r="30" spans="1:43">
      <c r="A30" s="823">
        <f t="shared" si="31"/>
        <v>0</v>
      </c>
      <c r="B30" s="327" t="s">
        <v>449</v>
      </c>
      <c r="C30" s="327" t="str">
        <f t="shared" si="32"/>
        <v>Xà bông bôi trơn
潤滑皂</v>
      </c>
      <c r="D30" s="327" t="str">
        <f t="shared" si="33"/>
        <v>CR-000E</v>
      </c>
      <c r="E30" s="327" t="str">
        <f t="shared" si="34"/>
        <v>0C</v>
      </c>
      <c r="F30" s="327" t="str">
        <f t="shared" si="35"/>
        <v>80~90OC</v>
      </c>
      <c r="G30" s="806">
        <f t="shared" si="36"/>
        <v>0</v>
      </c>
      <c r="H30" s="806">
        <f t="shared" si="37"/>
        <v>0</v>
      </c>
      <c r="I30" s="806">
        <f t="shared" si="38"/>
        <v>0</v>
      </c>
      <c r="J30" s="806">
        <f t="shared" si="39"/>
        <v>0</v>
      </c>
      <c r="K30" s="806">
        <f t="shared" si="40"/>
        <v>0</v>
      </c>
      <c r="L30" s="806">
        <f t="shared" si="41"/>
        <v>0</v>
      </c>
      <c r="M30" s="806">
        <f t="shared" si="42"/>
        <v>0</v>
      </c>
      <c r="N30" s="806">
        <f t="shared" si="43"/>
        <v>0</v>
      </c>
      <c r="O30" s="806">
        <f t="shared" si="44"/>
        <v>0</v>
      </c>
      <c r="P30" s="806">
        <f t="shared" si="45"/>
        <v>0</v>
      </c>
      <c r="Q30" s="806">
        <f t="shared" si="46"/>
        <v>0</v>
      </c>
      <c r="R30" s="806">
        <f t="shared" si="47"/>
        <v>0</v>
      </c>
      <c r="T30" s="813" t="b">
        <f t="shared" si="18"/>
        <v>1</v>
      </c>
      <c r="U30" s="813" t="b">
        <f t="shared" si="18"/>
        <v>1</v>
      </c>
      <c r="V30" s="813" t="b">
        <f t="shared" si="18"/>
        <v>1</v>
      </c>
      <c r="W30" s="813" t="b">
        <f t="shared" si="18"/>
        <v>1</v>
      </c>
      <c r="X30" s="813" t="b">
        <f t="shared" si="18"/>
        <v>1</v>
      </c>
      <c r="Y30" s="813" t="b">
        <f t="shared" si="18"/>
        <v>1</v>
      </c>
      <c r="Z30" s="813" t="b">
        <f t="shared" si="18"/>
        <v>1</v>
      </c>
      <c r="AA30" s="813" t="b">
        <f t="shared" si="18"/>
        <v>1</v>
      </c>
      <c r="AB30" s="813" t="b">
        <f t="shared" si="18"/>
        <v>1</v>
      </c>
      <c r="AC30" s="813" t="b">
        <f t="shared" si="18"/>
        <v>1</v>
      </c>
      <c r="AD30" s="813" t="b">
        <f t="shared" si="18"/>
        <v>1</v>
      </c>
      <c r="AE30" s="813" t="b">
        <f t="shared" si="18"/>
        <v>1</v>
      </c>
      <c r="AF30" s="830" t="str">
        <f t="shared" si="19"/>
        <v/>
      </c>
      <c r="AG30" s="831" t="str">
        <f t="shared" si="20"/>
        <v/>
      </c>
      <c r="AH30" s="831" t="str">
        <f t="shared" si="21"/>
        <v/>
      </c>
      <c r="AI30" s="831" t="str">
        <f t="shared" si="22"/>
        <v/>
      </c>
      <c r="AJ30" s="831" t="str">
        <f t="shared" si="23"/>
        <v/>
      </c>
      <c r="AK30" s="831" t="str">
        <f t="shared" si="24"/>
        <v/>
      </c>
      <c r="AL30" s="831" t="str">
        <f t="shared" si="25"/>
        <v/>
      </c>
      <c r="AM30" s="831" t="str">
        <f t="shared" si="26"/>
        <v/>
      </c>
      <c r="AN30" s="831" t="str">
        <f t="shared" si="27"/>
        <v/>
      </c>
      <c r="AO30" s="831" t="str">
        <f t="shared" si="28"/>
        <v/>
      </c>
      <c r="AP30" s="831" t="str">
        <f t="shared" si="29"/>
        <v/>
      </c>
      <c r="AQ30" s="832" t="str">
        <f t="shared" si="30"/>
        <v/>
      </c>
    </row>
    <row r="31" spans="1:43">
      <c r="A31" s="823">
        <f t="shared" si="31"/>
        <v>0</v>
      </c>
      <c r="B31" s="327" t="s">
        <v>454</v>
      </c>
      <c r="C31" s="327" t="str">
        <f t="shared" si="32"/>
        <v/>
      </c>
      <c r="D31" s="327" t="str">
        <f t="shared" si="33"/>
        <v/>
      </c>
      <c r="E31" s="327" t="str">
        <f t="shared" si="34"/>
        <v/>
      </c>
      <c r="F31" s="327" t="str">
        <f t="shared" si="35"/>
        <v/>
      </c>
      <c r="G31" s="806" t="str">
        <f t="shared" si="36"/>
        <v/>
      </c>
      <c r="H31" s="806" t="str">
        <f t="shared" si="37"/>
        <v/>
      </c>
      <c r="I31" s="806" t="str">
        <f t="shared" si="38"/>
        <v/>
      </c>
      <c r="J31" s="806" t="str">
        <f t="shared" si="39"/>
        <v/>
      </c>
      <c r="K31" s="806" t="str">
        <f t="shared" si="40"/>
        <v/>
      </c>
      <c r="L31" s="806" t="str">
        <f t="shared" si="41"/>
        <v/>
      </c>
      <c r="M31" s="806" t="str">
        <f t="shared" si="42"/>
        <v/>
      </c>
      <c r="N31" s="806" t="str">
        <f t="shared" si="43"/>
        <v/>
      </c>
      <c r="O31" s="806" t="str">
        <f t="shared" si="44"/>
        <v/>
      </c>
      <c r="P31" s="806" t="str">
        <f t="shared" si="45"/>
        <v/>
      </c>
      <c r="Q31" s="806" t="str">
        <f t="shared" si="46"/>
        <v/>
      </c>
      <c r="R31" s="806" t="str">
        <f t="shared" si="47"/>
        <v/>
      </c>
      <c r="T31" s="813" t="b">
        <f t="shared" si="18"/>
        <v>0</v>
      </c>
      <c r="U31" s="813" t="b">
        <f t="shared" si="18"/>
        <v>0</v>
      </c>
      <c r="V31" s="813" t="b">
        <f t="shared" si="18"/>
        <v>0</v>
      </c>
      <c r="W31" s="813" t="b">
        <f t="shared" si="18"/>
        <v>0</v>
      </c>
      <c r="X31" s="813" t="b">
        <f t="shared" si="18"/>
        <v>0</v>
      </c>
      <c r="Y31" s="813" t="b">
        <f t="shared" si="18"/>
        <v>0</v>
      </c>
      <c r="Z31" s="813" t="b">
        <f t="shared" si="18"/>
        <v>0</v>
      </c>
      <c r="AA31" s="813" t="b">
        <f t="shared" si="18"/>
        <v>0</v>
      </c>
      <c r="AB31" s="813" t="b">
        <f t="shared" si="18"/>
        <v>0</v>
      </c>
      <c r="AC31" s="813" t="b">
        <f t="shared" si="18"/>
        <v>0</v>
      </c>
      <c r="AD31" s="813" t="b">
        <f t="shared" si="18"/>
        <v>0</v>
      </c>
      <c r="AE31" s="813" t="b">
        <f t="shared" si="18"/>
        <v>0</v>
      </c>
      <c r="AF31" s="830">
        <f t="shared" si="19"/>
        <v>1</v>
      </c>
      <c r="AG31" s="831">
        <f t="shared" si="20"/>
        <v>1</v>
      </c>
      <c r="AH31" s="831">
        <f t="shared" si="21"/>
        <v>1</v>
      </c>
      <c r="AI31" s="831">
        <f t="shared" si="22"/>
        <v>1</v>
      </c>
      <c r="AJ31" s="831">
        <f t="shared" si="23"/>
        <v>1</v>
      </c>
      <c r="AK31" s="831">
        <f t="shared" si="24"/>
        <v>1</v>
      </c>
      <c r="AL31" s="831">
        <f t="shared" si="25"/>
        <v>1</v>
      </c>
      <c r="AM31" s="831">
        <f t="shared" si="26"/>
        <v>1</v>
      </c>
      <c r="AN31" s="831">
        <f t="shared" si="27"/>
        <v>1</v>
      </c>
      <c r="AO31" s="831">
        <f t="shared" si="28"/>
        <v>1</v>
      </c>
      <c r="AP31" s="831">
        <f t="shared" si="29"/>
        <v>1</v>
      </c>
      <c r="AQ31" s="832">
        <f t="shared" si="30"/>
        <v>1</v>
      </c>
    </row>
    <row r="32" spans="1:43">
      <c r="A32" s="823">
        <f t="shared" si="31"/>
        <v>0</v>
      </c>
      <c r="B32" s="327" t="s">
        <v>456</v>
      </c>
      <c r="C32" s="327" t="str">
        <f t="shared" si="32"/>
        <v/>
      </c>
      <c r="D32" s="327" t="str">
        <f t="shared" si="33"/>
        <v/>
      </c>
      <c r="E32" s="327" t="str">
        <f t="shared" si="34"/>
        <v/>
      </c>
      <c r="F32" s="327" t="str">
        <f t="shared" si="35"/>
        <v/>
      </c>
      <c r="G32" s="806" t="str">
        <f t="shared" si="36"/>
        <v/>
      </c>
      <c r="H32" s="806" t="str">
        <f t="shared" si="37"/>
        <v/>
      </c>
      <c r="I32" s="806" t="str">
        <f t="shared" si="38"/>
        <v/>
      </c>
      <c r="J32" s="806" t="str">
        <f t="shared" si="39"/>
        <v/>
      </c>
      <c r="K32" s="806" t="str">
        <f t="shared" si="40"/>
        <v/>
      </c>
      <c r="L32" s="806" t="str">
        <f t="shared" si="41"/>
        <v/>
      </c>
      <c r="M32" s="806" t="str">
        <f t="shared" si="42"/>
        <v/>
      </c>
      <c r="N32" s="806" t="str">
        <f t="shared" si="43"/>
        <v/>
      </c>
      <c r="O32" s="806" t="str">
        <f t="shared" si="44"/>
        <v/>
      </c>
      <c r="P32" s="806" t="str">
        <f t="shared" si="45"/>
        <v/>
      </c>
      <c r="Q32" s="806" t="str">
        <f t="shared" si="46"/>
        <v/>
      </c>
      <c r="R32" s="806" t="str">
        <f t="shared" si="47"/>
        <v/>
      </c>
      <c r="T32" s="813" t="b">
        <f t="shared" si="18"/>
        <v>0</v>
      </c>
      <c r="U32" s="813" t="b">
        <f t="shared" si="18"/>
        <v>0</v>
      </c>
      <c r="V32" s="813" t="b">
        <f t="shared" si="18"/>
        <v>0</v>
      </c>
      <c r="W32" s="813" t="b">
        <f t="shared" si="18"/>
        <v>0</v>
      </c>
      <c r="X32" s="813" t="b">
        <f t="shared" si="18"/>
        <v>0</v>
      </c>
      <c r="Y32" s="813" t="b">
        <f t="shared" si="18"/>
        <v>0</v>
      </c>
      <c r="Z32" s="813" t="b">
        <f t="shared" si="18"/>
        <v>0</v>
      </c>
      <c r="AA32" s="813" t="b">
        <f t="shared" si="18"/>
        <v>0</v>
      </c>
      <c r="AB32" s="813" t="b">
        <f t="shared" si="18"/>
        <v>0</v>
      </c>
      <c r="AC32" s="813" t="b">
        <f t="shared" si="18"/>
        <v>0</v>
      </c>
      <c r="AD32" s="813" t="b">
        <f t="shared" si="18"/>
        <v>0</v>
      </c>
      <c r="AE32" s="813" t="b">
        <f t="shared" si="18"/>
        <v>0</v>
      </c>
      <c r="AF32" s="830">
        <f t="shared" si="19"/>
        <v>1</v>
      </c>
      <c r="AG32" s="831">
        <f t="shared" si="20"/>
        <v>1</v>
      </c>
      <c r="AH32" s="831">
        <f t="shared" si="21"/>
        <v>1</v>
      </c>
      <c r="AI32" s="831">
        <f t="shared" si="22"/>
        <v>1</v>
      </c>
      <c r="AJ32" s="831">
        <f t="shared" si="23"/>
        <v>1</v>
      </c>
      <c r="AK32" s="831">
        <f t="shared" si="24"/>
        <v>1</v>
      </c>
      <c r="AL32" s="831">
        <f t="shared" si="25"/>
        <v>1</v>
      </c>
      <c r="AM32" s="831">
        <f t="shared" si="26"/>
        <v>1</v>
      </c>
      <c r="AN32" s="831">
        <f t="shared" si="27"/>
        <v>1</v>
      </c>
      <c r="AO32" s="831">
        <f t="shared" si="28"/>
        <v>1</v>
      </c>
      <c r="AP32" s="831">
        <f t="shared" si="29"/>
        <v>1</v>
      </c>
      <c r="AQ32" s="832">
        <f t="shared" si="30"/>
        <v>1</v>
      </c>
    </row>
    <row r="33" spans="1:43">
      <c r="A33" s="823">
        <f t="shared" si="31"/>
        <v>0</v>
      </c>
      <c r="B33" s="327" t="s">
        <v>469</v>
      </c>
      <c r="C33" s="327" t="str">
        <f t="shared" si="32"/>
        <v/>
      </c>
      <c r="D33" s="327" t="str">
        <f t="shared" si="33"/>
        <v/>
      </c>
      <c r="E33" s="327" t="str">
        <f t="shared" si="34"/>
        <v/>
      </c>
      <c r="F33" s="327" t="str">
        <f t="shared" si="35"/>
        <v/>
      </c>
      <c r="G33" s="806" t="str">
        <f t="shared" si="36"/>
        <v/>
      </c>
      <c r="H33" s="806" t="str">
        <f t="shared" si="37"/>
        <v/>
      </c>
      <c r="I33" s="806" t="str">
        <f t="shared" si="38"/>
        <v/>
      </c>
      <c r="J33" s="806" t="str">
        <f t="shared" si="39"/>
        <v/>
      </c>
      <c r="K33" s="806" t="str">
        <f t="shared" si="40"/>
        <v/>
      </c>
      <c r="L33" s="806" t="str">
        <f t="shared" si="41"/>
        <v/>
      </c>
      <c r="M33" s="806" t="str">
        <f t="shared" si="42"/>
        <v/>
      </c>
      <c r="N33" s="806" t="str">
        <f t="shared" si="43"/>
        <v/>
      </c>
      <c r="O33" s="806" t="str">
        <f t="shared" si="44"/>
        <v/>
      </c>
      <c r="P33" s="806" t="str">
        <f t="shared" si="45"/>
        <v/>
      </c>
      <c r="Q33" s="806" t="str">
        <f t="shared" si="46"/>
        <v/>
      </c>
      <c r="R33" s="806" t="str">
        <f t="shared" si="47"/>
        <v/>
      </c>
      <c r="T33" s="813" t="b">
        <f t="shared" si="18"/>
        <v>0</v>
      </c>
      <c r="U33" s="813" t="b">
        <f t="shared" si="18"/>
        <v>0</v>
      </c>
      <c r="V33" s="813" t="b">
        <f t="shared" si="18"/>
        <v>0</v>
      </c>
      <c r="W33" s="813" t="b">
        <f t="shared" si="18"/>
        <v>0</v>
      </c>
      <c r="X33" s="813" t="b">
        <f t="shared" si="18"/>
        <v>0</v>
      </c>
      <c r="Y33" s="813" t="b">
        <f t="shared" si="18"/>
        <v>0</v>
      </c>
      <c r="Z33" s="813" t="b">
        <f t="shared" si="18"/>
        <v>0</v>
      </c>
      <c r="AA33" s="813" t="b">
        <f t="shared" si="18"/>
        <v>0</v>
      </c>
      <c r="AB33" s="813" t="b">
        <f t="shared" si="18"/>
        <v>0</v>
      </c>
      <c r="AC33" s="813" t="b">
        <f t="shared" si="18"/>
        <v>0</v>
      </c>
      <c r="AD33" s="813" t="b">
        <f t="shared" si="18"/>
        <v>0</v>
      </c>
      <c r="AE33" s="813" t="b">
        <f t="shared" si="18"/>
        <v>0</v>
      </c>
      <c r="AF33" s="830">
        <f t="shared" si="19"/>
        <v>1</v>
      </c>
      <c r="AG33" s="831">
        <f t="shared" si="20"/>
        <v>1</v>
      </c>
      <c r="AH33" s="831">
        <f t="shared" si="21"/>
        <v>1</v>
      </c>
      <c r="AI33" s="831">
        <f t="shared" si="22"/>
        <v>1</v>
      </c>
      <c r="AJ33" s="831">
        <f t="shared" si="23"/>
        <v>1</v>
      </c>
      <c r="AK33" s="831">
        <f t="shared" si="24"/>
        <v>1</v>
      </c>
      <c r="AL33" s="831">
        <f t="shared" si="25"/>
        <v>1</v>
      </c>
      <c r="AM33" s="831">
        <f t="shared" si="26"/>
        <v>1</v>
      </c>
      <c r="AN33" s="831">
        <f t="shared" si="27"/>
        <v>1</v>
      </c>
      <c r="AO33" s="831">
        <f t="shared" si="28"/>
        <v>1</v>
      </c>
      <c r="AP33" s="831">
        <f t="shared" si="29"/>
        <v>1</v>
      </c>
      <c r="AQ33" s="832">
        <f t="shared" si="30"/>
        <v>1</v>
      </c>
    </row>
    <row r="34" spans="1:43">
      <c r="A34" s="823">
        <f t="shared" si="31"/>
        <v>0</v>
      </c>
      <c r="B34" s="327" t="s">
        <v>470</v>
      </c>
      <c r="C34" s="327" t="str">
        <f t="shared" si="32"/>
        <v/>
      </c>
      <c r="D34" s="327" t="str">
        <f t="shared" si="33"/>
        <v/>
      </c>
      <c r="E34" s="327" t="str">
        <f t="shared" si="34"/>
        <v/>
      </c>
      <c r="F34" s="327" t="str">
        <f t="shared" si="35"/>
        <v/>
      </c>
      <c r="G34" s="806" t="str">
        <f t="shared" si="36"/>
        <v/>
      </c>
      <c r="H34" s="806" t="str">
        <f t="shared" si="37"/>
        <v/>
      </c>
      <c r="I34" s="806" t="str">
        <f t="shared" si="38"/>
        <v/>
      </c>
      <c r="J34" s="806" t="str">
        <f t="shared" si="39"/>
        <v/>
      </c>
      <c r="K34" s="806" t="str">
        <f t="shared" si="40"/>
        <v/>
      </c>
      <c r="L34" s="806" t="str">
        <f t="shared" si="41"/>
        <v/>
      </c>
      <c r="M34" s="806" t="str">
        <f t="shared" si="42"/>
        <v/>
      </c>
      <c r="N34" s="806" t="str">
        <f t="shared" si="43"/>
        <v/>
      </c>
      <c r="O34" s="806" t="str">
        <f t="shared" si="44"/>
        <v/>
      </c>
      <c r="P34" s="806" t="str">
        <f t="shared" si="45"/>
        <v/>
      </c>
      <c r="Q34" s="806" t="str">
        <f t="shared" si="46"/>
        <v/>
      </c>
      <c r="R34" s="806" t="str">
        <f t="shared" si="47"/>
        <v/>
      </c>
      <c r="T34" s="813" t="b">
        <f t="shared" si="18"/>
        <v>0</v>
      </c>
      <c r="U34" s="813" t="b">
        <f t="shared" si="18"/>
        <v>0</v>
      </c>
      <c r="V34" s="813" t="b">
        <f t="shared" si="18"/>
        <v>0</v>
      </c>
      <c r="W34" s="813" t="b">
        <f t="shared" si="18"/>
        <v>0</v>
      </c>
      <c r="X34" s="813" t="b">
        <f t="shared" si="18"/>
        <v>0</v>
      </c>
      <c r="Y34" s="813" t="b">
        <f t="shared" si="18"/>
        <v>0</v>
      </c>
      <c r="Z34" s="813" t="b">
        <f t="shared" si="18"/>
        <v>0</v>
      </c>
      <c r="AA34" s="813" t="b">
        <f t="shared" si="18"/>
        <v>0</v>
      </c>
      <c r="AB34" s="813" t="b">
        <f t="shared" si="18"/>
        <v>0</v>
      </c>
      <c r="AC34" s="813" t="b">
        <f t="shared" si="18"/>
        <v>0</v>
      </c>
      <c r="AD34" s="813" t="b">
        <f t="shared" si="18"/>
        <v>0</v>
      </c>
      <c r="AE34" s="813" t="b">
        <f t="shared" si="18"/>
        <v>0</v>
      </c>
      <c r="AF34" s="830">
        <f t="shared" si="19"/>
        <v>1</v>
      </c>
      <c r="AG34" s="831">
        <f t="shared" si="20"/>
        <v>1</v>
      </c>
      <c r="AH34" s="831">
        <f t="shared" si="21"/>
        <v>1</v>
      </c>
      <c r="AI34" s="831">
        <f t="shared" si="22"/>
        <v>1</v>
      </c>
      <c r="AJ34" s="831">
        <f t="shared" si="23"/>
        <v>1</v>
      </c>
      <c r="AK34" s="831">
        <f t="shared" si="24"/>
        <v>1</v>
      </c>
      <c r="AL34" s="831">
        <f t="shared" si="25"/>
        <v>1</v>
      </c>
      <c r="AM34" s="831">
        <f t="shared" si="26"/>
        <v>1</v>
      </c>
      <c r="AN34" s="831">
        <f t="shared" si="27"/>
        <v>1</v>
      </c>
      <c r="AO34" s="831">
        <f t="shared" si="28"/>
        <v>1</v>
      </c>
      <c r="AP34" s="831">
        <f t="shared" si="29"/>
        <v>1</v>
      </c>
      <c r="AQ34" s="832">
        <f t="shared" si="30"/>
        <v>1</v>
      </c>
    </row>
    <row r="35" spans="1:43">
      <c r="A35" s="823">
        <f t="shared" si="31"/>
        <v>0</v>
      </c>
      <c r="B35" s="327" t="s">
        <v>471</v>
      </c>
      <c r="C35" s="327" t="str">
        <f t="shared" si="32"/>
        <v/>
      </c>
      <c r="D35" s="327" t="str">
        <f t="shared" si="33"/>
        <v/>
      </c>
      <c r="E35" s="327" t="str">
        <f t="shared" si="34"/>
        <v/>
      </c>
      <c r="F35" s="327" t="str">
        <f t="shared" si="35"/>
        <v/>
      </c>
      <c r="G35" s="806" t="str">
        <f t="shared" si="36"/>
        <v/>
      </c>
      <c r="H35" s="806" t="str">
        <f t="shared" si="37"/>
        <v/>
      </c>
      <c r="I35" s="806" t="str">
        <f t="shared" si="38"/>
        <v/>
      </c>
      <c r="J35" s="806" t="str">
        <f t="shared" si="39"/>
        <v/>
      </c>
      <c r="K35" s="806" t="str">
        <f t="shared" si="40"/>
        <v/>
      </c>
      <c r="L35" s="806" t="str">
        <f t="shared" si="41"/>
        <v/>
      </c>
      <c r="M35" s="806" t="str">
        <f t="shared" si="42"/>
        <v/>
      </c>
      <c r="N35" s="806" t="str">
        <f t="shared" si="43"/>
        <v/>
      </c>
      <c r="O35" s="806" t="str">
        <f t="shared" si="44"/>
        <v/>
      </c>
      <c r="P35" s="806" t="str">
        <f t="shared" si="45"/>
        <v/>
      </c>
      <c r="Q35" s="806" t="str">
        <f t="shared" si="46"/>
        <v/>
      </c>
      <c r="R35" s="806" t="str">
        <f t="shared" si="47"/>
        <v/>
      </c>
      <c r="T35" s="813" t="b">
        <f t="shared" si="18"/>
        <v>0</v>
      </c>
      <c r="U35" s="813" t="b">
        <f t="shared" si="18"/>
        <v>0</v>
      </c>
      <c r="V35" s="813" t="b">
        <f t="shared" si="18"/>
        <v>0</v>
      </c>
      <c r="W35" s="813" t="b">
        <f t="shared" si="18"/>
        <v>0</v>
      </c>
      <c r="X35" s="813" t="b">
        <f t="shared" si="18"/>
        <v>0</v>
      </c>
      <c r="Y35" s="813" t="b">
        <f t="shared" si="18"/>
        <v>0</v>
      </c>
      <c r="Z35" s="813" t="b">
        <f t="shared" si="18"/>
        <v>0</v>
      </c>
      <c r="AA35" s="813" t="b">
        <f t="shared" si="18"/>
        <v>0</v>
      </c>
      <c r="AB35" s="813" t="b">
        <f t="shared" si="18"/>
        <v>0</v>
      </c>
      <c r="AC35" s="813" t="b">
        <f t="shared" si="18"/>
        <v>0</v>
      </c>
      <c r="AD35" s="813" t="b">
        <f t="shared" si="18"/>
        <v>0</v>
      </c>
      <c r="AE35" s="813" t="b">
        <f t="shared" si="18"/>
        <v>0</v>
      </c>
      <c r="AF35" s="830">
        <f t="shared" si="19"/>
        <v>1</v>
      </c>
      <c r="AG35" s="831">
        <f t="shared" si="20"/>
        <v>1</v>
      </c>
      <c r="AH35" s="831">
        <f t="shared" si="21"/>
        <v>1</v>
      </c>
      <c r="AI35" s="831">
        <f t="shared" si="22"/>
        <v>1</v>
      </c>
      <c r="AJ35" s="831">
        <f t="shared" si="23"/>
        <v>1</v>
      </c>
      <c r="AK35" s="831">
        <f t="shared" si="24"/>
        <v>1</v>
      </c>
      <c r="AL35" s="831">
        <f t="shared" si="25"/>
        <v>1</v>
      </c>
      <c r="AM35" s="831">
        <f t="shared" si="26"/>
        <v>1</v>
      </c>
      <c r="AN35" s="831">
        <f t="shared" si="27"/>
        <v>1</v>
      </c>
      <c r="AO35" s="831">
        <f t="shared" si="28"/>
        <v>1</v>
      </c>
      <c r="AP35" s="831">
        <f t="shared" si="29"/>
        <v>1</v>
      </c>
      <c r="AQ35" s="832">
        <f t="shared" si="30"/>
        <v>1</v>
      </c>
    </row>
    <row r="36" spans="1:43">
      <c r="A36" s="823">
        <f t="shared" si="31"/>
        <v>0</v>
      </c>
      <c r="B36" s="327" t="s">
        <v>507</v>
      </c>
      <c r="C36" s="327" t="str">
        <f t="shared" si="32"/>
        <v>Xà bông 1
預脫脂</v>
      </c>
      <c r="D36" s="327" t="str">
        <f t="shared" si="33"/>
        <v>XD-000A</v>
      </c>
      <c r="E36" s="327" t="str">
        <f t="shared" si="34"/>
        <v>0C</v>
      </c>
      <c r="F36" s="327" t="str">
        <f t="shared" si="35"/>
        <v>51~59OC
(55OC)</v>
      </c>
      <c r="G36" s="806">
        <f t="shared" si="36"/>
        <v>56</v>
      </c>
      <c r="H36" s="806">
        <f t="shared" si="37"/>
        <v>59</v>
      </c>
      <c r="I36" s="806">
        <f t="shared" si="38"/>
        <v>58</v>
      </c>
      <c r="J36" s="806">
        <f t="shared" si="39"/>
        <v>60</v>
      </c>
      <c r="K36" s="806">
        <f t="shared" si="40"/>
        <v>0</v>
      </c>
      <c r="L36" s="806">
        <f t="shared" si="41"/>
        <v>0</v>
      </c>
      <c r="M36" s="806">
        <f t="shared" si="42"/>
        <v>0</v>
      </c>
      <c r="N36" s="806">
        <f t="shared" si="43"/>
        <v>0</v>
      </c>
      <c r="O36" s="806">
        <f t="shared" si="44"/>
        <v>0</v>
      </c>
      <c r="P36" s="806">
        <f t="shared" si="45"/>
        <v>0</v>
      </c>
      <c r="Q36" s="806">
        <f t="shared" si="46"/>
        <v>0</v>
      </c>
      <c r="R36" s="806">
        <f t="shared" si="47"/>
        <v>0</v>
      </c>
      <c r="T36" s="813" t="b">
        <f t="shared" si="18"/>
        <v>1</v>
      </c>
      <c r="U36" s="813" t="b">
        <f t="shared" si="18"/>
        <v>1</v>
      </c>
      <c r="V36" s="813" t="b">
        <f t="shared" si="18"/>
        <v>1</v>
      </c>
      <c r="W36" s="813" t="b">
        <f t="shared" si="18"/>
        <v>1</v>
      </c>
      <c r="X36" s="813" t="b">
        <f t="shared" si="18"/>
        <v>1</v>
      </c>
      <c r="Y36" s="813" t="b">
        <f t="shared" si="18"/>
        <v>1</v>
      </c>
      <c r="Z36" s="813" t="b">
        <f t="shared" si="18"/>
        <v>1</v>
      </c>
      <c r="AA36" s="813" t="b">
        <f t="shared" si="18"/>
        <v>1</v>
      </c>
      <c r="AB36" s="813" t="b">
        <f t="shared" si="18"/>
        <v>1</v>
      </c>
      <c r="AC36" s="813" t="b">
        <f t="shared" si="18"/>
        <v>1</v>
      </c>
      <c r="AD36" s="813" t="b">
        <f t="shared" si="18"/>
        <v>1</v>
      </c>
      <c r="AE36" s="813" t="b">
        <f t="shared" si="18"/>
        <v>1</v>
      </c>
      <c r="AF36" s="830" t="str">
        <f t="shared" si="19"/>
        <v/>
      </c>
      <c r="AG36" s="831" t="str">
        <f t="shared" si="20"/>
        <v/>
      </c>
      <c r="AH36" s="831" t="str">
        <f t="shared" si="21"/>
        <v/>
      </c>
      <c r="AI36" s="831" t="str">
        <f t="shared" si="22"/>
        <v/>
      </c>
      <c r="AJ36" s="831" t="str">
        <f t="shared" si="23"/>
        <v/>
      </c>
      <c r="AK36" s="831" t="str">
        <f t="shared" si="24"/>
        <v/>
      </c>
      <c r="AL36" s="831" t="str">
        <f t="shared" si="25"/>
        <v/>
      </c>
      <c r="AM36" s="831" t="str">
        <f t="shared" si="26"/>
        <v/>
      </c>
      <c r="AN36" s="831" t="str">
        <f t="shared" si="27"/>
        <v/>
      </c>
      <c r="AO36" s="831" t="str">
        <f t="shared" si="28"/>
        <v/>
      </c>
      <c r="AP36" s="831" t="str">
        <f t="shared" si="29"/>
        <v/>
      </c>
      <c r="AQ36" s="832" t="str">
        <f t="shared" si="30"/>
        <v/>
      </c>
    </row>
    <row r="37" spans="1:43">
      <c r="A37" s="823">
        <f t="shared" si="31"/>
        <v>0</v>
      </c>
      <c r="B37" s="327" t="s">
        <v>509</v>
      </c>
      <c r="C37" s="327" t="str">
        <f t="shared" si="32"/>
        <v>Xà bông 2
主脫脂</v>
      </c>
      <c r="D37" s="327" t="str">
        <f t="shared" si="33"/>
        <v>XD-000A</v>
      </c>
      <c r="E37" s="327" t="str">
        <f t="shared" si="34"/>
        <v>0C</v>
      </c>
      <c r="F37" s="327" t="str">
        <f t="shared" si="35"/>
        <v>51~59OC
(55OC)</v>
      </c>
      <c r="G37" s="806">
        <f t="shared" si="36"/>
        <v>61</v>
      </c>
      <c r="H37" s="806">
        <f t="shared" si="37"/>
        <v>59</v>
      </c>
      <c r="I37" s="806">
        <f t="shared" si="38"/>
        <v>61</v>
      </c>
      <c r="J37" s="806">
        <f t="shared" si="39"/>
        <v>59</v>
      </c>
      <c r="K37" s="806">
        <f t="shared" si="40"/>
        <v>0</v>
      </c>
      <c r="L37" s="806">
        <f t="shared" si="41"/>
        <v>0</v>
      </c>
      <c r="M37" s="806">
        <f t="shared" si="42"/>
        <v>0</v>
      </c>
      <c r="N37" s="806">
        <f t="shared" si="43"/>
        <v>0</v>
      </c>
      <c r="O37" s="806">
        <f t="shared" si="44"/>
        <v>0</v>
      </c>
      <c r="P37" s="806">
        <f t="shared" si="45"/>
        <v>0</v>
      </c>
      <c r="Q37" s="806">
        <f t="shared" si="46"/>
        <v>0</v>
      </c>
      <c r="R37" s="806">
        <f t="shared" si="47"/>
        <v>0</v>
      </c>
      <c r="T37" s="813" t="b">
        <f t="shared" si="18"/>
        <v>1</v>
      </c>
      <c r="U37" s="813" t="b">
        <f t="shared" si="18"/>
        <v>1</v>
      </c>
      <c r="V37" s="813" t="b">
        <f t="shared" si="18"/>
        <v>1</v>
      </c>
      <c r="W37" s="813" t="b">
        <f t="shared" si="18"/>
        <v>1</v>
      </c>
      <c r="X37" s="813" t="b">
        <f t="shared" si="18"/>
        <v>1</v>
      </c>
      <c r="Y37" s="813" t="b">
        <f t="shared" si="18"/>
        <v>1</v>
      </c>
      <c r="Z37" s="813" t="b">
        <f t="shared" si="18"/>
        <v>1</v>
      </c>
      <c r="AA37" s="813" t="b">
        <f t="shared" si="18"/>
        <v>1</v>
      </c>
      <c r="AB37" s="813" t="b">
        <f t="shared" si="18"/>
        <v>1</v>
      </c>
      <c r="AC37" s="813" t="b">
        <f t="shared" si="18"/>
        <v>1</v>
      </c>
      <c r="AD37" s="813" t="b">
        <f t="shared" si="18"/>
        <v>1</v>
      </c>
      <c r="AE37" s="813" t="b">
        <f t="shared" si="18"/>
        <v>1</v>
      </c>
      <c r="AF37" s="830" t="str">
        <f t="shared" si="19"/>
        <v/>
      </c>
      <c r="AG37" s="831" t="str">
        <f t="shared" si="20"/>
        <v/>
      </c>
      <c r="AH37" s="831" t="str">
        <f t="shared" si="21"/>
        <v/>
      </c>
      <c r="AI37" s="831" t="str">
        <f t="shared" si="22"/>
        <v/>
      </c>
      <c r="AJ37" s="831" t="str">
        <f t="shared" si="23"/>
        <v/>
      </c>
      <c r="AK37" s="831" t="str">
        <f t="shared" si="24"/>
        <v/>
      </c>
      <c r="AL37" s="831" t="str">
        <f t="shared" si="25"/>
        <v/>
      </c>
      <c r="AM37" s="831" t="str">
        <f t="shared" si="26"/>
        <v/>
      </c>
      <c r="AN37" s="831" t="str">
        <f t="shared" si="27"/>
        <v/>
      </c>
      <c r="AO37" s="831" t="str">
        <f t="shared" si="28"/>
        <v/>
      </c>
      <c r="AP37" s="831" t="str">
        <f t="shared" si="29"/>
        <v/>
      </c>
      <c r="AQ37" s="832" t="str">
        <f t="shared" si="30"/>
        <v/>
      </c>
    </row>
    <row r="38" spans="1:43">
      <c r="A38" s="823">
        <f t="shared" si="31"/>
        <v>0</v>
      </c>
      <c r="B38" s="327" t="s">
        <v>510</v>
      </c>
      <c r="C38" s="327" t="str">
        <f t="shared" si="32"/>
        <v xml:space="preserve">Xà bông siêu âm
超音波脫脂
</v>
      </c>
      <c r="D38" s="327" t="str">
        <f t="shared" si="33"/>
        <v>XD-000A</v>
      </c>
      <c r="E38" s="327" t="str">
        <f t="shared" si="34"/>
        <v>0C</v>
      </c>
      <c r="F38" s="327" t="str">
        <f t="shared" si="35"/>
        <v>51~59OC
(55OC)</v>
      </c>
      <c r="G38" s="806">
        <f t="shared" si="36"/>
        <v>58</v>
      </c>
      <c r="H38" s="806">
        <f t="shared" si="37"/>
        <v>59</v>
      </c>
      <c r="I38" s="806">
        <f t="shared" si="38"/>
        <v>58</v>
      </c>
      <c r="J38" s="806">
        <f t="shared" si="39"/>
        <v>59</v>
      </c>
      <c r="K38" s="806">
        <f t="shared" si="40"/>
        <v>0</v>
      </c>
      <c r="L38" s="806">
        <f t="shared" si="41"/>
        <v>0</v>
      </c>
      <c r="M38" s="806">
        <f t="shared" si="42"/>
        <v>0</v>
      </c>
      <c r="N38" s="806">
        <f t="shared" si="43"/>
        <v>0</v>
      </c>
      <c r="O38" s="806">
        <f t="shared" si="44"/>
        <v>0</v>
      </c>
      <c r="P38" s="806">
        <f t="shared" si="45"/>
        <v>0</v>
      </c>
      <c r="Q38" s="806">
        <f t="shared" si="46"/>
        <v>0</v>
      </c>
      <c r="R38" s="806">
        <f t="shared" si="47"/>
        <v>0</v>
      </c>
      <c r="T38" s="813" t="b">
        <f t="shared" si="18"/>
        <v>1</v>
      </c>
      <c r="U38" s="813" t="b">
        <f t="shared" si="18"/>
        <v>1</v>
      </c>
      <c r="V38" s="813" t="b">
        <f t="shared" si="18"/>
        <v>1</v>
      </c>
      <c r="W38" s="813" t="b">
        <f t="shared" si="18"/>
        <v>1</v>
      </c>
      <c r="X38" s="813" t="b">
        <f t="shared" si="18"/>
        <v>1</v>
      </c>
      <c r="Y38" s="813" t="b">
        <f t="shared" si="18"/>
        <v>1</v>
      </c>
      <c r="Z38" s="813" t="b">
        <f t="shared" si="18"/>
        <v>1</v>
      </c>
      <c r="AA38" s="813" t="b">
        <f t="shared" si="18"/>
        <v>1</v>
      </c>
      <c r="AB38" s="813" t="b">
        <f t="shared" si="18"/>
        <v>1</v>
      </c>
      <c r="AC38" s="813" t="b">
        <f t="shared" si="18"/>
        <v>1</v>
      </c>
      <c r="AD38" s="813" t="b">
        <f t="shared" si="18"/>
        <v>1</v>
      </c>
      <c r="AE38" s="813" t="b">
        <f t="shared" si="18"/>
        <v>1</v>
      </c>
      <c r="AF38" s="830" t="str">
        <f t="shared" si="19"/>
        <v/>
      </c>
      <c r="AG38" s="831" t="str">
        <f t="shared" si="20"/>
        <v/>
      </c>
      <c r="AH38" s="831" t="str">
        <f t="shared" si="21"/>
        <v/>
      </c>
      <c r="AI38" s="831" t="str">
        <f t="shared" si="22"/>
        <v/>
      </c>
      <c r="AJ38" s="831" t="str">
        <f t="shared" si="23"/>
        <v/>
      </c>
      <c r="AK38" s="831" t="str">
        <f t="shared" si="24"/>
        <v/>
      </c>
      <c r="AL38" s="831" t="str">
        <f t="shared" si="25"/>
        <v/>
      </c>
      <c r="AM38" s="831" t="str">
        <f t="shared" si="26"/>
        <v/>
      </c>
      <c r="AN38" s="831" t="str">
        <f t="shared" si="27"/>
        <v/>
      </c>
      <c r="AO38" s="831" t="str">
        <f t="shared" si="28"/>
        <v/>
      </c>
      <c r="AP38" s="831" t="str">
        <f t="shared" si="29"/>
        <v/>
      </c>
      <c r="AQ38" s="832" t="str">
        <f t="shared" si="30"/>
        <v/>
      </c>
    </row>
    <row r="39" spans="1:43">
      <c r="A39" s="823">
        <f t="shared" si="31"/>
        <v>0</v>
      </c>
      <c r="B39" s="327" t="s">
        <v>511</v>
      </c>
      <c r="C39" s="327" t="str">
        <f t="shared" si="32"/>
        <v>phosphat    
磷化處理</v>
      </c>
      <c r="D39" s="327" t="str">
        <f t="shared" si="33"/>
        <v>XD-000A</v>
      </c>
      <c r="E39" s="327" t="str">
        <f t="shared" si="34"/>
        <v>0C</v>
      </c>
      <c r="F39" s="327" t="str">
        <f t="shared" si="35"/>
        <v>30~40OC
(35OC)</v>
      </c>
      <c r="G39" s="806">
        <f t="shared" si="36"/>
        <v>40</v>
      </c>
      <c r="H39" s="806">
        <f t="shared" si="37"/>
        <v>38</v>
      </c>
      <c r="I39" s="806">
        <f t="shared" si="38"/>
        <v>42</v>
      </c>
      <c r="J39" s="806">
        <f t="shared" si="39"/>
        <v>41</v>
      </c>
      <c r="K39" s="806">
        <f t="shared" si="40"/>
        <v>0</v>
      </c>
      <c r="L39" s="806">
        <f t="shared" si="41"/>
        <v>0</v>
      </c>
      <c r="M39" s="806">
        <f t="shared" si="42"/>
        <v>0</v>
      </c>
      <c r="N39" s="806">
        <f t="shared" si="43"/>
        <v>0</v>
      </c>
      <c r="O39" s="806">
        <f t="shared" si="44"/>
        <v>0</v>
      </c>
      <c r="P39" s="806">
        <f t="shared" si="45"/>
        <v>0</v>
      </c>
      <c r="Q39" s="806">
        <f t="shared" si="46"/>
        <v>0</v>
      </c>
      <c r="R39" s="806">
        <f t="shared" si="47"/>
        <v>0</v>
      </c>
      <c r="T39" s="813" t="b">
        <f t="shared" si="18"/>
        <v>1</v>
      </c>
      <c r="U39" s="813" t="b">
        <f t="shared" si="18"/>
        <v>1</v>
      </c>
      <c r="V39" s="813" t="b">
        <f t="shared" si="18"/>
        <v>1</v>
      </c>
      <c r="W39" s="813" t="b">
        <f t="shared" si="18"/>
        <v>1</v>
      </c>
      <c r="X39" s="813" t="b">
        <f t="shared" si="18"/>
        <v>1</v>
      </c>
      <c r="Y39" s="813" t="b">
        <f t="shared" si="18"/>
        <v>1</v>
      </c>
      <c r="Z39" s="813" t="b">
        <f t="shared" si="18"/>
        <v>1</v>
      </c>
      <c r="AA39" s="813" t="b">
        <f t="shared" si="18"/>
        <v>1</v>
      </c>
      <c r="AB39" s="813" t="b">
        <f t="shared" si="18"/>
        <v>1</v>
      </c>
      <c r="AC39" s="813" t="b">
        <f t="shared" si="18"/>
        <v>1</v>
      </c>
      <c r="AD39" s="813" t="b">
        <f t="shared" si="18"/>
        <v>1</v>
      </c>
      <c r="AE39" s="813" t="b">
        <f t="shared" si="18"/>
        <v>1</v>
      </c>
      <c r="AF39" s="830" t="str">
        <f t="shared" si="19"/>
        <v/>
      </c>
      <c r="AG39" s="831" t="str">
        <f t="shared" si="20"/>
        <v/>
      </c>
      <c r="AH39" s="831" t="str">
        <f t="shared" si="21"/>
        <v/>
      </c>
      <c r="AI39" s="831" t="str">
        <f t="shared" si="22"/>
        <v/>
      </c>
      <c r="AJ39" s="831" t="str">
        <f t="shared" si="23"/>
        <v/>
      </c>
      <c r="AK39" s="831" t="str">
        <f t="shared" si="24"/>
        <v/>
      </c>
      <c r="AL39" s="831" t="str">
        <f t="shared" si="25"/>
        <v/>
      </c>
      <c r="AM39" s="831" t="str">
        <f t="shared" si="26"/>
        <v/>
      </c>
      <c r="AN39" s="831" t="str">
        <f t="shared" si="27"/>
        <v/>
      </c>
      <c r="AO39" s="831" t="str">
        <f t="shared" si="28"/>
        <v/>
      </c>
      <c r="AP39" s="831" t="str">
        <f t="shared" si="29"/>
        <v/>
      </c>
      <c r="AQ39" s="832" t="str">
        <f t="shared" si="30"/>
        <v/>
      </c>
    </row>
    <row r="40" spans="1:43">
      <c r="A40" s="823">
        <f t="shared" si="31"/>
        <v>0</v>
      </c>
      <c r="B40" s="327" t="s">
        <v>514</v>
      </c>
      <c r="C40" s="327" t="str">
        <f t="shared" si="32"/>
        <v>ED電泳 
ED Bồn sơn tĩnh điện  1</v>
      </c>
      <c r="D40" s="327" t="str">
        <f t="shared" si="33"/>
        <v>XD-000A</v>
      </c>
      <c r="E40" s="327" t="str">
        <f t="shared" si="34"/>
        <v>0C</v>
      </c>
      <c r="F40" s="327" t="str">
        <f t="shared" si="35"/>
        <v>26~32OC
(29OC)</v>
      </c>
      <c r="G40" s="806">
        <f t="shared" si="36"/>
        <v>30</v>
      </c>
      <c r="H40" s="806">
        <f t="shared" si="37"/>
        <v>26</v>
      </c>
      <c r="I40" s="806">
        <f t="shared" si="38"/>
        <v>29</v>
      </c>
      <c r="J40" s="806">
        <f t="shared" si="39"/>
        <v>25</v>
      </c>
      <c r="K40" s="806">
        <f t="shared" si="40"/>
        <v>0</v>
      </c>
      <c r="L40" s="806">
        <f t="shared" si="41"/>
        <v>0</v>
      </c>
      <c r="M40" s="806">
        <f t="shared" si="42"/>
        <v>0</v>
      </c>
      <c r="N40" s="806">
        <f t="shared" si="43"/>
        <v>0</v>
      </c>
      <c r="O40" s="806">
        <f t="shared" si="44"/>
        <v>0</v>
      </c>
      <c r="P40" s="806">
        <f t="shared" si="45"/>
        <v>0</v>
      </c>
      <c r="Q40" s="806">
        <f t="shared" si="46"/>
        <v>0</v>
      </c>
      <c r="R40" s="806">
        <f t="shared" si="47"/>
        <v>0</v>
      </c>
      <c r="T40" s="813" t="b">
        <f t="shared" ref="T40:AE51" si="48">ISNUMBER(G40)</f>
        <v>1</v>
      </c>
      <c r="U40" s="813" t="b">
        <f t="shared" si="48"/>
        <v>1</v>
      </c>
      <c r="V40" s="813" t="b">
        <f t="shared" si="48"/>
        <v>1</v>
      </c>
      <c r="W40" s="813" t="b">
        <f t="shared" si="48"/>
        <v>1</v>
      </c>
      <c r="X40" s="813" t="b">
        <f t="shared" si="48"/>
        <v>1</v>
      </c>
      <c r="Y40" s="813" t="b">
        <f t="shared" si="48"/>
        <v>1</v>
      </c>
      <c r="Z40" s="813" t="b">
        <f t="shared" si="48"/>
        <v>1</v>
      </c>
      <c r="AA40" s="813" t="b">
        <f t="shared" si="48"/>
        <v>1</v>
      </c>
      <c r="AB40" s="813" t="b">
        <f t="shared" si="48"/>
        <v>1</v>
      </c>
      <c r="AC40" s="813" t="b">
        <f t="shared" si="48"/>
        <v>1</v>
      </c>
      <c r="AD40" s="813" t="b">
        <f t="shared" si="48"/>
        <v>1</v>
      </c>
      <c r="AE40" s="813" t="b">
        <f t="shared" si="48"/>
        <v>1</v>
      </c>
      <c r="AF40" s="830" t="str">
        <f t="shared" si="19"/>
        <v/>
      </c>
      <c r="AG40" s="831" t="str">
        <f t="shared" si="20"/>
        <v/>
      </c>
      <c r="AH40" s="831" t="str">
        <f t="shared" si="21"/>
        <v/>
      </c>
      <c r="AI40" s="831" t="str">
        <f t="shared" si="22"/>
        <v/>
      </c>
      <c r="AJ40" s="831" t="str">
        <f t="shared" si="23"/>
        <v/>
      </c>
      <c r="AK40" s="831" t="str">
        <f t="shared" si="24"/>
        <v/>
      </c>
      <c r="AL40" s="831" t="str">
        <f t="shared" si="25"/>
        <v/>
      </c>
      <c r="AM40" s="831" t="str">
        <f t="shared" si="26"/>
        <v/>
      </c>
      <c r="AN40" s="831" t="str">
        <f t="shared" si="27"/>
        <v/>
      </c>
      <c r="AO40" s="831" t="str">
        <f t="shared" si="28"/>
        <v/>
      </c>
      <c r="AP40" s="831" t="str">
        <f t="shared" si="29"/>
        <v/>
      </c>
      <c r="AQ40" s="832" t="str">
        <f t="shared" si="30"/>
        <v/>
      </c>
    </row>
    <row r="41" spans="1:43">
      <c r="A41" s="823">
        <f t="shared" ref="A41:A51" si="49">IF(B41="","",$A$4)</f>
        <v>0</v>
      </c>
      <c r="B41" s="327" t="s">
        <v>519</v>
      </c>
      <c r="C41" s="327" t="str">
        <f t="shared" si="32"/>
        <v xml:space="preserve">sấy khô  烘乾 </v>
      </c>
      <c r="D41" s="327" t="str">
        <f t="shared" si="33"/>
        <v>XD-000A</v>
      </c>
      <c r="E41" s="327" t="str">
        <f t="shared" si="34"/>
        <v>0C</v>
      </c>
      <c r="F41" s="327" t="str">
        <f t="shared" si="35"/>
        <v>170~220℃ 
(195OC)</v>
      </c>
      <c r="G41" s="806">
        <f t="shared" si="36"/>
        <v>0</v>
      </c>
      <c r="H41" s="806">
        <f t="shared" si="37"/>
        <v>171</v>
      </c>
      <c r="I41" s="806">
        <f t="shared" si="38"/>
        <v>0</v>
      </c>
      <c r="J41" s="806">
        <f t="shared" si="39"/>
        <v>178</v>
      </c>
      <c r="K41" s="806">
        <f t="shared" si="40"/>
        <v>0</v>
      </c>
      <c r="L41" s="806">
        <f t="shared" si="41"/>
        <v>0</v>
      </c>
      <c r="M41" s="806">
        <f t="shared" si="42"/>
        <v>0</v>
      </c>
      <c r="N41" s="806">
        <f t="shared" si="43"/>
        <v>0</v>
      </c>
      <c r="O41" s="806">
        <f t="shared" si="44"/>
        <v>0</v>
      </c>
      <c r="P41" s="806">
        <f t="shared" si="45"/>
        <v>0</v>
      </c>
      <c r="Q41" s="806">
        <f t="shared" si="46"/>
        <v>0</v>
      </c>
      <c r="R41" s="806">
        <f t="shared" si="47"/>
        <v>0</v>
      </c>
      <c r="T41" s="813" t="b">
        <f t="shared" si="48"/>
        <v>1</v>
      </c>
      <c r="U41" s="813" t="b">
        <f t="shared" si="48"/>
        <v>1</v>
      </c>
      <c r="V41" s="813" t="b">
        <f t="shared" si="48"/>
        <v>1</v>
      </c>
      <c r="W41" s="813" t="b">
        <f t="shared" si="48"/>
        <v>1</v>
      </c>
      <c r="X41" s="813" t="b">
        <f t="shared" si="48"/>
        <v>1</v>
      </c>
      <c r="Y41" s="813" t="b">
        <f t="shared" si="48"/>
        <v>1</v>
      </c>
      <c r="Z41" s="813" t="b">
        <f t="shared" si="48"/>
        <v>1</v>
      </c>
      <c r="AA41" s="813" t="b">
        <f t="shared" si="48"/>
        <v>1</v>
      </c>
      <c r="AB41" s="813" t="b">
        <f t="shared" si="48"/>
        <v>1</v>
      </c>
      <c r="AC41" s="813" t="b">
        <f t="shared" si="48"/>
        <v>1</v>
      </c>
      <c r="AD41" s="813" t="b">
        <f t="shared" si="48"/>
        <v>1</v>
      </c>
      <c r="AE41" s="813" t="b">
        <f t="shared" si="48"/>
        <v>1</v>
      </c>
      <c r="AF41" s="830" t="str">
        <f t="shared" si="19"/>
        <v/>
      </c>
      <c r="AG41" s="831" t="str">
        <f t="shared" si="20"/>
        <v/>
      </c>
      <c r="AH41" s="831" t="str">
        <f t="shared" si="21"/>
        <v/>
      </c>
      <c r="AI41" s="831" t="str">
        <f t="shared" si="22"/>
        <v/>
      </c>
      <c r="AJ41" s="831" t="str">
        <f t="shared" si="23"/>
        <v/>
      </c>
      <c r="AK41" s="831" t="str">
        <f t="shared" si="24"/>
        <v/>
      </c>
      <c r="AL41" s="831" t="str">
        <f t="shared" si="25"/>
        <v/>
      </c>
      <c r="AM41" s="831" t="str">
        <f t="shared" si="26"/>
        <v/>
      </c>
      <c r="AN41" s="831" t="str">
        <f t="shared" si="27"/>
        <v/>
      </c>
      <c r="AO41" s="831" t="str">
        <f t="shared" si="28"/>
        <v/>
      </c>
      <c r="AP41" s="831" t="str">
        <f t="shared" si="29"/>
        <v/>
      </c>
      <c r="AQ41" s="832" t="str">
        <f t="shared" si="30"/>
        <v/>
      </c>
    </row>
    <row r="42" spans="1:43">
      <c r="A42" s="823">
        <f t="shared" si="49"/>
        <v>0</v>
      </c>
      <c r="B42" s="327" t="s">
        <v>556</v>
      </c>
      <c r="C42" s="327" t="str">
        <f t="shared" si="32"/>
        <v>熱脫脂 Xà bông 1</v>
      </c>
      <c r="D42" s="327" t="str">
        <f t="shared" si="33"/>
        <v>DC-000A</v>
      </c>
      <c r="E42" s="327" t="str">
        <f t="shared" si="34"/>
        <v>0C</v>
      </c>
      <c r="F42" s="327" t="str">
        <f t="shared" si="35"/>
        <v>45~65ºC
(55±8oC)</v>
      </c>
      <c r="G42" s="806">
        <f t="shared" si="36"/>
        <v>61</v>
      </c>
      <c r="H42" s="806">
        <f t="shared" si="37"/>
        <v>64</v>
      </c>
      <c r="I42" s="806">
        <f t="shared" si="38"/>
        <v>61</v>
      </c>
      <c r="J42" s="806">
        <f t="shared" si="39"/>
        <v>63</v>
      </c>
      <c r="K42" s="806">
        <f t="shared" si="40"/>
        <v>0</v>
      </c>
      <c r="L42" s="806">
        <f t="shared" si="41"/>
        <v>0</v>
      </c>
      <c r="M42" s="806">
        <f t="shared" si="42"/>
        <v>0</v>
      </c>
      <c r="N42" s="806">
        <f t="shared" si="43"/>
        <v>0</v>
      </c>
      <c r="O42" s="806">
        <f t="shared" si="44"/>
        <v>0</v>
      </c>
      <c r="P42" s="806">
        <f t="shared" si="45"/>
        <v>0</v>
      </c>
      <c r="Q42" s="806">
        <f t="shared" si="46"/>
        <v>0</v>
      </c>
      <c r="R42" s="806">
        <f t="shared" si="47"/>
        <v>0</v>
      </c>
      <c r="T42" s="813" t="b">
        <f t="shared" si="48"/>
        <v>1</v>
      </c>
      <c r="U42" s="813" t="b">
        <f t="shared" si="48"/>
        <v>1</v>
      </c>
      <c r="V42" s="813" t="b">
        <f t="shared" si="48"/>
        <v>1</v>
      </c>
      <c r="W42" s="813" t="b">
        <f t="shared" si="48"/>
        <v>1</v>
      </c>
      <c r="X42" s="813" t="b">
        <f t="shared" si="48"/>
        <v>1</v>
      </c>
      <c r="Y42" s="813" t="b">
        <f t="shared" si="48"/>
        <v>1</v>
      </c>
      <c r="Z42" s="813" t="b">
        <f t="shared" si="48"/>
        <v>1</v>
      </c>
      <c r="AA42" s="813" t="b">
        <f t="shared" si="48"/>
        <v>1</v>
      </c>
      <c r="AB42" s="813" t="b">
        <f t="shared" si="48"/>
        <v>1</v>
      </c>
      <c r="AC42" s="813" t="b">
        <f t="shared" si="48"/>
        <v>1</v>
      </c>
      <c r="AD42" s="813" t="b">
        <f t="shared" si="48"/>
        <v>1</v>
      </c>
      <c r="AE42" s="813" t="b">
        <f t="shared" si="48"/>
        <v>1</v>
      </c>
      <c r="AF42" s="830" t="str">
        <f t="shared" si="19"/>
        <v/>
      </c>
      <c r="AG42" s="831" t="str">
        <f t="shared" si="20"/>
        <v/>
      </c>
      <c r="AH42" s="831" t="str">
        <f t="shared" si="21"/>
        <v/>
      </c>
      <c r="AI42" s="831" t="str">
        <f t="shared" si="22"/>
        <v/>
      </c>
      <c r="AJ42" s="831" t="str">
        <f t="shared" si="23"/>
        <v/>
      </c>
      <c r="AK42" s="831" t="str">
        <f t="shared" si="24"/>
        <v/>
      </c>
      <c r="AL42" s="831" t="str">
        <f t="shared" si="25"/>
        <v/>
      </c>
      <c r="AM42" s="831" t="str">
        <f t="shared" si="26"/>
        <v/>
      </c>
      <c r="AN42" s="831" t="str">
        <f t="shared" si="27"/>
        <v/>
      </c>
      <c r="AO42" s="831" t="str">
        <f t="shared" si="28"/>
        <v/>
      </c>
      <c r="AP42" s="831" t="str">
        <f t="shared" si="29"/>
        <v/>
      </c>
      <c r="AQ42" s="832" t="str">
        <f t="shared" si="30"/>
        <v/>
      </c>
    </row>
    <row r="43" spans="1:43">
      <c r="A43" s="823">
        <f t="shared" si="49"/>
        <v>0</v>
      </c>
      <c r="B43" s="327" t="s">
        <v>557</v>
      </c>
      <c r="C43" s="327" t="str">
        <f t="shared" si="32"/>
        <v>熱脫脂Xà bôngg 2</v>
      </c>
      <c r="D43" s="327" t="str">
        <f t="shared" si="33"/>
        <v>DC-000A</v>
      </c>
      <c r="E43" s="327" t="str">
        <f t="shared" si="34"/>
        <v>0C</v>
      </c>
      <c r="F43" s="327" t="str">
        <f t="shared" si="35"/>
        <v>45~65ºC
(55±8oC)</v>
      </c>
      <c r="G43" s="806">
        <f t="shared" si="36"/>
        <v>65</v>
      </c>
      <c r="H43" s="806">
        <f t="shared" si="37"/>
        <v>64</v>
      </c>
      <c r="I43" s="806">
        <f t="shared" si="38"/>
        <v>65</v>
      </c>
      <c r="J43" s="806">
        <f t="shared" si="39"/>
        <v>63</v>
      </c>
      <c r="K43" s="806">
        <f t="shared" si="40"/>
        <v>0</v>
      </c>
      <c r="L43" s="806">
        <f t="shared" si="41"/>
        <v>0</v>
      </c>
      <c r="M43" s="806">
        <f t="shared" si="42"/>
        <v>0</v>
      </c>
      <c r="N43" s="806">
        <f t="shared" si="43"/>
        <v>0</v>
      </c>
      <c r="O43" s="806">
        <f t="shared" si="44"/>
        <v>0</v>
      </c>
      <c r="P43" s="806">
        <f t="shared" si="45"/>
        <v>0</v>
      </c>
      <c r="Q43" s="806">
        <f t="shared" si="46"/>
        <v>0</v>
      </c>
      <c r="R43" s="806">
        <f t="shared" si="47"/>
        <v>0</v>
      </c>
      <c r="T43" s="813" t="b">
        <f t="shared" si="48"/>
        <v>1</v>
      </c>
      <c r="U43" s="813" t="b">
        <f t="shared" si="48"/>
        <v>1</v>
      </c>
      <c r="V43" s="813" t="b">
        <f t="shared" si="48"/>
        <v>1</v>
      </c>
      <c r="W43" s="813" t="b">
        <f t="shared" si="48"/>
        <v>1</v>
      </c>
      <c r="X43" s="813" t="b">
        <f t="shared" si="48"/>
        <v>1</v>
      </c>
      <c r="Y43" s="813" t="b">
        <f t="shared" si="48"/>
        <v>1</v>
      </c>
      <c r="Z43" s="813" t="b">
        <f t="shared" si="48"/>
        <v>1</v>
      </c>
      <c r="AA43" s="813" t="b">
        <f t="shared" si="48"/>
        <v>1</v>
      </c>
      <c r="AB43" s="813" t="b">
        <f t="shared" si="48"/>
        <v>1</v>
      </c>
      <c r="AC43" s="813" t="b">
        <f t="shared" si="48"/>
        <v>1</v>
      </c>
      <c r="AD43" s="813" t="b">
        <f t="shared" si="48"/>
        <v>1</v>
      </c>
      <c r="AE43" s="813" t="b">
        <f t="shared" si="48"/>
        <v>1</v>
      </c>
      <c r="AF43" s="830" t="str">
        <f t="shared" si="19"/>
        <v/>
      </c>
      <c r="AG43" s="831" t="str">
        <f t="shared" si="20"/>
        <v/>
      </c>
      <c r="AH43" s="831" t="str">
        <f t="shared" si="21"/>
        <v/>
      </c>
      <c r="AI43" s="831" t="str">
        <f t="shared" si="22"/>
        <v/>
      </c>
      <c r="AJ43" s="831" t="str">
        <f t="shared" si="23"/>
        <v/>
      </c>
      <c r="AK43" s="831" t="str">
        <f t="shared" si="24"/>
        <v/>
      </c>
      <c r="AL43" s="831" t="str">
        <f t="shared" si="25"/>
        <v/>
      </c>
      <c r="AM43" s="831" t="str">
        <f t="shared" si="26"/>
        <v/>
      </c>
      <c r="AN43" s="831" t="str">
        <f t="shared" si="27"/>
        <v/>
      </c>
      <c r="AO43" s="831" t="str">
        <f t="shared" si="28"/>
        <v/>
      </c>
      <c r="AP43" s="831" t="str">
        <f t="shared" si="29"/>
        <v/>
      </c>
      <c r="AQ43" s="832" t="str">
        <f t="shared" si="30"/>
        <v/>
      </c>
    </row>
    <row r="44" spans="1:43">
      <c r="A44" s="823">
        <f t="shared" si="49"/>
        <v>0</v>
      </c>
      <c r="B44" s="327" t="s">
        <v>558</v>
      </c>
      <c r="C44" s="327" t="str">
        <f t="shared" si="32"/>
        <v>陽極處理槽 dương cực Al3+ (18)</v>
      </c>
      <c r="D44" s="327" t="str">
        <f t="shared" si="33"/>
        <v>DC-000A</v>
      </c>
      <c r="E44" s="327" t="str">
        <f t="shared" si="34"/>
        <v>0C</v>
      </c>
      <c r="F44" s="327" t="str">
        <f t="shared" si="35"/>
        <v>18~25ºC
(22±2oC)</v>
      </c>
      <c r="G44" s="806">
        <f t="shared" si="36"/>
        <v>24</v>
      </c>
      <c r="H44" s="806">
        <f t="shared" si="37"/>
        <v>22</v>
      </c>
      <c r="I44" s="806">
        <f t="shared" si="38"/>
        <v>25</v>
      </c>
      <c r="J44" s="806">
        <f t="shared" si="39"/>
        <v>23</v>
      </c>
      <c r="K44" s="806">
        <f t="shared" si="40"/>
        <v>0</v>
      </c>
      <c r="L44" s="806">
        <f t="shared" si="41"/>
        <v>0</v>
      </c>
      <c r="M44" s="806">
        <f t="shared" si="42"/>
        <v>0</v>
      </c>
      <c r="N44" s="806">
        <f t="shared" si="43"/>
        <v>0</v>
      </c>
      <c r="O44" s="806">
        <f t="shared" si="44"/>
        <v>0</v>
      </c>
      <c r="P44" s="806">
        <f t="shared" si="45"/>
        <v>0</v>
      </c>
      <c r="Q44" s="806">
        <f t="shared" si="46"/>
        <v>0</v>
      </c>
      <c r="R44" s="806">
        <f t="shared" si="47"/>
        <v>0</v>
      </c>
      <c r="T44" s="813" t="b">
        <f t="shared" si="48"/>
        <v>1</v>
      </c>
      <c r="U44" s="813" t="b">
        <f t="shared" si="48"/>
        <v>1</v>
      </c>
      <c r="V44" s="813" t="b">
        <f t="shared" si="48"/>
        <v>1</v>
      </c>
      <c r="W44" s="813" t="b">
        <f t="shared" si="48"/>
        <v>1</v>
      </c>
      <c r="X44" s="813" t="b">
        <f t="shared" si="48"/>
        <v>1</v>
      </c>
      <c r="Y44" s="813" t="b">
        <f t="shared" si="48"/>
        <v>1</v>
      </c>
      <c r="Z44" s="813" t="b">
        <f t="shared" si="48"/>
        <v>1</v>
      </c>
      <c r="AA44" s="813" t="b">
        <f t="shared" si="48"/>
        <v>1</v>
      </c>
      <c r="AB44" s="813" t="b">
        <f t="shared" si="48"/>
        <v>1</v>
      </c>
      <c r="AC44" s="813" t="b">
        <f t="shared" si="48"/>
        <v>1</v>
      </c>
      <c r="AD44" s="813" t="b">
        <f t="shared" si="48"/>
        <v>1</v>
      </c>
      <c r="AE44" s="813" t="b">
        <f t="shared" si="48"/>
        <v>1</v>
      </c>
      <c r="AF44" s="830" t="str">
        <f t="shared" si="19"/>
        <v/>
      </c>
      <c r="AG44" s="831" t="str">
        <f t="shared" si="20"/>
        <v/>
      </c>
      <c r="AH44" s="831" t="str">
        <f t="shared" si="21"/>
        <v/>
      </c>
      <c r="AI44" s="831" t="str">
        <f t="shared" si="22"/>
        <v/>
      </c>
      <c r="AJ44" s="831" t="str">
        <f t="shared" si="23"/>
        <v/>
      </c>
      <c r="AK44" s="831" t="str">
        <f t="shared" si="24"/>
        <v/>
      </c>
      <c r="AL44" s="831" t="str">
        <f t="shared" si="25"/>
        <v/>
      </c>
      <c r="AM44" s="831" t="str">
        <f t="shared" si="26"/>
        <v/>
      </c>
      <c r="AN44" s="831" t="str">
        <f t="shared" si="27"/>
        <v/>
      </c>
      <c r="AO44" s="831" t="str">
        <f t="shared" si="28"/>
        <v/>
      </c>
      <c r="AP44" s="831" t="str">
        <f t="shared" si="29"/>
        <v/>
      </c>
      <c r="AQ44" s="832" t="str">
        <f t="shared" si="30"/>
        <v/>
      </c>
    </row>
    <row r="45" spans="1:43">
      <c r="A45" s="823">
        <f t="shared" si="49"/>
        <v>0</v>
      </c>
      <c r="B45" s="327" t="s">
        <v>559</v>
      </c>
      <c r="C45" s="327" t="str">
        <f t="shared" si="32"/>
        <v>陽極處理槽 dương cực Al3+ (19)</v>
      </c>
      <c r="D45" s="327" t="str">
        <f t="shared" si="33"/>
        <v>DC-000A</v>
      </c>
      <c r="E45" s="327" t="str">
        <f t="shared" si="34"/>
        <v>0C</v>
      </c>
      <c r="F45" s="327" t="str">
        <f t="shared" si="35"/>
        <v>18~25ºC
(22±2oC)</v>
      </c>
      <c r="G45" s="806">
        <f t="shared" si="36"/>
        <v>26</v>
      </c>
      <c r="H45" s="806">
        <f t="shared" si="37"/>
        <v>24</v>
      </c>
      <c r="I45" s="806">
        <f t="shared" si="38"/>
        <v>26</v>
      </c>
      <c r="J45" s="806">
        <f t="shared" si="39"/>
        <v>25</v>
      </c>
      <c r="K45" s="806">
        <f t="shared" si="40"/>
        <v>0</v>
      </c>
      <c r="L45" s="806">
        <f t="shared" si="41"/>
        <v>0</v>
      </c>
      <c r="M45" s="806">
        <f t="shared" si="42"/>
        <v>0</v>
      </c>
      <c r="N45" s="806">
        <f t="shared" si="43"/>
        <v>0</v>
      </c>
      <c r="O45" s="806">
        <f t="shared" si="44"/>
        <v>0</v>
      </c>
      <c r="P45" s="806">
        <f t="shared" si="45"/>
        <v>0</v>
      </c>
      <c r="Q45" s="806">
        <f t="shared" si="46"/>
        <v>0</v>
      </c>
      <c r="R45" s="806">
        <f t="shared" si="47"/>
        <v>0</v>
      </c>
      <c r="T45" s="813" t="b">
        <f t="shared" si="48"/>
        <v>1</v>
      </c>
      <c r="U45" s="813" t="b">
        <f t="shared" si="48"/>
        <v>1</v>
      </c>
      <c r="V45" s="813" t="b">
        <f t="shared" si="48"/>
        <v>1</v>
      </c>
      <c r="W45" s="813" t="b">
        <f t="shared" si="48"/>
        <v>1</v>
      </c>
      <c r="X45" s="813" t="b">
        <f t="shared" si="48"/>
        <v>1</v>
      </c>
      <c r="Y45" s="813" t="b">
        <f t="shared" si="48"/>
        <v>1</v>
      </c>
      <c r="Z45" s="813" t="b">
        <f t="shared" si="48"/>
        <v>1</v>
      </c>
      <c r="AA45" s="813" t="b">
        <f t="shared" si="48"/>
        <v>1</v>
      </c>
      <c r="AB45" s="813" t="b">
        <f t="shared" si="48"/>
        <v>1</v>
      </c>
      <c r="AC45" s="813" t="b">
        <f t="shared" si="48"/>
        <v>1</v>
      </c>
      <c r="AD45" s="813" t="b">
        <f t="shared" si="48"/>
        <v>1</v>
      </c>
      <c r="AE45" s="813" t="b">
        <f t="shared" si="48"/>
        <v>1</v>
      </c>
      <c r="AF45" s="830" t="str">
        <f t="shared" si="19"/>
        <v/>
      </c>
      <c r="AG45" s="831" t="str">
        <f t="shared" si="20"/>
        <v/>
      </c>
      <c r="AH45" s="831" t="str">
        <f t="shared" si="21"/>
        <v/>
      </c>
      <c r="AI45" s="831" t="str">
        <f t="shared" si="22"/>
        <v/>
      </c>
      <c r="AJ45" s="831" t="str">
        <f t="shared" si="23"/>
        <v/>
      </c>
      <c r="AK45" s="831" t="str">
        <f t="shared" si="24"/>
        <v/>
      </c>
      <c r="AL45" s="831" t="str">
        <f t="shared" si="25"/>
        <v/>
      </c>
      <c r="AM45" s="831" t="str">
        <f t="shared" si="26"/>
        <v/>
      </c>
      <c r="AN45" s="831" t="str">
        <f t="shared" si="27"/>
        <v/>
      </c>
      <c r="AO45" s="831" t="str">
        <f t="shared" si="28"/>
        <v/>
      </c>
      <c r="AP45" s="831" t="str">
        <f t="shared" si="29"/>
        <v/>
      </c>
      <c r="AQ45" s="832" t="str">
        <f t="shared" si="30"/>
        <v/>
      </c>
    </row>
    <row r="46" spans="1:43">
      <c r="A46" s="823">
        <f t="shared" si="49"/>
        <v>0</v>
      </c>
      <c r="B46" s="327" t="s">
        <v>560</v>
      </c>
      <c r="C46" s="327" t="str">
        <f t="shared" si="32"/>
        <v>陽極處理槽 dương cực Al3+ (20)</v>
      </c>
      <c r="D46" s="327" t="str">
        <f t="shared" si="33"/>
        <v>DC-000A</v>
      </c>
      <c r="E46" s="327" t="str">
        <f t="shared" si="34"/>
        <v>0C</v>
      </c>
      <c r="F46" s="327" t="str">
        <f t="shared" si="35"/>
        <v>18~25ºC
(22±2oC)</v>
      </c>
      <c r="G46" s="806">
        <f t="shared" si="36"/>
        <v>22</v>
      </c>
      <c r="H46" s="806">
        <f t="shared" si="37"/>
        <v>20</v>
      </c>
      <c r="I46" s="806">
        <f t="shared" si="38"/>
        <v>22</v>
      </c>
      <c r="J46" s="806">
        <f t="shared" si="39"/>
        <v>20</v>
      </c>
      <c r="K46" s="806">
        <f t="shared" si="40"/>
        <v>0</v>
      </c>
      <c r="L46" s="806">
        <f t="shared" si="41"/>
        <v>0</v>
      </c>
      <c r="M46" s="806">
        <f t="shared" si="42"/>
        <v>0</v>
      </c>
      <c r="N46" s="806">
        <f t="shared" si="43"/>
        <v>0</v>
      </c>
      <c r="O46" s="806">
        <f t="shared" si="44"/>
        <v>0</v>
      </c>
      <c r="P46" s="806">
        <f t="shared" si="45"/>
        <v>0</v>
      </c>
      <c r="Q46" s="806">
        <f t="shared" si="46"/>
        <v>0</v>
      </c>
      <c r="R46" s="806">
        <f t="shared" si="47"/>
        <v>0</v>
      </c>
      <c r="T46" s="813" t="b">
        <f t="shared" si="48"/>
        <v>1</v>
      </c>
      <c r="U46" s="813" t="b">
        <f t="shared" si="48"/>
        <v>1</v>
      </c>
      <c r="V46" s="813" t="b">
        <f t="shared" si="48"/>
        <v>1</v>
      </c>
      <c r="W46" s="813" t="b">
        <f t="shared" si="48"/>
        <v>1</v>
      </c>
      <c r="X46" s="813" t="b">
        <f t="shared" si="48"/>
        <v>1</v>
      </c>
      <c r="Y46" s="813" t="b">
        <f t="shared" si="48"/>
        <v>1</v>
      </c>
      <c r="Z46" s="813" t="b">
        <f t="shared" si="48"/>
        <v>1</v>
      </c>
      <c r="AA46" s="813" t="b">
        <f t="shared" si="48"/>
        <v>1</v>
      </c>
      <c r="AB46" s="813" t="b">
        <f t="shared" si="48"/>
        <v>1</v>
      </c>
      <c r="AC46" s="813" t="b">
        <f t="shared" si="48"/>
        <v>1</v>
      </c>
      <c r="AD46" s="813" t="b">
        <f t="shared" si="48"/>
        <v>1</v>
      </c>
      <c r="AE46" s="813" t="b">
        <f t="shared" si="48"/>
        <v>1</v>
      </c>
      <c r="AF46" s="830" t="str">
        <f t="shared" si="19"/>
        <v/>
      </c>
      <c r="AG46" s="831" t="str">
        <f t="shared" si="20"/>
        <v/>
      </c>
      <c r="AH46" s="831" t="str">
        <f t="shared" si="21"/>
        <v/>
      </c>
      <c r="AI46" s="831" t="str">
        <f t="shared" si="22"/>
        <v/>
      </c>
      <c r="AJ46" s="831" t="str">
        <f t="shared" si="23"/>
        <v/>
      </c>
      <c r="AK46" s="831" t="str">
        <f t="shared" si="24"/>
        <v/>
      </c>
      <c r="AL46" s="831" t="str">
        <f t="shared" si="25"/>
        <v/>
      </c>
      <c r="AM46" s="831" t="str">
        <f t="shared" si="26"/>
        <v/>
      </c>
      <c r="AN46" s="831" t="str">
        <f t="shared" si="27"/>
        <v/>
      </c>
      <c r="AO46" s="831" t="str">
        <f t="shared" si="28"/>
        <v/>
      </c>
      <c r="AP46" s="831" t="str">
        <f t="shared" si="29"/>
        <v/>
      </c>
      <c r="AQ46" s="832" t="str">
        <f t="shared" si="30"/>
        <v/>
      </c>
    </row>
    <row r="47" spans="1:43">
      <c r="A47" s="823">
        <f t="shared" si="49"/>
        <v>0</v>
      </c>
      <c r="B47" s="327" t="s">
        <v>561</v>
      </c>
      <c r="C47" s="327" t="str">
        <f t="shared" si="32"/>
        <v>封孔 Đóng lỗ  (HK-101A1)</v>
      </c>
      <c r="D47" s="327" t="str">
        <f t="shared" si="33"/>
        <v>DC-000A</v>
      </c>
      <c r="E47" s="327" t="str">
        <f t="shared" si="34"/>
        <v>0C</v>
      </c>
      <c r="F47" s="327" t="str">
        <f t="shared" si="35"/>
        <v>45~60ºC
(50±2oC)</v>
      </c>
      <c r="G47" s="806">
        <f t="shared" si="36"/>
        <v>39</v>
      </c>
      <c r="H47" s="806">
        <f t="shared" si="37"/>
        <v>36</v>
      </c>
      <c r="I47" s="806">
        <f t="shared" si="38"/>
        <v>39</v>
      </c>
      <c r="J47" s="806">
        <f t="shared" si="39"/>
        <v>36</v>
      </c>
      <c r="K47" s="806">
        <f t="shared" si="40"/>
        <v>0</v>
      </c>
      <c r="L47" s="806">
        <f t="shared" si="41"/>
        <v>0</v>
      </c>
      <c r="M47" s="806">
        <f t="shared" si="42"/>
        <v>0</v>
      </c>
      <c r="N47" s="806">
        <f t="shared" si="43"/>
        <v>0</v>
      </c>
      <c r="O47" s="806">
        <f t="shared" si="44"/>
        <v>0</v>
      </c>
      <c r="P47" s="806">
        <f t="shared" si="45"/>
        <v>0</v>
      </c>
      <c r="Q47" s="806">
        <f t="shared" si="46"/>
        <v>0</v>
      </c>
      <c r="R47" s="806">
        <f t="shared" si="47"/>
        <v>0</v>
      </c>
      <c r="T47" s="813" t="b">
        <f t="shared" si="48"/>
        <v>1</v>
      </c>
      <c r="U47" s="813" t="b">
        <f t="shared" si="48"/>
        <v>1</v>
      </c>
      <c r="V47" s="813" t="b">
        <f t="shared" si="48"/>
        <v>1</v>
      </c>
      <c r="W47" s="813" t="b">
        <f t="shared" si="48"/>
        <v>1</v>
      </c>
      <c r="X47" s="813" t="b">
        <f t="shared" si="48"/>
        <v>1</v>
      </c>
      <c r="Y47" s="813" t="b">
        <f t="shared" si="48"/>
        <v>1</v>
      </c>
      <c r="Z47" s="813" t="b">
        <f t="shared" si="48"/>
        <v>1</v>
      </c>
      <c r="AA47" s="813" t="b">
        <f t="shared" si="48"/>
        <v>1</v>
      </c>
      <c r="AB47" s="813" t="b">
        <f t="shared" si="48"/>
        <v>1</v>
      </c>
      <c r="AC47" s="813" t="b">
        <f t="shared" si="48"/>
        <v>1</v>
      </c>
      <c r="AD47" s="813" t="b">
        <f t="shared" si="48"/>
        <v>1</v>
      </c>
      <c r="AE47" s="813" t="b">
        <f t="shared" si="48"/>
        <v>1</v>
      </c>
      <c r="AF47" s="830" t="str">
        <f t="shared" si="19"/>
        <v/>
      </c>
      <c r="AG47" s="831" t="str">
        <f t="shared" si="20"/>
        <v/>
      </c>
      <c r="AH47" s="831" t="str">
        <f t="shared" si="21"/>
        <v/>
      </c>
      <c r="AI47" s="831" t="str">
        <f t="shared" si="22"/>
        <v/>
      </c>
      <c r="AJ47" s="831" t="str">
        <f t="shared" si="23"/>
        <v/>
      </c>
      <c r="AK47" s="831" t="str">
        <f t="shared" si="24"/>
        <v/>
      </c>
      <c r="AL47" s="831" t="str">
        <f t="shared" si="25"/>
        <v/>
      </c>
      <c r="AM47" s="831" t="str">
        <f t="shared" si="26"/>
        <v/>
      </c>
      <c r="AN47" s="831" t="str">
        <f t="shared" si="27"/>
        <v/>
      </c>
      <c r="AO47" s="831" t="str">
        <f t="shared" si="28"/>
        <v/>
      </c>
      <c r="AP47" s="831" t="str">
        <f t="shared" si="29"/>
        <v/>
      </c>
      <c r="AQ47" s="832" t="str">
        <f t="shared" si="30"/>
        <v/>
      </c>
    </row>
    <row r="48" spans="1:43">
      <c r="A48" s="823">
        <f t="shared" si="49"/>
        <v>0</v>
      </c>
      <c r="B48" s="327" t="s">
        <v>563</v>
      </c>
      <c r="C48" s="327" t="str">
        <f t="shared" si="32"/>
        <v xml:space="preserve"> 染色Màu - Black-05</v>
      </c>
      <c r="D48" s="327" t="str">
        <f t="shared" si="33"/>
        <v>DC-000A</v>
      </c>
      <c r="E48" s="327" t="str">
        <f t="shared" si="34"/>
        <v>0C</v>
      </c>
      <c r="F48" s="327" t="str">
        <f t="shared" si="35"/>
        <v>55~65ºC
(55±3oC)</v>
      </c>
      <c r="G48" s="806">
        <f t="shared" si="36"/>
        <v>0</v>
      </c>
      <c r="H48" s="806">
        <f t="shared" si="37"/>
        <v>0</v>
      </c>
      <c r="I48" s="806">
        <f t="shared" si="38"/>
        <v>0</v>
      </c>
      <c r="J48" s="806">
        <f t="shared" si="39"/>
        <v>0</v>
      </c>
      <c r="K48" s="806">
        <f t="shared" si="40"/>
        <v>0</v>
      </c>
      <c r="L48" s="806">
        <f t="shared" si="41"/>
        <v>0</v>
      </c>
      <c r="M48" s="806">
        <f t="shared" si="42"/>
        <v>0</v>
      </c>
      <c r="N48" s="806">
        <f t="shared" si="43"/>
        <v>0</v>
      </c>
      <c r="O48" s="806">
        <f t="shared" si="44"/>
        <v>0</v>
      </c>
      <c r="P48" s="806">
        <f t="shared" si="45"/>
        <v>0</v>
      </c>
      <c r="Q48" s="806">
        <f t="shared" si="46"/>
        <v>0</v>
      </c>
      <c r="R48" s="806">
        <f t="shared" si="47"/>
        <v>0</v>
      </c>
      <c r="T48" s="813" t="b">
        <f t="shared" si="48"/>
        <v>1</v>
      </c>
      <c r="U48" s="813" t="b">
        <f t="shared" si="48"/>
        <v>1</v>
      </c>
      <c r="V48" s="813" t="b">
        <f t="shared" si="48"/>
        <v>1</v>
      </c>
      <c r="W48" s="813" t="b">
        <f t="shared" si="48"/>
        <v>1</v>
      </c>
      <c r="X48" s="813" t="b">
        <f t="shared" si="48"/>
        <v>1</v>
      </c>
      <c r="Y48" s="813" t="b">
        <f t="shared" si="48"/>
        <v>1</v>
      </c>
      <c r="Z48" s="813" t="b">
        <f t="shared" si="48"/>
        <v>1</v>
      </c>
      <c r="AA48" s="813" t="b">
        <f t="shared" si="48"/>
        <v>1</v>
      </c>
      <c r="AB48" s="813" t="b">
        <f t="shared" si="48"/>
        <v>1</v>
      </c>
      <c r="AC48" s="813" t="b">
        <f t="shared" si="48"/>
        <v>1</v>
      </c>
      <c r="AD48" s="813" t="b">
        <f t="shared" si="48"/>
        <v>1</v>
      </c>
      <c r="AE48" s="813" t="b">
        <f t="shared" si="48"/>
        <v>1</v>
      </c>
      <c r="AF48" s="830" t="str">
        <f t="shared" si="19"/>
        <v/>
      </c>
      <c r="AG48" s="831" t="str">
        <f t="shared" si="20"/>
        <v/>
      </c>
      <c r="AH48" s="831" t="str">
        <f t="shared" si="21"/>
        <v/>
      </c>
      <c r="AI48" s="831" t="str">
        <f t="shared" si="22"/>
        <v/>
      </c>
      <c r="AJ48" s="831" t="str">
        <f t="shared" si="23"/>
        <v/>
      </c>
      <c r="AK48" s="831" t="str">
        <f t="shared" si="24"/>
        <v/>
      </c>
      <c r="AL48" s="831" t="str">
        <f t="shared" si="25"/>
        <v/>
      </c>
      <c r="AM48" s="831" t="str">
        <f t="shared" si="26"/>
        <v/>
      </c>
      <c r="AN48" s="831" t="str">
        <f t="shared" si="27"/>
        <v/>
      </c>
      <c r="AO48" s="831" t="str">
        <f t="shared" si="28"/>
        <v/>
      </c>
      <c r="AP48" s="831" t="str">
        <f t="shared" si="29"/>
        <v/>
      </c>
      <c r="AQ48" s="832" t="str">
        <f t="shared" si="30"/>
        <v/>
      </c>
    </row>
    <row r="49" spans="1:43">
      <c r="A49" s="823">
        <f t="shared" si="49"/>
        <v>0</v>
      </c>
      <c r="B49" s="327" t="s">
        <v>564</v>
      </c>
      <c r="C49" s="327" t="str">
        <f t="shared" si="32"/>
        <v xml:space="preserve"> 染色Màu- Gey-07</v>
      </c>
      <c r="D49" s="327" t="str">
        <f t="shared" si="33"/>
        <v>DC-000A</v>
      </c>
      <c r="E49" s="327" t="str">
        <f t="shared" si="34"/>
        <v>0C</v>
      </c>
      <c r="F49" s="327" t="str">
        <f t="shared" si="35"/>
        <v>42~47ºC
(44±2oC)</v>
      </c>
      <c r="G49" s="806">
        <f t="shared" si="36"/>
        <v>0</v>
      </c>
      <c r="H49" s="806">
        <f t="shared" si="37"/>
        <v>0</v>
      </c>
      <c r="I49" s="806">
        <f t="shared" si="38"/>
        <v>0</v>
      </c>
      <c r="J49" s="806">
        <f t="shared" si="39"/>
        <v>0</v>
      </c>
      <c r="K49" s="806">
        <f t="shared" si="40"/>
        <v>0</v>
      </c>
      <c r="L49" s="806">
        <f t="shared" si="41"/>
        <v>0</v>
      </c>
      <c r="M49" s="806">
        <f t="shared" si="42"/>
        <v>0</v>
      </c>
      <c r="N49" s="806">
        <f t="shared" si="43"/>
        <v>0</v>
      </c>
      <c r="O49" s="806">
        <f t="shared" si="44"/>
        <v>0</v>
      </c>
      <c r="P49" s="806">
        <f t="shared" si="45"/>
        <v>0</v>
      </c>
      <c r="Q49" s="806">
        <f t="shared" si="46"/>
        <v>0</v>
      </c>
      <c r="R49" s="806">
        <f t="shared" si="47"/>
        <v>0</v>
      </c>
      <c r="T49" s="813" t="b">
        <f t="shared" si="48"/>
        <v>1</v>
      </c>
      <c r="U49" s="813" t="b">
        <f t="shared" si="48"/>
        <v>1</v>
      </c>
      <c r="V49" s="813" t="b">
        <f t="shared" si="48"/>
        <v>1</v>
      </c>
      <c r="W49" s="813" t="b">
        <f t="shared" si="48"/>
        <v>1</v>
      </c>
      <c r="X49" s="813" t="b">
        <f t="shared" si="48"/>
        <v>1</v>
      </c>
      <c r="Y49" s="813" t="b">
        <f t="shared" si="48"/>
        <v>1</v>
      </c>
      <c r="Z49" s="813" t="b">
        <f t="shared" si="48"/>
        <v>1</v>
      </c>
      <c r="AA49" s="813" t="b">
        <f t="shared" si="48"/>
        <v>1</v>
      </c>
      <c r="AB49" s="813" t="b">
        <f t="shared" si="48"/>
        <v>1</v>
      </c>
      <c r="AC49" s="813" t="b">
        <f t="shared" si="48"/>
        <v>1</v>
      </c>
      <c r="AD49" s="813" t="b">
        <f t="shared" si="48"/>
        <v>1</v>
      </c>
      <c r="AE49" s="813" t="b">
        <f t="shared" si="48"/>
        <v>1</v>
      </c>
      <c r="AF49" s="830" t="str">
        <f t="shared" si="19"/>
        <v/>
      </c>
      <c r="AG49" s="831" t="str">
        <f t="shared" si="20"/>
        <v/>
      </c>
      <c r="AH49" s="831" t="str">
        <f t="shared" si="21"/>
        <v/>
      </c>
      <c r="AI49" s="831" t="str">
        <f t="shared" si="22"/>
        <v/>
      </c>
      <c r="AJ49" s="831" t="str">
        <f t="shared" si="23"/>
        <v/>
      </c>
      <c r="AK49" s="831" t="str">
        <f t="shared" si="24"/>
        <v/>
      </c>
      <c r="AL49" s="831" t="str">
        <f t="shared" si="25"/>
        <v/>
      </c>
      <c r="AM49" s="831" t="str">
        <f t="shared" si="26"/>
        <v/>
      </c>
      <c r="AN49" s="831" t="str">
        <f t="shared" si="27"/>
        <v/>
      </c>
      <c r="AO49" s="831" t="str">
        <f t="shared" si="28"/>
        <v/>
      </c>
      <c r="AP49" s="831" t="str">
        <f t="shared" si="29"/>
        <v/>
      </c>
      <c r="AQ49" s="832" t="str">
        <f t="shared" si="30"/>
        <v/>
      </c>
    </row>
    <row r="50" spans="1:43">
      <c r="A50" s="823">
        <f t="shared" si="49"/>
        <v>0</v>
      </c>
      <c r="B50" s="327" t="s">
        <v>565</v>
      </c>
      <c r="C50" s="327" t="str">
        <f t="shared" si="32"/>
        <v xml:space="preserve"> 染色Màu- Black-08</v>
      </c>
      <c r="D50" s="327" t="str">
        <f t="shared" si="33"/>
        <v>DC-000A</v>
      </c>
      <c r="E50" s="327" t="str">
        <f t="shared" si="34"/>
        <v>0C</v>
      </c>
      <c r="F50" s="327" t="str">
        <f t="shared" si="35"/>
        <v>55~65ºC
(55±3oC)</v>
      </c>
      <c r="G50" s="806">
        <f t="shared" si="36"/>
        <v>65</v>
      </c>
      <c r="H50" s="806">
        <f t="shared" si="37"/>
        <v>62</v>
      </c>
      <c r="I50" s="806">
        <f t="shared" si="38"/>
        <v>65</v>
      </c>
      <c r="J50" s="806">
        <f t="shared" si="39"/>
        <v>63</v>
      </c>
      <c r="K50" s="806">
        <f t="shared" si="40"/>
        <v>0</v>
      </c>
      <c r="L50" s="806">
        <f t="shared" si="41"/>
        <v>0</v>
      </c>
      <c r="M50" s="806">
        <f t="shared" si="42"/>
        <v>0</v>
      </c>
      <c r="N50" s="806">
        <f t="shared" si="43"/>
        <v>0</v>
      </c>
      <c r="O50" s="806">
        <f t="shared" si="44"/>
        <v>0</v>
      </c>
      <c r="P50" s="806">
        <f t="shared" si="45"/>
        <v>0</v>
      </c>
      <c r="Q50" s="806">
        <f t="shared" si="46"/>
        <v>0</v>
      </c>
      <c r="R50" s="806">
        <f t="shared" si="47"/>
        <v>0</v>
      </c>
      <c r="T50" s="813" t="b">
        <f t="shared" si="48"/>
        <v>1</v>
      </c>
      <c r="U50" s="813" t="b">
        <f t="shared" si="48"/>
        <v>1</v>
      </c>
      <c r="V50" s="813" t="b">
        <f t="shared" si="48"/>
        <v>1</v>
      </c>
      <c r="W50" s="813" t="b">
        <f t="shared" si="48"/>
        <v>1</v>
      </c>
      <c r="X50" s="813" t="b">
        <f t="shared" si="48"/>
        <v>1</v>
      </c>
      <c r="Y50" s="813" t="b">
        <f t="shared" si="48"/>
        <v>1</v>
      </c>
      <c r="Z50" s="813" t="b">
        <f t="shared" si="48"/>
        <v>1</v>
      </c>
      <c r="AA50" s="813" t="b">
        <f t="shared" si="48"/>
        <v>1</v>
      </c>
      <c r="AB50" s="813" t="b">
        <f t="shared" si="48"/>
        <v>1</v>
      </c>
      <c r="AC50" s="813" t="b">
        <f t="shared" si="48"/>
        <v>1</v>
      </c>
      <c r="AD50" s="813" t="b">
        <f t="shared" si="48"/>
        <v>1</v>
      </c>
      <c r="AE50" s="813" t="b">
        <f t="shared" si="48"/>
        <v>1</v>
      </c>
      <c r="AF50" s="830" t="str">
        <f t="shared" si="19"/>
        <v/>
      </c>
      <c r="AG50" s="831" t="str">
        <f t="shared" si="20"/>
        <v/>
      </c>
      <c r="AH50" s="831" t="str">
        <f t="shared" si="21"/>
        <v/>
      </c>
      <c r="AI50" s="831" t="str">
        <f t="shared" si="22"/>
        <v/>
      </c>
      <c r="AJ50" s="831" t="str">
        <f t="shared" si="23"/>
        <v/>
      </c>
      <c r="AK50" s="831" t="str">
        <f t="shared" si="24"/>
        <v/>
      </c>
      <c r="AL50" s="831" t="str">
        <f t="shared" si="25"/>
        <v/>
      </c>
      <c r="AM50" s="831" t="str">
        <f t="shared" si="26"/>
        <v/>
      </c>
      <c r="AN50" s="831" t="str">
        <f t="shared" si="27"/>
        <v/>
      </c>
      <c r="AO50" s="831" t="str">
        <f t="shared" si="28"/>
        <v/>
      </c>
      <c r="AP50" s="831" t="str">
        <f t="shared" si="29"/>
        <v/>
      </c>
      <c r="AQ50" s="832" t="str">
        <f t="shared" si="30"/>
        <v/>
      </c>
    </row>
    <row r="51" spans="1:43">
      <c r="A51" s="823">
        <f t="shared" si="49"/>
        <v>0</v>
      </c>
      <c r="B51" s="327" t="s">
        <v>566</v>
      </c>
      <c r="C51" s="327" t="str">
        <f t="shared" si="32"/>
        <v>烘乾 Sấy khô</v>
      </c>
      <c r="D51" s="327" t="str">
        <f t="shared" si="33"/>
        <v>DC-000A</v>
      </c>
      <c r="E51" s="327" t="str">
        <f t="shared" si="34"/>
        <v>0C</v>
      </c>
      <c r="F51" s="327" t="str">
        <f t="shared" si="35"/>
        <v>100~110ºC
(100±5oC)</v>
      </c>
      <c r="G51" s="806" t="str">
        <f t="shared" si="36"/>
        <v>\</v>
      </c>
      <c r="H51" s="806">
        <f t="shared" si="37"/>
        <v>161</v>
      </c>
      <c r="I51" s="806" t="str">
        <f t="shared" si="38"/>
        <v>\</v>
      </c>
      <c r="J51" s="806">
        <f t="shared" si="39"/>
        <v>149</v>
      </c>
      <c r="K51" s="806">
        <f t="shared" si="40"/>
        <v>0</v>
      </c>
      <c r="L51" s="806">
        <f t="shared" si="41"/>
        <v>0</v>
      </c>
      <c r="M51" s="806">
        <f t="shared" si="42"/>
        <v>0</v>
      </c>
      <c r="N51" s="806">
        <f t="shared" si="43"/>
        <v>0</v>
      </c>
      <c r="O51" s="806">
        <f t="shared" si="44"/>
        <v>0</v>
      </c>
      <c r="P51" s="806">
        <f t="shared" si="45"/>
        <v>0</v>
      </c>
      <c r="Q51" s="806">
        <f t="shared" si="46"/>
        <v>0</v>
      </c>
      <c r="R51" s="806">
        <f t="shared" si="47"/>
        <v>0</v>
      </c>
      <c r="T51" s="813" t="b">
        <f t="shared" si="48"/>
        <v>0</v>
      </c>
      <c r="U51" s="813" t="b">
        <f t="shared" si="48"/>
        <v>1</v>
      </c>
      <c r="V51" s="813" t="b">
        <f t="shared" si="48"/>
        <v>0</v>
      </c>
      <c r="W51" s="813" t="b">
        <f t="shared" si="48"/>
        <v>1</v>
      </c>
      <c r="X51" s="813" t="b">
        <f t="shared" si="48"/>
        <v>1</v>
      </c>
      <c r="Y51" s="813" t="b">
        <f t="shared" si="48"/>
        <v>1</v>
      </c>
      <c r="Z51" s="813" t="b">
        <f t="shared" si="48"/>
        <v>1</v>
      </c>
      <c r="AA51" s="813" t="b">
        <f t="shared" si="48"/>
        <v>1</v>
      </c>
      <c r="AB51" s="813" t="b">
        <f t="shared" si="48"/>
        <v>1</v>
      </c>
      <c r="AC51" s="813" t="b">
        <f t="shared" si="48"/>
        <v>1</v>
      </c>
      <c r="AD51" s="813" t="b">
        <f t="shared" si="48"/>
        <v>1</v>
      </c>
      <c r="AE51" s="813" t="b">
        <f t="shared" si="48"/>
        <v>1</v>
      </c>
      <c r="AF51" s="833">
        <f t="shared" si="19"/>
        <v>1</v>
      </c>
      <c r="AG51" s="834" t="str">
        <f t="shared" si="20"/>
        <v/>
      </c>
      <c r="AH51" s="834">
        <f t="shared" si="21"/>
        <v>1</v>
      </c>
      <c r="AI51" s="834" t="str">
        <f t="shared" si="22"/>
        <v/>
      </c>
      <c r="AJ51" s="834" t="str">
        <f t="shared" si="23"/>
        <v/>
      </c>
      <c r="AK51" s="834" t="str">
        <f t="shared" si="24"/>
        <v/>
      </c>
      <c r="AL51" s="834" t="str">
        <f t="shared" si="25"/>
        <v/>
      </c>
      <c r="AM51" s="834" t="str">
        <f t="shared" si="26"/>
        <v/>
      </c>
      <c r="AN51" s="834" t="str">
        <f t="shared" si="27"/>
        <v/>
      </c>
      <c r="AO51" s="834" t="str">
        <f t="shared" si="28"/>
        <v/>
      </c>
      <c r="AP51" s="834" t="str">
        <f t="shared" si="29"/>
        <v/>
      </c>
      <c r="AQ51" s="835" t="str">
        <f t="shared" si="30"/>
        <v/>
      </c>
    </row>
  </sheetData>
  <phoneticPr fontId="7"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21</vt:i4>
      </vt:variant>
    </vt:vector>
  </HeadingPairs>
  <TitlesOfParts>
    <vt:vector size="72" baseType="lpstr">
      <vt:lpstr>PT TAP CHAT</vt:lpstr>
      <vt:lpstr>1</vt:lpstr>
      <vt:lpstr>2</vt:lpstr>
      <vt:lpstr>3</vt:lpstr>
      <vt:lpstr>4</vt:lpstr>
      <vt:lpstr>5</vt:lpstr>
      <vt:lpstr>6</vt:lpstr>
      <vt:lpstr>7</vt:lpstr>
      <vt:lpstr>8</vt:lpstr>
      <vt:lpstr>MENU</vt:lpstr>
      <vt:lpstr>XM.HN</vt:lpstr>
      <vt:lpstr>XM.FILE GOC</vt:lpstr>
      <vt:lpstr>1. XL-1E kh</vt:lpstr>
      <vt:lpstr>2. XL-1F kh</vt:lpstr>
      <vt:lpstr>3.XT-C kh.mau HALO</vt:lpstr>
      <vt:lpstr>3.XT-C kh.mau JASCO </vt:lpstr>
      <vt:lpstr>4. Zn-Ni</vt:lpstr>
      <vt:lpstr>XM.GUI MAIL</vt:lpstr>
      <vt:lpstr>1. XL-1E TT</vt:lpstr>
      <vt:lpstr>2. XL-1F TT </vt:lpstr>
      <vt:lpstr>3.XT-C TT</vt:lpstr>
      <vt:lpstr>4.ZN-NI tt(CA1)</vt:lpstr>
      <vt:lpstr>1. XL-1E TT(CA2)</vt:lpstr>
      <vt:lpstr>2. XL-1F TT(CA2)</vt:lpstr>
      <vt:lpstr>3.XT-C TT(CA2)</vt:lpstr>
      <vt:lpstr>4.ZN-NI tt(CA2)</vt:lpstr>
      <vt:lpstr>XM.chart</vt:lpstr>
      <vt:lpstr>XM.chart 1</vt:lpstr>
      <vt:lpstr>BS-XT</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_XM_XT_THUCTE</vt:lpstr>
      <vt:lpstr>'1. XL-1E kh'!Print_Area</vt:lpstr>
      <vt:lpstr>'1.xi den'!Print_Area</vt:lpstr>
      <vt:lpstr>'1.xi den TT'!Print_Area</vt:lpstr>
      <vt:lpstr>'2. XL-1F kh'!Print_Area</vt:lpstr>
      <vt:lpstr>'2.RL E'!Print_Area</vt:lpstr>
      <vt:lpstr>'2.RL E tt'!Print_Area</vt:lpstr>
      <vt:lpstr>'3.RL G'!Print_Area</vt:lpstr>
      <vt:lpstr>'3.RL G tt'!Print_Area</vt:lpstr>
      <vt:lpstr>'3.XT-C kh.mau HALO'!Print_Area</vt:lpstr>
      <vt:lpstr>'3.XT-C kh.mau JASCO '!Print_Area</vt:lpstr>
      <vt:lpstr>'4. Zn-Ni'!Print_Area</vt:lpstr>
      <vt:lpstr>'4.RL F'!Print_Area</vt:lpstr>
      <vt:lpstr>'4.RL F tt'!Print_Area</vt:lpstr>
      <vt:lpstr>'4.ZN-NI tt(CA1)'!Print_Area</vt:lpstr>
      <vt:lpstr>'4.ZN-NI tt(CA2)'!Print_Area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2024-01-16T04:00:16Z</cp:lastPrinted>
  <dcterms:created xsi:type="dcterms:W3CDTF">2008-06-29T07:33:16Z</dcterms:created>
  <dcterms:modified xsi:type="dcterms:W3CDTF">2024-01-16T04:09:32Z</dcterms:modified>
</cp:coreProperties>
</file>